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487edbc364e79b3/Desktop/Schiedsrichter/"/>
    </mc:Choice>
  </mc:AlternateContent>
  <xr:revisionPtr revIDLastSave="185" documentId="13_ncr:1_{98E2450D-C931-4BF5-85E9-19D2572A89E5}" xr6:coauthVersionLast="47" xr6:coauthVersionMax="47" xr10:uidLastSave="{ADFD1E97-F3B4-4E24-A03D-D077D4C5AF31}"/>
  <bookViews>
    <workbookView xWindow="-108" yWindow="-108" windowWidth="23256" windowHeight="12456" tabRatio="635" firstSheet="30" activeTab="30" xr2:uid="{00000000-000D-0000-FFFF-FFFF00000000}"/>
  </bookViews>
  <sheets>
    <sheet name="MS" sheetId="106" state="hidden" r:id="rId1"/>
    <sheet name="Spielorte" sheetId="44" state="hidden" r:id="rId2"/>
    <sheet name="Schlüssel" sheetId="16" state="hidden" r:id="rId3"/>
    <sheet name="Schiedsrichterinfos" sheetId="105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88" state="hidden" r:id="rId9"/>
    <sheet name="SRBericht2" sheetId="90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95" state="hidden" r:id="rId15"/>
    <sheet name="SchnittGes2" sheetId="100" state="hidden" r:id="rId16"/>
    <sheet name="SRBericht3" sheetId="91" state="hidden" r:id="rId17"/>
    <sheet name="Spielzettel3" sheetId="84" state="hidden" r:id="rId18"/>
    <sheet name="Erfassung3" sheetId="55" state="hidden" r:id="rId19"/>
    <sheet name="Tabelle3" sheetId="63" state="hidden" r:id="rId20"/>
    <sheet name="TabGes3" sheetId="73" state="hidden" r:id="rId21"/>
    <sheet name="Schnitt3" sheetId="96" state="hidden" r:id="rId22"/>
    <sheet name="SchnittGes3" sheetId="101" state="hidden" r:id="rId23"/>
    <sheet name="SRBericht4" sheetId="92" state="hidden" r:id="rId24"/>
    <sheet name="Spielzettel4" sheetId="85" state="hidden" r:id="rId25"/>
    <sheet name="Erfassung4" sheetId="57" state="hidden" r:id="rId26"/>
    <sheet name="Tabelle4" sheetId="70" state="hidden" r:id="rId27"/>
    <sheet name="TabGes4" sheetId="74" state="hidden" r:id="rId28"/>
    <sheet name="Schnitt4" sheetId="97" state="hidden" r:id="rId29"/>
    <sheet name="SchnittGes4" sheetId="102" state="hidden" r:id="rId30"/>
    <sheet name="SRBericht5" sheetId="93" r:id="rId31"/>
    <sheet name="Spielzettel5" sheetId="86" r:id="rId32"/>
    <sheet name="Erfassung5" sheetId="58" r:id="rId33"/>
    <sheet name="Tabelle5" sheetId="68" r:id="rId34"/>
    <sheet name="TabGes5" sheetId="75" r:id="rId35"/>
    <sheet name="Schnitt5" sheetId="98" r:id="rId36"/>
    <sheet name="SchnittGes5" sheetId="103" r:id="rId37"/>
    <sheet name="SRBericht6" sheetId="94" state="hidden" r:id="rId38"/>
    <sheet name="Spielzettel6" sheetId="87" state="hidden" r:id="rId39"/>
    <sheet name="Erfassung6" sheetId="59" state="hidden" r:id="rId40"/>
    <sheet name="Tabelle6" sheetId="69" state="hidden" r:id="rId41"/>
    <sheet name="TabGes6" sheetId="77" state="hidden" r:id="rId42"/>
    <sheet name="Schnitt6" sheetId="99" state="hidden" r:id="rId43"/>
    <sheet name="SchnittGes6" sheetId="104" state="hidden" r:id="rId44"/>
    <sheet name="SRBericht7" sheetId="115" state="hidden" r:id="rId45"/>
    <sheet name="Spielzettel7" sheetId="116" state="hidden" r:id="rId46"/>
    <sheet name="Erfassung7" sheetId="117" state="hidden" r:id="rId47"/>
    <sheet name="Tabelle7" sheetId="118" state="hidden" r:id="rId48"/>
    <sheet name="TabGes7" sheetId="119" state="hidden" r:id="rId49"/>
    <sheet name="Schnitt7" sheetId="120" state="hidden" r:id="rId50"/>
    <sheet name="SchnittGes7" sheetId="121" state="hidden" r:id="rId51"/>
    <sheet name="Starter" sheetId="71" r:id="rId52"/>
    <sheet name="member" sheetId="40" state="hidden" r:id="rId53"/>
    <sheet name="RanglisteST1" sheetId="109" state="hidden" r:id="rId54"/>
    <sheet name="RanglisteST2" sheetId="110" state="hidden" r:id="rId55"/>
    <sheet name="RanglisteST3" sheetId="111" state="hidden" r:id="rId56"/>
    <sheet name="RanglisteST4" sheetId="112" state="hidden" r:id="rId57"/>
    <sheet name="RanglisteST5" sheetId="113" state="hidden" r:id="rId58"/>
    <sheet name="RanglisteST6" sheetId="114" state="hidden" r:id="rId59"/>
    <sheet name="RanglisteST7" sheetId="122" state="hidden" r:id="rId60"/>
  </sheets>
  <definedNames>
    <definedName name="daysnew">#N/A</definedName>
    <definedName name="_xlnm.Print_Area" localSheetId="6">Erfassung1!$A$1:$V$208</definedName>
    <definedName name="_xlnm.Print_Area" localSheetId="11">Erfassung2!$A$1:$V$208</definedName>
    <definedName name="_xlnm.Print_Area" localSheetId="18">Erfassung3!$A$1:$V$208</definedName>
    <definedName name="_xlnm.Print_Area" localSheetId="25">Erfassung4!$A$1:$V$208</definedName>
    <definedName name="_xlnm.Print_Area" localSheetId="32">Erfassung5!$A$1:$V$208</definedName>
    <definedName name="_xlnm.Print_Area" localSheetId="39">Erfassung6!$A:$V</definedName>
    <definedName name="_xlnm.Print_Area" localSheetId="46">Erfassung7!$A:$V</definedName>
    <definedName name="_xlnm.Print_Area" localSheetId="2">Schlüssel!$A$1:$V$23</definedName>
    <definedName name="_xlnm.Print_Area" localSheetId="8">Schnitt1!$A$1:$G$38</definedName>
    <definedName name="_xlnm.Print_Area" localSheetId="14">Schnitt2!$A$1:$G$58</definedName>
    <definedName name="_xlnm.Print_Area" localSheetId="21">Schnitt3!$A$1:$G$58</definedName>
    <definedName name="_xlnm.Print_Area" localSheetId="28">Schnitt4!$A$1:$G$58</definedName>
    <definedName name="_xlnm.Print_Area" localSheetId="35">Schnitt5!$A$1:$G$58</definedName>
    <definedName name="_xlnm.Print_Area" localSheetId="42">Schnitt6!$A$1:$G$58</definedName>
    <definedName name="_xlnm.Print_Area" localSheetId="49">Schnitt7!$A$1:$G$58</definedName>
    <definedName name="_xlnm.Print_Area" localSheetId="15">SchnittGes2!$A$1:$G$58</definedName>
    <definedName name="_xlnm.Print_Area" localSheetId="22">SchnittGes3!$A$1:$G$58</definedName>
    <definedName name="_xlnm.Print_Area" localSheetId="29">SchnittGes4!$A$1:$G$58</definedName>
    <definedName name="_xlnm.Print_Area" localSheetId="36">SchnittGes5!$A$1:$G$58</definedName>
    <definedName name="_xlnm.Print_Area" localSheetId="43">SchnittGes6!$A$1:$G$58</definedName>
    <definedName name="_xlnm.Print_Area" localSheetId="50">SchnittGes7!$A$1:$G$58</definedName>
    <definedName name="_xlnm.Print_Area" localSheetId="5">Spielzettel1!$A:$P</definedName>
    <definedName name="_xlnm.Print_Area" localSheetId="10">Spielzettel2!$A:$P</definedName>
    <definedName name="_xlnm.Print_Area" localSheetId="17">Spielzettel3!$A:$P</definedName>
    <definedName name="_xlnm.Print_Area" localSheetId="24">Spielzettel4!$A:$P</definedName>
    <definedName name="_xlnm.Print_Area" localSheetId="31">Spielzettel5!$A:$P</definedName>
    <definedName name="_xlnm.Print_Area" localSheetId="38">Spielzettel6!$A:$P</definedName>
    <definedName name="_xlnm.Print_Area" localSheetId="45">Spielzettel7!$A:$P</definedName>
    <definedName name="_xlnm.Print_Area" localSheetId="7">Tabelle1!$A$1:$O$24</definedName>
    <definedName name="_xlnm.Print_Area" localSheetId="12">Tabelle2!$A$1:$O$24</definedName>
    <definedName name="_xlnm.Print_Area" localSheetId="19">Tabelle3!$A$1:$O$25</definedName>
    <definedName name="_xlnm.Print_Area" localSheetId="26">Tabelle4!$A$1:$O$24</definedName>
    <definedName name="_xlnm.Print_Area" localSheetId="33">Tabelle5!$A$1:$O$24</definedName>
    <definedName name="_xlnm.Print_Area" localSheetId="40">Tabelle6!$A$1:$O$24</definedName>
    <definedName name="_xlnm.Print_Area" localSheetId="47">Tabelle7!$A$1:$O$24</definedName>
    <definedName name="_xlnm.Print_Area" localSheetId="13">TabGes2!$A$1:$I$13</definedName>
    <definedName name="_xlnm.Print_Area" localSheetId="20">TabGes3!$A$1:$K$14</definedName>
    <definedName name="Entryshavday">#N/A</definedName>
    <definedName name="Entryshavnew">#N/A</definedName>
    <definedName name="Entryshavprv">#N/A</definedName>
    <definedName name="Entryshbonday">#N/A</definedName>
    <definedName name="Entryshbonnew">#N/A</definedName>
    <definedName name="Entryshbonprv">#N/A</definedName>
    <definedName name="Entryshgmday">#N/A</definedName>
    <definedName name="Entryshgmnew">#N/A</definedName>
    <definedName name="Entryshgmprv">#N/A</definedName>
    <definedName name="Entryshnamoff">#N/A</definedName>
    <definedName name="Entryshpinsday">#N/A</definedName>
    <definedName name="Entryshpinsnew">#N/A</definedName>
    <definedName name="Entryshpinsprv">#N/A</definedName>
    <definedName name="Entryshpointday">#N/A</definedName>
    <definedName name="Entryshpointnew">#N/A</definedName>
    <definedName name="Entryshpointprv">#N/A</definedName>
    <definedName name="Entryshsize">#N/A</definedName>
    <definedName name="Entryshtabhsz">#N/A</definedName>
    <definedName name="Entryshtabvsz">#N/A</definedName>
    <definedName name="Entryshtnumoffs">#N/A</definedName>
    <definedName name="Entryshtotday">#N/A</definedName>
    <definedName name="Entryshtotprv">#N/A</definedName>
    <definedName name="Gamesfix">#N/A</definedName>
    <definedName name="Gameshavoffs">#N/A</definedName>
    <definedName name="Gameshavpos">#N/A</definedName>
    <definedName name="Gameshgmpos">#N/A</definedName>
    <definedName name="Gameshpinspos">#N/A</definedName>
    <definedName name="Gameshplnum">#N/A</definedName>
    <definedName name="Gameshpnpos">#N/A</definedName>
    <definedName name="Gameshsize">#N/A</definedName>
    <definedName name="Gameshtpinpos">#N/A</definedName>
    <definedName name="Gameshtpntpos">#N/A</definedName>
    <definedName name="gamesnew">#N/A</definedName>
    <definedName name="GamshEDVpos">#N/A</definedName>
    <definedName name="Teamshbase">#N/A</definedName>
    <definedName name="Teamshnum">#N/A</definedName>
    <definedName name="Teamshoffs">#N/A</definedName>
    <definedName name="Teamshsize">#N/A</definedName>
    <definedName name="teamsnew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0" i="58" l="1"/>
  <c r="B141" i="58"/>
  <c r="K97" i="58"/>
  <c r="K70" i="111"/>
  <c r="AT121" i="52" l="1"/>
  <c r="E6" i="115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4" i="71"/>
  <c r="C44" i="71"/>
  <c r="B44" i="71"/>
  <c r="B166" i="53" s="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B163" i="55" s="1"/>
  <c r="D34" i="71"/>
  <c r="C34" i="71"/>
  <c r="B34" i="71"/>
  <c r="B163" i="57" s="1"/>
  <c r="D33" i="71"/>
  <c r="C33" i="71"/>
  <c r="B33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D8" i="71"/>
  <c r="C8" i="71"/>
  <c r="B8" i="71"/>
  <c r="D7" i="71"/>
  <c r="C7" i="71"/>
  <c r="B7" i="71"/>
  <c r="D6" i="71"/>
  <c r="C6" i="71"/>
  <c r="B6" i="71"/>
  <c r="D5" i="71"/>
  <c r="C5" i="71"/>
  <c r="B5" i="71"/>
  <c r="B190" i="53" s="1"/>
  <c r="D4" i="71"/>
  <c r="C4" i="71"/>
  <c r="B4" i="71"/>
  <c r="D3" i="71"/>
  <c r="C3" i="71"/>
  <c r="B3" i="71"/>
  <c r="B195" i="53" s="1"/>
  <c r="D2" i="71"/>
  <c r="C2" i="71"/>
  <c r="B2" i="71"/>
  <c r="L104" i="121"/>
  <c r="L103" i="121"/>
  <c r="L102" i="121"/>
  <c r="L101" i="121"/>
  <c r="L100" i="121"/>
  <c r="L99" i="121"/>
  <c r="L98" i="121"/>
  <c r="L97" i="121"/>
  <c r="L96" i="121"/>
  <c r="L95" i="121"/>
  <c r="L94" i="121"/>
  <c r="L93" i="121"/>
  <c r="L92" i="121"/>
  <c r="L91" i="121"/>
  <c r="L90" i="121"/>
  <c r="L89" i="121"/>
  <c r="L88" i="121"/>
  <c r="L87" i="121"/>
  <c r="L86" i="121"/>
  <c r="L85" i="121"/>
  <c r="L84" i="121"/>
  <c r="L83" i="121"/>
  <c r="L82" i="121"/>
  <c r="L81" i="121"/>
  <c r="L80" i="121"/>
  <c r="L79" i="121"/>
  <c r="L78" i="121"/>
  <c r="L77" i="121"/>
  <c r="L76" i="121"/>
  <c r="L75" i="121"/>
  <c r="L74" i="121"/>
  <c r="L73" i="121"/>
  <c r="L72" i="121"/>
  <c r="L71" i="121"/>
  <c r="L70" i="121"/>
  <c r="L69" i="121"/>
  <c r="L68" i="121"/>
  <c r="L67" i="121"/>
  <c r="L66" i="121"/>
  <c r="L65" i="121"/>
  <c r="L64" i="121"/>
  <c r="L63" i="121"/>
  <c r="L62" i="121"/>
  <c r="L61" i="121"/>
  <c r="L60" i="121"/>
  <c r="L59" i="121"/>
  <c r="L58" i="121"/>
  <c r="L57" i="121"/>
  <c r="L56" i="121"/>
  <c r="L55" i="121"/>
  <c r="L54" i="121"/>
  <c r="L53" i="121"/>
  <c r="L52" i="121"/>
  <c r="L51" i="121"/>
  <c r="L50" i="121"/>
  <c r="L49" i="121"/>
  <c r="L48" i="121"/>
  <c r="L47" i="121"/>
  <c r="L46" i="121"/>
  <c r="L45" i="121"/>
  <c r="L44" i="121"/>
  <c r="L43" i="121"/>
  <c r="L42" i="121"/>
  <c r="L41" i="121"/>
  <c r="L40" i="121"/>
  <c r="L39" i="121"/>
  <c r="L38" i="121"/>
  <c r="L37" i="121"/>
  <c r="L36" i="121"/>
  <c r="L35" i="121"/>
  <c r="L34" i="121"/>
  <c r="L33" i="121"/>
  <c r="L32" i="121"/>
  <c r="L31" i="121"/>
  <c r="L30" i="121"/>
  <c r="L29" i="121"/>
  <c r="L28" i="121"/>
  <c r="L27" i="121"/>
  <c r="L26" i="121"/>
  <c r="L25" i="121"/>
  <c r="L24" i="121"/>
  <c r="L23" i="121"/>
  <c r="L22" i="121"/>
  <c r="L21" i="121"/>
  <c r="L20" i="121"/>
  <c r="L19" i="121"/>
  <c r="L18" i="121"/>
  <c r="L17" i="121"/>
  <c r="L16" i="121"/>
  <c r="L15" i="121"/>
  <c r="L14" i="121"/>
  <c r="L13" i="121"/>
  <c r="L12" i="121"/>
  <c r="L11" i="121"/>
  <c r="L10" i="121"/>
  <c r="L9" i="121"/>
  <c r="L8" i="121"/>
  <c r="L7" i="121"/>
  <c r="L6" i="121"/>
  <c r="L5" i="121"/>
  <c r="L4" i="121"/>
  <c r="L3" i="121"/>
  <c r="L2" i="121"/>
  <c r="C1" i="121"/>
  <c r="L104" i="120"/>
  <c r="L103" i="120"/>
  <c r="L102" i="120"/>
  <c r="L101" i="120"/>
  <c r="L100" i="120"/>
  <c r="L99" i="120"/>
  <c r="L98" i="120"/>
  <c r="L97" i="120"/>
  <c r="L96" i="120"/>
  <c r="L95" i="120"/>
  <c r="L94" i="120"/>
  <c r="L93" i="120"/>
  <c r="L92" i="120"/>
  <c r="L91" i="120"/>
  <c r="L90" i="120"/>
  <c r="L89" i="120"/>
  <c r="L88" i="120"/>
  <c r="L87" i="120"/>
  <c r="L86" i="120"/>
  <c r="L85" i="120"/>
  <c r="L84" i="120"/>
  <c r="L83" i="120"/>
  <c r="L82" i="120"/>
  <c r="L81" i="120"/>
  <c r="L80" i="120"/>
  <c r="L79" i="120"/>
  <c r="L78" i="120"/>
  <c r="L77" i="120"/>
  <c r="L76" i="120"/>
  <c r="L75" i="120"/>
  <c r="L74" i="120"/>
  <c r="L73" i="120"/>
  <c r="L72" i="120"/>
  <c r="L71" i="120"/>
  <c r="L70" i="120"/>
  <c r="L69" i="120"/>
  <c r="L68" i="120"/>
  <c r="L67" i="120"/>
  <c r="L66" i="120"/>
  <c r="L65" i="120"/>
  <c r="L64" i="120"/>
  <c r="L63" i="120"/>
  <c r="L62" i="120"/>
  <c r="L61" i="120"/>
  <c r="L60" i="120"/>
  <c r="L59" i="120"/>
  <c r="L58" i="120"/>
  <c r="L57" i="120"/>
  <c r="L56" i="120"/>
  <c r="L55" i="120"/>
  <c r="L54" i="120"/>
  <c r="L53" i="120"/>
  <c r="L52" i="120"/>
  <c r="L51" i="120"/>
  <c r="L50" i="120"/>
  <c r="L49" i="120"/>
  <c r="L48" i="120"/>
  <c r="L47" i="120"/>
  <c r="L46" i="120"/>
  <c r="L45" i="120"/>
  <c r="L44" i="120"/>
  <c r="L43" i="120"/>
  <c r="L42" i="120"/>
  <c r="L41" i="120"/>
  <c r="L40" i="120"/>
  <c r="L39" i="120"/>
  <c r="L38" i="120"/>
  <c r="L37" i="120"/>
  <c r="L36" i="120"/>
  <c r="L35" i="120"/>
  <c r="L34" i="120"/>
  <c r="L33" i="120"/>
  <c r="L32" i="120"/>
  <c r="L31" i="120"/>
  <c r="L30" i="120"/>
  <c r="L29" i="120"/>
  <c r="L28" i="120"/>
  <c r="L27" i="120"/>
  <c r="L26" i="120"/>
  <c r="L25" i="120"/>
  <c r="L24" i="120"/>
  <c r="L23" i="120"/>
  <c r="L22" i="120"/>
  <c r="L21" i="120"/>
  <c r="L20" i="120"/>
  <c r="L19" i="120"/>
  <c r="L18" i="120"/>
  <c r="L17" i="120"/>
  <c r="L16" i="120"/>
  <c r="L15" i="120"/>
  <c r="L14" i="120"/>
  <c r="L13" i="120"/>
  <c r="L12" i="120"/>
  <c r="L11" i="120"/>
  <c r="L10" i="120"/>
  <c r="L9" i="120"/>
  <c r="L8" i="120"/>
  <c r="L7" i="120"/>
  <c r="L6" i="120"/>
  <c r="L5" i="120"/>
  <c r="L4" i="120"/>
  <c r="L3" i="120"/>
  <c r="L2" i="120"/>
  <c r="C1" i="120"/>
  <c r="A1" i="119"/>
  <c r="A1" i="118"/>
  <c r="Q201" i="117"/>
  <c r="N201" i="117"/>
  <c r="K201" i="117"/>
  <c r="H201" i="117"/>
  <c r="E201" i="117"/>
  <c r="E202" i="117" s="1"/>
  <c r="Q175" i="117"/>
  <c r="Q176" i="117" s="1"/>
  <c r="N175" i="117"/>
  <c r="K175" i="117"/>
  <c r="H175" i="117"/>
  <c r="E175" i="117"/>
  <c r="Q149" i="117"/>
  <c r="Q150" i="117" s="1"/>
  <c r="N149" i="117"/>
  <c r="K149" i="117"/>
  <c r="H149" i="117"/>
  <c r="E149" i="117"/>
  <c r="E150" i="117" s="1"/>
  <c r="Q123" i="117"/>
  <c r="Q124" i="117" s="1"/>
  <c r="N123" i="117"/>
  <c r="N124" i="117" s="1"/>
  <c r="K123" i="117"/>
  <c r="H123" i="117"/>
  <c r="E123" i="117"/>
  <c r="E124" i="117" s="1"/>
  <c r="Q97" i="117"/>
  <c r="N97" i="117"/>
  <c r="K97" i="117"/>
  <c r="K98" i="117" s="1"/>
  <c r="H97" i="117"/>
  <c r="H98" i="117" s="1"/>
  <c r="E97" i="117"/>
  <c r="Q71" i="117"/>
  <c r="Q72" i="117" s="1"/>
  <c r="N71" i="117"/>
  <c r="K71" i="117"/>
  <c r="K72" i="117" s="1"/>
  <c r="H71" i="117"/>
  <c r="H72" i="117" s="1"/>
  <c r="E71" i="117"/>
  <c r="E72" i="117" s="1"/>
  <c r="Q45" i="117"/>
  <c r="N45" i="117"/>
  <c r="N46" i="117" s="1"/>
  <c r="K45" i="117"/>
  <c r="K46" i="117" s="1"/>
  <c r="H45" i="117"/>
  <c r="H46" i="117" s="1"/>
  <c r="E45" i="117"/>
  <c r="E46" i="117" s="1"/>
  <c r="B185" i="117"/>
  <c r="BH189" i="117" s="1"/>
  <c r="BH190" i="117" s="1"/>
  <c r="BH191" i="117" s="1"/>
  <c r="BH192" i="117" s="1"/>
  <c r="BH193" i="117" s="1"/>
  <c r="BH194" i="117" s="1"/>
  <c r="BH195" i="117" s="1"/>
  <c r="BH196" i="117" s="1"/>
  <c r="BH197" i="117" s="1"/>
  <c r="G183" i="117"/>
  <c r="B159" i="117"/>
  <c r="BH163" i="117" s="1"/>
  <c r="BH164" i="117" s="1"/>
  <c r="BH165" i="117" s="1"/>
  <c r="BH166" i="117" s="1"/>
  <c r="BH167" i="117" s="1"/>
  <c r="BH168" i="117" s="1"/>
  <c r="BH169" i="117" s="1"/>
  <c r="BH170" i="117" s="1"/>
  <c r="BH171" i="117" s="1"/>
  <c r="G157" i="117"/>
  <c r="B133" i="117"/>
  <c r="BH137" i="117" s="1"/>
  <c r="BH138" i="117" s="1"/>
  <c r="BH139" i="117" s="1"/>
  <c r="BH140" i="117" s="1"/>
  <c r="BH141" i="117" s="1"/>
  <c r="BH142" i="117" s="1"/>
  <c r="BH143" i="117" s="1"/>
  <c r="BH144" i="117" s="1"/>
  <c r="BH145" i="117" s="1"/>
  <c r="G131" i="117"/>
  <c r="B107" i="117"/>
  <c r="BH111" i="117" s="1"/>
  <c r="BH112" i="117" s="1"/>
  <c r="BH113" i="117" s="1"/>
  <c r="BH114" i="117" s="1"/>
  <c r="BH115" i="117" s="1"/>
  <c r="BH116" i="117" s="1"/>
  <c r="BH117" i="117" s="1"/>
  <c r="BH118" i="117" s="1"/>
  <c r="BH119" i="117" s="1"/>
  <c r="G105" i="117"/>
  <c r="B81" i="117"/>
  <c r="BH85" i="117" s="1"/>
  <c r="BH86" i="117" s="1"/>
  <c r="BH87" i="117" s="1"/>
  <c r="BH88" i="117" s="1"/>
  <c r="BH89" i="117" s="1"/>
  <c r="BH90" i="117" s="1"/>
  <c r="BH91" i="117" s="1"/>
  <c r="BH92" i="117" s="1"/>
  <c r="BH93" i="117" s="1"/>
  <c r="G79" i="117"/>
  <c r="B55" i="117"/>
  <c r="G53" i="117"/>
  <c r="B29" i="117"/>
  <c r="BH33" i="117" s="1"/>
  <c r="BH34" i="117" s="1"/>
  <c r="BH35" i="117" s="1"/>
  <c r="BH36" i="117" s="1"/>
  <c r="BH37" i="117" s="1"/>
  <c r="BH38" i="117" s="1"/>
  <c r="BH39" i="117" s="1"/>
  <c r="BH40" i="117" s="1"/>
  <c r="BH41" i="117" s="1"/>
  <c r="G27" i="117"/>
  <c r="Q19" i="117"/>
  <c r="Q20" i="117" s="1"/>
  <c r="N19" i="117"/>
  <c r="K19" i="117"/>
  <c r="K20" i="117" s="1"/>
  <c r="H19" i="117"/>
  <c r="H20" i="117" s="1"/>
  <c r="E19" i="117"/>
  <c r="E20" i="117" s="1"/>
  <c r="AT199" i="117"/>
  <c r="Q198" i="117"/>
  <c r="N198" i="117"/>
  <c r="K198" i="117"/>
  <c r="H198" i="117"/>
  <c r="E198" i="117"/>
  <c r="BC197" i="117"/>
  <c r="BB197" i="117"/>
  <c r="BA197" i="117"/>
  <c r="AZ197" i="117"/>
  <c r="AY197" i="117"/>
  <c r="AX197" i="117" s="1"/>
  <c r="AU197" i="117"/>
  <c r="AL197" i="117" s="1"/>
  <c r="T197" i="117"/>
  <c r="AV197" i="117" s="1"/>
  <c r="R197" i="117"/>
  <c r="O197" i="117"/>
  <c r="L197" i="117"/>
  <c r="I197" i="117"/>
  <c r="F197" i="117"/>
  <c r="B197" i="117"/>
  <c r="BC196" i="117"/>
  <c r="BB196" i="117"/>
  <c r="BA196" i="117"/>
  <c r="AZ196" i="117"/>
  <c r="AY196" i="117"/>
  <c r="AU196" i="117"/>
  <c r="AL196" i="117" s="1"/>
  <c r="T196" i="117"/>
  <c r="AV196" i="117" s="1"/>
  <c r="R196" i="117"/>
  <c r="O196" i="117"/>
  <c r="L196" i="117"/>
  <c r="I196" i="117"/>
  <c r="F196" i="117"/>
  <c r="B196" i="117"/>
  <c r="BC195" i="117"/>
  <c r="BB195" i="117"/>
  <c r="BA195" i="117"/>
  <c r="AZ195" i="117"/>
  <c r="AY195" i="117"/>
  <c r="AU195" i="117"/>
  <c r="AL195" i="117" s="1"/>
  <c r="T195" i="117"/>
  <c r="AV195" i="117" s="1"/>
  <c r="R195" i="117"/>
  <c r="O195" i="117"/>
  <c r="L195" i="117"/>
  <c r="I195" i="117"/>
  <c r="F195" i="117"/>
  <c r="B195" i="117"/>
  <c r="BC194" i="117"/>
  <c r="BB194" i="117"/>
  <c r="BA194" i="117"/>
  <c r="AZ194" i="117"/>
  <c r="AY194" i="117"/>
  <c r="AU194" i="117"/>
  <c r="AL194" i="117" s="1"/>
  <c r="AN194" i="117"/>
  <c r="AM194" i="117"/>
  <c r="T194" i="117"/>
  <c r="AV194" i="117" s="1"/>
  <c r="R194" i="117"/>
  <c r="O194" i="117"/>
  <c r="L194" i="117"/>
  <c r="I194" i="117"/>
  <c r="F194" i="117"/>
  <c r="B194" i="117"/>
  <c r="BC193" i="117"/>
  <c r="BB193" i="117"/>
  <c r="BA193" i="117"/>
  <c r="AZ193" i="117"/>
  <c r="AY193" i="117"/>
  <c r="AU193" i="117"/>
  <c r="AM193" i="117" s="1"/>
  <c r="T193" i="117"/>
  <c r="AV193" i="117" s="1"/>
  <c r="R193" i="117"/>
  <c r="O193" i="117"/>
  <c r="L193" i="117"/>
  <c r="I193" i="117"/>
  <c r="F193" i="117"/>
  <c r="B193" i="117"/>
  <c r="BC192" i="117"/>
  <c r="BB192" i="117"/>
  <c r="BA192" i="117"/>
  <c r="AZ192" i="117"/>
  <c r="AY192" i="117"/>
  <c r="AU192" i="117"/>
  <c r="T192" i="117"/>
  <c r="AV192" i="117" s="1"/>
  <c r="R192" i="117"/>
  <c r="O192" i="117"/>
  <c r="L192" i="117"/>
  <c r="I192" i="117"/>
  <c r="F192" i="117"/>
  <c r="B192" i="117"/>
  <c r="BC191" i="117"/>
  <c r="BB191" i="117"/>
  <c r="BA191" i="117"/>
  <c r="AZ191" i="117"/>
  <c r="AY191" i="117"/>
  <c r="AU191" i="117"/>
  <c r="AL191" i="117" s="1"/>
  <c r="T191" i="117"/>
  <c r="AV191" i="117" s="1"/>
  <c r="R191" i="117"/>
  <c r="O191" i="117"/>
  <c r="L191" i="117"/>
  <c r="I191" i="117"/>
  <c r="F191" i="117"/>
  <c r="B191" i="117"/>
  <c r="BC190" i="117"/>
  <c r="BB190" i="117"/>
  <c r="BA190" i="117"/>
  <c r="AZ190" i="117"/>
  <c r="AY190" i="117"/>
  <c r="AU190" i="117"/>
  <c r="AL190" i="117" s="1"/>
  <c r="T190" i="117"/>
  <c r="AV190" i="117" s="1"/>
  <c r="R190" i="117"/>
  <c r="O190" i="117"/>
  <c r="L190" i="117"/>
  <c r="I190" i="117"/>
  <c r="F190" i="117"/>
  <c r="B190" i="117"/>
  <c r="BC189" i="117"/>
  <c r="BB189" i="117"/>
  <c r="BA189" i="117"/>
  <c r="AZ189" i="117"/>
  <c r="AY189" i="117"/>
  <c r="AU189" i="117"/>
  <c r="AL189" i="117" s="1"/>
  <c r="T189" i="117"/>
  <c r="AV189" i="117" s="1"/>
  <c r="R189" i="117"/>
  <c r="O189" i="117"/>
  <c r="L189" i="117"/>
  <c r="I189" i="117"/>
  <c r="F189" i="117"/>
  <c r="B189" i="117"/>
  <c r="AT173" i="117"/>
  <c r="Q172" i="117"/>
  <c r="N172" i="117"/>
  <c r="K172" i="117"/>
  <c r="H172" i="117"/>
  <c r="E172" i="117"/>
  <c r="BC171" i="117"/>
  <c r="BB171" i="117"/>
  <c r="BA171" i="117"/>
  <c r="AZ171" i="117"/>
  <c r="AY171" i="117"/>
  <c r="AU171" i="117"/>
  <c r="AL171" i="117" s="1"/>
  <c r="T171" i="117"/>
  <c r="AV171" i="117" s="1"/>
  <c r="R171" i="117"/>
  <c r="O171" i="117"/>
  <c r="L171" i="117"/>
  <c r="I171" i="117"/>
  <c r="F171" i="117"/>
  <c r="B171" i="117"/>
  <c r="BC170" i="117"/>
  <c r="BB170" i="117"/>
  <c r="BA170" i="117"/>
  <c r="AZ170" i="117"/>
  <c r="AY170" i="117"/>
  <c r="AU170" i="117"/>
  <c r="AL170" i="117" s="1"/>
  <c r="T170" i="117"/>
  <c r="AV170" i="117" s="1"/>
  <c r="R170" i="117"/>
  <c r="O170" i="117"/>
  <c r="L170" i="117"/>
  <c r="I170" i="117"/>
  <c r="F170" i="117"/>
  <c r="B170" i="117"/>
  <c r="BC169" i="117"/>
  <c r="BB169" i="117"/>
  <c r="BA169" i="117"/>
  <c r="AZ169" i="117"/>
  <c r="AY169" i="117"/>
  <c r="AU169" i="117"/>
  <c r="AL169" i="117" s="1"/>
  <c r="T169" i="117"/>
  <c r="AV169" i="117" s="1"/>
  <c r="R169" i="117"/>
  <c r="O169" i="117"/>
  <c r="L169" i="117"/>
  <c r="I169" i="117"/>
  <c r="F169" i="117"/>
  <c r="B169" i="117"/>
  <c r="BC168" i="117"/>
  <c r="BB168" i="117"/>
  <c r="BA168" i="117"/>
  <c r="AZ168" i="117"/>
  <c r="AY168" i="117"/>
  <c r="AU168" i="117"/>
  <c r="AM168" i="117"/>
  <c r="T168" i="117"/>
  <c r="AV168" i="117" s="1"/>
  <c r="R168" i="117"/>
  <c r="O168" i="117"/>
  <c r="L168" i="117"/>
  <c r="I168" i="117"/>
  <c r="F168" i="117"/>
  <c r="B168" i="117"/>
  <c r="BC167" i="117"/>
  <c r="BB167" i="117"/>
  <c r="BA167" i="117"/>
  <c r="AZ167" i="117"/>
  <c r="AY167" i="117"/>
  <c r="AU167" i="117"/>
  <c r="AL167" i="117" s="1"/>
  <c r="T167" i="117"/>
  <c r="AV167" i="117" s="1"/>
  <c r="R167" i="117"/>
  <c r="O167" i="117"/>
  <c r="L167" i="117"/>
  <c r="I167" i="117"/>
  <c r="F167" i="117"/>
  <c r="B167" i="117"/>
  <c r="BC166" i="117"/>
  <c r="BB166" i="117"/>
  <c r="BA166" i="117"/>
  <c r="AZ166" i="117"/>
  <c r="AY166" i="117"/>
  <c r="AU166" i="117"/>
  <c r="AL166" i="117" s="1"/>
  <c r="T166" i="117"/>
  <c r="AV166" i="117" s="1"/>
  <c r="R166" i="117"/>
  <c r="O166" i="117"/>
  <c r="L166" i="117"/>
  <c r="I166" i="117"/>
  <c r="F166" i="117"/>
  <c r="B166" i="117"/>
  <c r="BC165" i="117"/>
  <c r="BB165" i="117"/>
  <c r="BA165" i="117"/>
  <c r="AZ165" i="117"/>
  <c r="AY165" i="117"/>
  <c r="AU165" i="117"/>
  <c r="AL165" i="117" s="1"/>
  <c r="T165" i="117"/>
  <c r="AV165" i="117" s="1"/>
  <c r="R165" i="117"/>
  <c r="O165" i="117"/>
  <c r="L165" i="117"/>
  <c r="I165" i="117"/>
  <c r="F165" i="117"/>
  <c r="B165" i="117"/>
  <c r="BC164" i="117"/>
  <c r="BB164" i="117"/>
  <c r="BA164" i="117"/>
  <c r="AZ164" i="117"/>
  <c r="AY164" i="117"/>
  <c r="AU164" i="117"/>
  <c r="AL164" i="117" s="1"/>
  <c r="T164" i="117"/>
  <c r="AV164" i="117" s="1"/>
  <c r="R164" i="117"/>
  <c r="O164" i="117"/>
  <c r="L164" i="117"/>
  <c r="I164" i="117"/>
  <c r="F164" i="117"/>
  <c r="B164" i="117"/>
  <c r="BC163" i="117"/>
  <c r="BB163" i="117"/>
  <c r="BA163" i="117"/>
  <c r="AZ163" i="117"/>
  <c r="AY163" i="117"/>
  <c r="AU163" i="117"/>
  <c r="AL163" i="117" s="1"/>
  <c r="T163" i="117"/>
  <c r="AV163" i="117" s="1"/>
  <c r="R163" i="117"/>
  <c r="O163" i="117"/>
  <c r="L163" i="117"/>
  <c r="I163" i="117"/>
  <c r="F163" i="117"/>
  <c r="B163" i="117"/>
  <c r="AT147" i="117"/>
  <c r="Q146" i="117"/>
  <c r="N146" i="117"/>
  <c r="K146" i="117"/>
  <c r="H146" i="117"/>
  <c r="E146" i="117"/>
  <c r="BC145" i="117"/>
  <c r="BB145" i="117"/>
  <c r="BA145" i="117"/>
  <c r="AZ145" i="117"/>
  <c r="AY145" i="117"/>
  <c r="AU145" i="117"/>
  <c r="AM145" i="117" s="1"/>
  <c r="T145" i="117"/>
  <c r="AV145" i="117" s="1"/>
  <c r="R145" i="117"/>
  <c r="O145" i="117"/>
  <c r="L145" i="117"/>
  <c r="I145" i="117"/>
  <c r="F145" i="117"/>
  <c r="B145" i="117"/>
  <c r="BC144" i="117"/>
  <c r="BB144" i="117"/>
  <c r="BA144" i="117"/>
  <c r="AZ144" i="117"/>
  <c r="AY144" i="117"/>
  <c r="AU144" i="117"/>
  <c r="AL144" i="117" s="1"/>
  <c r="T144" i="117"/>
  <c r="AV144" i="117" s="1"/>
  <c r="R144" i="117"/>
  <c r="O144" i="117"/>
  <c r="L144" i="117"/>
  <c r="I144" i="117"/>
  <c r="F144" i="117"/>
  <c r="B144" i="117"/>
  <c r="BC143" i="117"/>
  <c r="BB143" i="117"/>
  <c r="BA143" i="117"/>
  <c r="AZ143" i="117"/>
  <c r="AY143" i="117"/>
  <c r="AU143" i="117"/>
  <c r="AN143" i="117" s="1"/>
  <c r="T143" i="117"/>
  <c r="AV143" i="117" s="1"/>
  <c r="R143" i="117"/>
  <c r="O143" i="117"/>
  <c r="L143" i="117"/>
  <c r="I143" i="117"/>
  <c r="F143" i="117"/>
  <c r="B143" i="117"/>
  <c r="BC142" i="117"/>
  <c r="BB142" i="117"/>
  <c r="BA142" i="117"/>
  <c r="AZ142" i="117"/>
  <c r="AY142" i="117"/>
  <c r="AU142" i="117"/>
  <c r="T142" i="117"/>
  <c r="AV142" i="117" s="1"/>
  <c r="R142" i="117"/>
  <c r="O142" i="117"/>
  <c r="L142" i="117"/>
  <c r="I142" i="117"/>
  <c r="F142" i="117"/>
  <c r="B142" i="117"/>
  <c r="BC141" i="117"/>
  <c r="BB141" i="117"/>
  <c r="BA141" i="117"/>
  <c r="AZ141" i="117"/>
  <c r="AY141" i="117"/>
  <c r="AU141" i="117"/>
  <c r="AN141" i="117" s="1"/>
  <c r="T141" i="117"/>
  <c r="AV141" i="117" s="1"/>
  <c r="R141" i="117"/>
  <c r="O141" i="117"/>
  <c r="L141" i="117"/>
  <c r="I141" i="117"/>
  <c r="F141" i="117"/>
  <c r="B141" i="117"/>
  <c r="BC140" i="117"/>
  <c r="BB140" i="117"/>
  <c r="BA140" i="117"/>
  <c r="AZ140" i="117"/>
  <c r="AY140" i="117"/>
  <c r="AU140" i="117"/>
  <c r="AL140" i="117" s="1"/>
  <c r="T140" i="117"/>
  <c r="AV140" i="117" s="1"/>
  <c r="R140" i="117"/>
  <c r="O140" i="117"/>
  <c r="L140" i="117"/>
  <c r="I140" i="117"/>
  <c r="F140" i="117"/>
  <c r="B140" i="117"/>
  <c r="BC139" i="117"/>
  <c r="BB139" i="117"/>
  <c r="BA139" i="117"/>
  <c r="AZ139" i="117"/>
  <c r="AY139" i="117"/>
  <c r="AU139" i="117"/>
  <c r="AN139" i="117"/>
  <c r="T139" i="117"/>
  <c r="AV139" i="117" s="1"/>
  <c r="R139" i="117"/>
  <c r="O139" i="117"/>
  <c r="L139" i="117"/>
  <c r="I139" i="117"/>
  <c r="F139" i="117"/>
  <c r="B139" i="117"/>
  <c r="BC138" i="117"/>
  <c r="BB138" i="117"/>
  <c r="BA138" i="117"/>
  <c r="AZ138" i="117"/>
  <c r="AY138" i="117"/>
  <c r="AU138" i="117"/>
  <c r="AN138" i="117" s="1"/>
  <c r="T138" i="117"/>
  <c r="AV138" i="117" s="1"/>
  <c r="R138" i="117"/>
  <c r="O138" i="117"/>
  <c r="L138" i="117"/>
  <c r="I138" i="117"/>
  <c r="F138" i="117"/>
  <c r="B138" i="117"/>
  <c r="BC137" i="117"/>
  <c r="BB137" i="117"/>
  <c r="BA137" i="117"/>
  <c r="AZ137" i="117"/>
  <c r="AY137" i="117"/>
  <c r="AU137" i="117"/>
  <c r="AL137" i="117" s="1"/>
  <c r="T137" i="117"/>
  <c r="AV137" i="117" s="1"/>
  <c r="R137" i="117"/>
  <c r="O137" i="117"/>
  <c r="L137" i="117"/>
  <c r="I137" i="117"/>
  <c r="F137" i="117"/>
  <c r="B137" i="117"/>
  <c r="H124" i="117"/>
  <c r="AT121" i="117"/>
  <c r="Q120" i="117"/>
  <c r="N120" i="117"/>
  <c r="K120" i="117"/>
  <c r="H120" i="117"/>
  <c r="E120" i="117"/>
  <c r="BC119" i="117"/>
  <c r="BB119" i="117"/>
  <c r="BA119" i="117"/>
  <c r="AZ119" i="117"/>
  <c r="AY119" i="117"/>
  <c r="AU119" i="117"/>
  <c r="AN119" i="117" s="1"/>
  <c r="T119" i="117"/>
  <c r="AV119" i="117" s="1"/>
  <c r="R119" i="117"/>
  <c r="O119" i="117"/>
  <c r="L119" i="117"/>
  <c r="I119" i="117"/>
  <c r="F119" i="117"/>
  <c r="B119" i="117"/>
  <c r="BC118" i="117"/>
  <c r="BB118" i="117"/>
  <c r="BA118" i="117"/>
  <c r="AZ118" i="117"/>
  <c r="AY118" i="117"/>
  <c r="AU118" i="117"/>
  <c r="AL118" i="117" s="1"/>
  <c r="T118" i="117"/>
  <c r="AV118" i="117" s="1"/>
  <c r="R118" i="117"/>
  <c r="O118" i="117"/>
  <c r="L118" i="117"/>
  <c r="I118" i="117"/>
  <c r="F118" i="117"/>
  <c r="B118" i="117"/>
  <c r="BC117" i="117"/>
  <c r="BB117" i="117"/>
  <c r="BA117" i="117"/>
  <c r="AZ117" i="117"/>
  <c r="AY117" i="117"/>
  <c r="AU117" i="117"/>
  <c r="AL117" i="117" s="1"/>
  <c r="T117" i="117"/>
  <c r="AV117" i="117" s="1"/>
  <c r="R117" i="117"/>
  <c r="O117" i="117"/>
  <c r="L117" i="117"/>
  <c r="I117" i="117"/>
  <c r="F117" i="117"/>
  <c r="B117" i="117"/>
  <c r="BC116" i="117"/>
  <c r="BB116" i="117"/>
  <c r="BA116" i="117"/>
  <c r="AZ116" i="117"/>
  <c r="AY116" i="117"/>
  <c r="AU116" i="117"/>
  <c r="AM116" i="117" s="1"/>
  <c r="T116" i="117"/>
  <c r="AV116" i="117" s="1"/>
  <c r="R116" i="117"/>
  <c r="O116" i="117"/>
  <c r="L116" i="117"/>
  <c r="I116" i="117"/>
  <c r="F116" i="117"/>
  <c r="B116" i="117"/>
  <c r="BC115" i="117"/>
  <c r="BB115" i="117"/>
  <c r="BA115" i="117"/>
  <c r="AZ115" i="117"/>
  <c r="AY115" i="117"/>
  <c r="AU115" i="117"/>
  <c r="AL115" i="117" s="1"/>
  <c r="T115" i="117"/>
  <c r="AV115" i="117" s="1"/>
  <c r="R115" i="117"/>
  <c r="O115" i="117"/>
  <c r="L115" i="117"/>
  <c r="I115" i="117"/>
  <c r="F115" i="117"/>
  <c r="B115" i="117"/>
  <c r="BC114" i="117"/>
  <c r="BB114" i="117"/>
  <c r="BA114" i="117"/>
  <c r="AZ114" i="117"/>
  <c r="AY114" i="117"/>
  <c r="AU114" i="117"/>
  <c r="AL114" i="117" s="1"/>
  <c r="T114" i="117"/>
  <c r="AV114" i="117" s="1"/>
  <c r="R114" i="117"/>
  <c r="O114" i="117"/>
  <c r="L114" i="117"/>
  <c r="I114" i="117"/>
  <c r="F114" i="117"/>
  <c r="B114" i="117"/>
  <c r="BC113" i="117"/>
  <c r="BB113" i="117"/>
  <c r="BA113" i="117"/>
  <c r="AZ113" i="117"/>
  <c r="AY113" i="117"/>
  <c r="AU113" i="117"/>
  <c r="AN113" i="117" s="1"/>
  <c r="T113" i="117"/>
  <c r="AV113" i="117" s="1"/>
  <c r="R113" i="117"/>
  <c r="O113" i="117"/>
  <c r="L113" i="117"/>
  <c r="I113" i="117"/>
  <c r="F113" i="117"/>
  <c r="B113" i="117"/>
  <c r="BC112" i="117"/>
  <c r="BB112" i="117"/>
  <c r="BA112" i="117"/>
  <c r="AZ112" i="117"/>
  <c r="AY112" i="117"/>
  <c r="AU112" i="117"/>
  <c r="AM112" i="117" s="1"/>
  <c r="T112" i="117"/>
  <c r="AV112" i="117" s="1"/>
  <c r="R112" i="117"/>
  <c r="O112" i="117"/>
  <c r="L112" i="117"/>
  <c r="I112" i="117"/>
  <c r="F112" i="117"/>
  <c r="B112" i="117"/>
  <c r="BC111" i="117"/>
  <c r="BB111" i="117"/>
  <c r="BA111" i="117"/>
  <c r="AZ111" i="117"/>
  <c r="AY111" i="117"/>
  <c r="AU111" i="117"/>
  <c r="T111" i="117"/>
  <c r="AV111" i="117" s="1"/>
  <c r="R111" i="117"/>
  <c r="O111" i="117"/>
  <c r="L111" i="117"/>
  <c r="I111" i="117"/>
  <c r="F111" i="117"/>
  <c r="B111" i="117"/>
  <c r="N98" i="117"/>
  <c r="AT95" i="117"/>
  <c r="Q94" i="117"/>
  <c r="N94" i="117"/>
  <c r="K94" i="117"/>
  <c r="H94" i="117"/>
  <c r="E94" i="117"/>
  <c r="BC93" i="117"/>
  <c r="BB93" i="117"/>
  <c r="BA93" i="117"/>
  <c r="AZ93" i="117"/>
  <c r="AY93" i="117"/>
  <c r="AU93" i="117"/>
  <c r="AN93" i="117" s="1"/>
  <c r="T93" i="117"/>
  <c r="AV93" i="117" s="1"/>
  <c r="R93" i="117"/>
  <c r="O93" i="117"/>
  <c r="L93" i="117"/>
  <c r="I93" i="117"/>
  <c r="F93" i="117"/>
  <c r="B93" i="117"/>
  <c r="BC92" i="117"/>
  <c r="BB92" i="117"/>
  <c r="BA92" i="117"/>
  <c r="AZ92" i="117"/>
  <c r="AY92" i="117"/>
  <c r="AU92" i="117"/>
  <c r="AL92" i="117" s="1"/>
  <c r="T92" i="117"/>
  <c r="AV92" i="117" s="1"/>
  <c r="R92" i="117"/>
  <c r="O92" i="117"/>
  <c r="L92" i="117"/>
  <c r="I92" i="117"/>
  <c r="F92" i="117"/>
  <c r="B92" i="117"/>
  <c r="BC91" i="117"/>
  <c r="BB91" i="117"/>
  <c r="BA91" i="117"/>
  <c r="AZ91" i="117"/>
  <c r="AY91" i="117"/>
  <c r="AU91" i="117"/>
  <c r="AL91" i="117" s="1"/>
  <c r="T91" i="117"/>
  <c r="AV91" i="117" s="1"/>
  <c r="R91" i="117"/>
  <c r="O91" i="117"/>
  <c r="L91" i="117"/>
  <c r="I91" i="117"/>
  <c r="F91" i="117"/>
  <c r="B91" i="117"/>
  <c r="BC90" i="117"/>
  <c r="BB90" i="117"/>
  <c r="BA90" i="117"/>
  <c r="AZ90" i="117"/>
  <c r="AY90" i="117"/>
  <c r="AU90" i="117"/>
  <c r="AM90" i="117" s="1"/>
  <c r="T90" i="117"/>
  <c r="AV90" i="117" s="1"/>
  <c r="R90" i="117"/>
  <c r="O90" i="117"/>
  <c r="L90" i="117"/>
  <c r="I90" i="117"/>
  <c r="F90" i="117"/>
  <c r="B90" i="117"/>
  <c r="BC89" i="117"/>
  <c r="BB89" i="117"/>
  <c r="BA89" i="117"/>
  <c r="AZ89" i="117"/>
  <c r="AY89" i="117"/>
  <c r="AU89" i="117"/>
  <c r="AN89" i="117" s="1"/>
  <c r="T89" i="117"/>
  <c r="AV89" i="117" s="1"/>
  <c r="R89" i="117"/>
  <c r="O89" i="117"/>
  <c r="L89" i="117"/>
  <c r="I89" i="117"/>
  <c r="F89" i="117"/>
  <c r="B89" i="117"/>
  <c r="BC88" i="117"/>
  <c r="BB88" i="117"/>
  <c r="BA88" i="117"/>
  <c r="AZ88" i="117"/>
  <c r="AY88" i="117"/>
  <c r="AU88" i="117"/>
  <c r="AL88" i="117" s="1"/>
  <c r="T88" i="117"/>
  <c r="AV88" i="117" s="1"/>
  <c r="R88" i="117"/>
  <c r="O88" i="117"/>
  <c r="L88" i="117"/>
  <c r="I88" i="117"/>
  <c r="F88" i="117"/>
  <c r="B88" i="117"/>
  <c r="BC87" i="117"/>
  <c r="BB87" i="117"/>
  <c r="BA87" i="117"/>
  <c r="AZ87" i="117"/>
  <c r="AY87" i="117"/>
  <c r="AW87" i="117" s="1"/>
  <c r="AU87" i="117"/>
  <c r="AL87" i="117" s="1"/>
  <c r="T87" i="117"/>
  <c r="AV87" i="117" s="1"/>
  <c r="R87" i="117"/>
  <c r="O87" i="117"/>
  <c r="L87" i="117"/>
  <c r="I87" i="117"/>
  <c r="F87" i="117"/>
  <c r="B87" i="117"/>
  <c r="BC86" i="117"/>
  <c r="BB86" i="117"/>
  <c r="BA86" i="117"/>
  <c r="AZ86" i="117"/>
  <c r="AY86" i="117"/>
  <c r="AU86" i="117"/>
  <c r="T86" i="117"/>
  <c r="AV86" i="117" s="1"/>
  <c r="R86" i="117"/>
  <c r="O86" i="117"/>
  <c r="L86" i="117"/>
  <c r="I86" i="117"/>
  <c r="F86" i="117"/>
  <c r="B86" i="117"/>
  <c r="BC85" i="117"/>
  <c r="BB85" i="117"/>
  <c r="BA85" i="117"/>
  <c r="AZ85" i="117"/>
  <c r="AY85" i="117"/>
  <c r="AU85" i="117"/>
  <c r="AM85" i="117" s="1"/>
  <c r="T85" i="117"/>
  <c r="AV85" i="117" s="1"/>
  <c r="R85" i="117"/>
  <c r="O85" i="117"/>
  <c r="L85" i="117"/>
  <c r="I85" i="117"/>
  <c r="F85" i="117"/>
  <c r="B85" i="117"/>
  <c r="AT69" i="117"/>
  <c r="Q68" i="117"/>
  <c r="N68" i="117"/>
  <c r="K68" i="117"/>
  <c r="H68" i="117"/>
  <c r="E68" i="117"/>
  <c r="BC67" i="117"/>
  <c r="BB67" i="117"/>
  <c r="BA67" i="117"/>
  <c r="AZ67" i="117"/>
  <c r="AY67" i="117"/>
  <c r="AU67" i="117"/>
  <c r="T67" i="117"/>
  <c r="AV67" i="117" s="1"/>
  <c r="R67" i="117"/>
  <c r="O67" i="117"/>
  <c r="L67" i="117"/>
  <c r="I67" i="117"/>
  <c r="F67" i="117"/>
  <c r="B67" i="117"/>
  <c r="BC66" i="117"/>
  <c r="BB66" i="117"/>
  <c r="BA66" i="117"/>
  <c r="AZ66" i="117"/>
  <c r="AY66" i="117"/>
  <c r="AU66" i="117"/>
  <c r="AM66" i="117" s="1"/>
  <c r="T66" i="117"/>
  <c r="AV66" i="117" s="1"/>
  <c r="R66" i="117"/>
  <c r="O66" i="117"/>
  <c r="L66" i="117"/>
  <c r="I66" i="117"/>
  <c r="F66" i="117"/>
  <c r="B66" i="117"/>
  <c r="BC65" i="117"/>
  <c r="BB65" i="117"/>
  <c r="BA65" i="117"/>
  <c r="AZ65" i="117"/>
  <c r="AY65" i="117"/>
  <c r="AU65" i="117"/>
  <c r="AN65" i="117" s="1"/>
  <c r="T65" i="117"/>
  <c r="AV65" i="117" s="1"/>
  <c r="R65" i="117"/>
  <c r="O65" i="117"/>
  <c r="L65" i="117"/>
  <c r="I65" i="117"/>
  <c r="F65" i="117"/>
  <c r="B65" i="117"/>
  <c r="BC64" i="117"/>
  <c r="BB64" i="117"/>
  <c r="BA64" i="117"/>
  <c r="AZ64" i="117"/>
  <c r="AY64" i="117"/>
  <c r="AU64" i="117"/>
  <c r="AL64" i="117" s="1"/>
  <c r="T64" i="117"/>
  <c r="AV64" i="117" s="1"/>
  <c r="R64" i="117"/>
  <c r="O64" i="117"/>
  <c r="L64" i="117"/>
  <c r="I64" i="117"/>
  <c r="F64" i="117"/>
  <c r="B64" i="117"/>
  <c r="BC63" i="117"/>
  <c r="BB63" i="117"/>
  <c r="BA63" i="117"/>
  <c r="AZ63" i="117"/>
  <c r="AY63" i="117"/>
  <c r="AU63" i="117"/>
  <c r="AL63" i="117" s="1"/>
  <c r="T63" i="117"/>
  <c r="AV63" i="117" s="1"/>
  <c r="R63" i="117"/>
  <c r="O63" i="117"/>
  <c r="L63" i="117"/>
  <c r="I63" i="117"/>
  <c r="F63" i="117"/>
  <c r="B63" i="117"/>
  <c r="BC62" i="117"/>
  <c r="BB62" i="117"/>
  <c r="BA62" i="117"/>
  <c r="AZ62" i="117"/>
  <c r="AY62" i="117"/>
  <c r="AU62" i="117"/>
  <c r="T62" i="117"/>
  <c r="AV62" i="117" s="1"/>
  <c r="R62" i="117"/>
  <c r="O62" i="117"/>
  <c r="L62" i="117"/>
  <c r="I62" i="117"/>
  <c r="F62" i="117"/>
  <c r="B62" i="117"/>
  <c r="BC61" i="117"/>
  <c r="BB61" i="117"/>
  <c r="BA61" i="117"/>
  <c r="AZ61" i="117"/>
  <c r="AY61" i="117"/>
  <c r="AU61" i="117"/>
  <c r="AN61" i="117" s="1"/>
  <c r="T61" i="117"/>
  <c r="AV61" i="117" s="1"/>
  <c r="R61" i="117"/>
  <c r="O61" i="117"/>
  <c r="L61" i="117"/>
  <c r="I61" i="117"/>
  <c r="F61" i="117"/>
  <c r="B61" i="117"/>
  <c r="BC60" i="117"/>
  <c r="BB60" i="117"/>
  <c r="BA60" i="117"/>
  <c r="AZ60" i="117"/>
  <c r="AY60" i="117"/>
  <c r="AU60" i="117"/>
  <c r="AN60" i="117" s="1"/>
  <c r="T60" i="117"/>
  <c r="AV60" i="117" s="1"/>
  <c r="R60" i="117"/>
  <c r="O60" i="117"/>
  <c r="L60" i="117"/>
  <c r="I60" i="117"/>
  <c r="F60" i="117"/>
  <c r="B60" i="117"/>
  <c r="BC59" i="117"/>
  <c r="BB59" i="117"/>
  <c r="BA59" i="117"/>
  <c r="AZ59" i="117"/>
  <c r="AY59" i="117"/>
  <c r="AU59" i="117"/>
  <c r="AL59" i="117" s="1"/>
  <c r="T59" i="117"/>
  <c r="AV59" i="117" s="1"/>
  <c r="R59" i="117"/>
  <c r="O59" i="117"/>
  <c r="L59" i="117"/>
  <c r="I59" i="117"/>
  <c r="F59" i="117"/>
  <c r="B59" i="117"/>
  <c r="BH59" i="117"/>
  <c r="BH60" i="117" s="1"/>
  <c r="BH61" i="117" s="1"/>
  <c r="BH62" i="117" s="1"/>
  <c r="BH63" i="117" s="1"/>
  <c r="BH64" i="117" s="1"/>
  <c r="BH65" i="117" s="1"/>
  <c r="BH66" i="117" s="1"/>
  <c r="BH67" i="117" s="1"/>
  <c r="AT43" i="117"/>
  <c r="Q42" i="117"/>
  <c r="N42" i="117"/>
  <c r="K42" i="117"/>
  <c r="H42" i="117"/>
  <c r="E42" i="117"/>
  <c r="BC41" i="117"/>
  <c r="BB41" i="117"/>
  <c r="BA41" i="117"/>
  <c r="AZ41" i="117"/>
  <c r="AY41" i="117"/>
  <c r="AW41" i="117" s="1"/>
  <c r="AU41" i="117"/>
  <c r="AL41" i="117" s="1"/>
  <c r="T41" i="117"/>
  <c r="AV41" i="117" s="1"/>
  <c r="R41" i="117"/>
  <c r="O41" i="117"/>
  <c r="L41" i="117"/>
  <c r="I41" i="117"/>
  <c r="F41" i="117"/>
  <c r="B41" i="117"/>
  <c r="BC40" i="117"/>
  <c r="BB40" i="117"/>
  <c r="BA40" i="117"/>
  <c r="AZ40" i="117"/>
  <c r="AY40" i="117"/>
  <c r="AU40" i="117"/>
  <c r="AN40" i="117" s="1"/>
  <c r="T40" i="117"/>
  <c r="AV40" i="117" s="1"/>
  <c r="R40" i="117"/>
  <c r="O40" i="117"/>
  <c r="L40" i="117"/>
  <c r="I40" i="117"/>
  <c r="F40" i="117"/>
  <c r="B40" i="117"/>
  <c r="BC39" i="117"/>
  <c r="BB39" i="117"/>
  <c r="BA39" i="117"/>
  <c r="AZ39" i="117"/>
  <c r="AY39" i="117"/>
  <c r="AU39" i="117"/>
  <c r="AN39" i="117" s="1"/>
  <c r="T39" i="117"/>
  <c r="AV39" i="117" s="1"/>
  <c r="R39" i="117"/>
  <c r="O39" i="117"/>
  <c r="L39" i="117"/>
  <c r="I39" i="117"/>
  <c r="F39" i="117"/>
  <c r="B39" i="117"/>
  <c r="BC38" i="117"/>
  <c r="BB38" i="117"/>
  <c r="BA38" i="117"/>
  <c r="AZ38" i="117"/>
  <c r="AY38" i="117"/>
  <c r="AU38" i="117"/>
  <c r="T38" i="117"/>
  <c r="AV38" i="117" s="1"/>
  <c r="R38" i="117"/>
  <c r="O38" i="117"/>
  <c r="L38" i="117"/>
  <c r="I38" i="117"/>
  <c r="F38" i="117"/>
  <c r="B38" i="117"/>
  <c r="BC37" i="117"/>
  <c r="BB37" i="117"/>
  <c r="BA37" i="117"/>
  <c r="AZ37" i="117"/>
  <c r="AY37" i="117"/>
  <c r="AU37" i="117"/>
  <c r="AN37" i="117" s="1"/>
  <c r="T37" i="117"/>
  <c r="AV37" i="117" s="1"/>
  <c r="R37" i="117"/>
  <c r="O37" i="117"/>
  <c r="L37" i="117"/>
  <c r="I37" i="117"/>
  <c r="F37" i="117"/>
  <c r="B37" i="117"/>
  <c r="BC36" i="117"/>
  <c r="BB36" i="117"/>
  <c r="BA36" i="117"/>
  <c r="AZ36" i="117"/>
  <c r="AY36" i="117"/>
  <c r="AU36" i="117"/>
  <c r="AL36" i="117" s="1"/>
  <c r="T36" i="117"/>
  <c r="AV36" i="117" s="1"/>
  <c r="R36" i="117"/>
  <c r="O36" i="117"/>
  <c r="L36" i="117"/>
  <c r="I36" i="117"/>
  <c r="F36" i="117"/>
  <c r="B36" i="117"/>
  <c r="BC35" i="117"/>
  <c r="BB35" i="117"/>
  <c r="BA35" i="117"/>
  <c r="AZ35" i="117"/>
  <c r="AY35" i="117"/>
  <c r="AU35" i="117"/>
  <c r="AN35" i="117" s="1"/>
  <c r="AM35" i="117"/>
  <c r="AO35" i="117" s="1"/>
  <c r="T35" i="117"/>
  <c r="AV35" i="117" s="1"/>
  <c r="R35" i="117"/>
  <c r="O35" i="117"/>
  <c r="L35" i="117"/>
  <c r="I35" i="117"/>
  <c r="F35" i="117"/>
  <c r="B35" i="117"/>
  <c r="BC34" i="117"/>
  <c r="BB34" i="117"/>
  <c r="BA34" i="117"/>
  <c r="AZ34" i="117"/>
  <c r="AY34" i="117"/>
  <c r="AU34" i="117"/>
  <c r="AN34" i="117" s="1"/>
  <c r="AM34" i="117"/>
  <c r="T34" i="117"/>
  <c r="AV34" i="117" s="1"/>
  <c r="R34" i="117"/>
  <c r="O34" i="117"/>
  <c r="L34" i="117"/>
  <c r="I34" i="117"/>
  <c r="F34" i="117"/>
  <c r="B34" i="117"/>
  <c r="BC33" i="117"/>
  <c r="BB33" i="117"/>
  <c r="BA33" i="117"/>
  <c r="AZ33" i="117"/>
  <c r="AY33" i="117"/>
  <c r="AU33" i="117"/>
  <c r="AL33" i="117" s="1"/>
  <c r="T33" i="117"/>
  <c r="AV33" i="117" s="1"/>
  <c r="R33" i="117"/>
  <c r="O33" i="117"/>
  <c r="L33" i="117"/>
  <c r="I33" i="117"/>
  <c r="F33" i="117"/>
  <c r="B33" i="117"/>
  <c r="AT17" i="117"/>
  <c r="Q16" i="117"/>
  <c r="N16" i="117"/>
  <c r="K16" i="117"/>
  <c r="H16" i="117"/>
  <c r="E16" i="117"/>
  <c r="BC15" i="117"/>
  <c r="BB15" i="117"/>
  <c r="BA15" i="117"/>
  <c r="AZ15" i="117"/>
  <c r="AY15" i="117"/>
  <c r="AU15" i="117"/>
  <c r="AM15" i="117" s="1"/>
  <c r="T15" i="117"/>
  <c r="AV15" i="117" s="1"/>
  <c r="R15" i="117"/>
  <c r="O15" i="117"/>
  <c r="L15" i="117"/>
  <c r="I15" i="117"/>
  <c r="F15" i="117"/>
  <c r="B15" i="117"/>
  <c r="BC14" i="117"/>
  <c r="BB14" i="117"/>
  <c r="BA14" i="117"/>
  <c r="AZ14" i="117"/>
  <c r="AY14" i="117"/>
  <c r="AU14" i="117"/>
  <c r="AN14" i="117" s="1"/>
  <c r="T14" i="117"/>
  <c r="AV14" i="117" s="1"/>
  <c r="R14" i="117"/>
  <c r="O14" i="117"/>
  <c r="L14" i="117"/>
  <c r="I14" i="117"/>
  <c r="F14" i="117"/>
  <c r="B14" i="117"/>
  <c r="BC13" i="117"/>
  <c r="BB13" i="117"/>
  <c r="BA13" i="117"/>
  <c r="AZ13" i="117"/>
  <c r="AY13" i="117"/>
  <c r="AU13" i="117"/>
  <c r="AL13" i="117" s="1"/>
  <c r="T13" i="117"/>
  <c r="AV13" i="117" s="1"/>
  <c r="R13" i="117"/>
  <c r="O13" i="117"/>
  <c r="L13" i="117"/>
  <c r="I13" i="117"/>
  <c r="F13" i="117"/>
  <c r="B13" i="117"/>
  <c r="BC12" i="117"/>
  <c r="BB12" i="117"/>
  <c r="BA12" i="117"/>
  <c r="AZ12" i="117"/>
  <c r="AY12" i="117"/>
  <c r="AW12" i="117" s="1"/>
  <c r="AU12" i="117"/>
  <c r="T12" i="117"/>
  <c r="AV12" i="117" s="1"/>
  <c r="R12" i="117"/>
  <c r="O12" i="117"/>
  <c r="L12" i="117"/>
  <c r="I12" i="117"/>
  <c r="F12" i="117"/>
  <c r="B12" i="117"/>
  <c r="BC11" i="117"/>
  <c r="BB11" i="117"/>
  <c r="BA11" i="117"/>
  <c r="AZ11" i="117"/>
  <c r="AY11" i="117"/>
  <c r="AU11" i="117"/>
  <c r="AM11" i="117" s="1"/>
  <c r="T11" i="117"/>
  <c r="AV11" i="117" s="1"/>
  <c r="R11" i="117"/>
  <c r="O11" i="117"/>
  <c r="L11" i="117"/>
  <c r="I11" i="117"/>
  <c r="F11" i="117"/>
  <c r="B11" i="117"/>
  <c r="BC10" i="117"/>
  <c r="BB10" i="117"/>
  <c r="BA10" i="117"/>
  <c r="AZ10" i="117"/>
  <c r="AY10" i="117"/>
  <c r="AU10" i="117"/>
  <c r="AL10" i="117" s="1"/>
  <c r="T10" i="117"/>
  <c r="AV10" i="117" s="1"/>
  <c r="R10" i="117"/>
  <c r="O10" i="117"/>
  <c r="L10" i="117"/>
  <c r="I10" i="117"/>
  <c r="F10" i="117"/>
  <c r="B10" i="117"/>
  <c r="BC9" i="117"/>
  <c r="BB9" i="117"/>
  <c r="BA9" i="117"/>
  <c r="AZ9" i="117"/>
  <c r="AY9" i="117"/>
  <c r="AU9" i="117"/>
  <c r="AM9" i="117" s="1"/>
  <c r="T9" i="117"/>
  <c r="AV9" i="117" s="1"/>
  <c r="R9" i="117"/>
  <c r="O9" i="117"/>
  <c r="L9" i="117"/>
  <c r="I9" i="117"/>
  <c r="F9" i="117"/>
  <c r="B9" i="117"/>
  <c r="BC8" i="117"/>
  <c r="BB8" i="117"/>
  <c r="BA8" i="117"/>
  <c r="AZ8" i="117"/>
  <c r="AY8" i="117"/>
  <c r="AU8" i="117"/>
  <c r="AM8" i="117" s="1"/>
  <c r="AN8" i="117"/>
  <c r="T8" i="117"/>
  <c r="AV8" i="117" s="1"/>
  <c r="R8" i="117"/>
  <c r="O8" i="117"/>
  <c r="L8" i="117"/>
  <c r="I8" i="117"/>
  <c r="F8" i="117"/>
  <c r="B8" i="117"/>
  <c r="BC7" i="117"/>
  <c r="BB7" i="117"/>
  <c r="BA7" i="117"/>
  <c r="AZ7" i="117"/>
  <c r="AY7" i="117"/>
  <c r="AU7" i="117"/>
  <c r="T7" i="117"/>
  <c r="AV7" i="117" s="1"/>
  <c r="R7" i="117"/>
  <c r="O7" i="117"/>
  <c r="L7" i="117"/>
  <c r="I7" i="117"/>
  <c r="F7" i="117"/>
  <c r="B7" i="117"/>
  <c r="B3" i="117"/>
  <c r="BH7" i="117" s="1"/>
  <c r="BH8" i="117" s="1"/>
  <c r="BH9" i="117" s="1"/>
  <c r="BH10" i="117" s="1"/>
  <c r="BH11" i="117" s="1"/>
  <c r="BH12" i="117" s="1"/>
  <c r="BH13" i="117" s="1"/>
  <c r="BH14" i="117" s="1"/>
  <c r="BH15" i="117" s="1"/>
  <c r="G1" i="117"/>
  <c r="Q201" i="59"/>
  <c r="N201" i="59"/>
  <c r="K201" i="59"/>
  <c r="H201" i="59"/>
  <c r="E201" i="59"/>
  <c r="E202" i="59" s="1"/>
  <c r="Q175" i="59"/>
  <c r="N175" i="59"/>
  <c r="K175" i="59"/>
  <c r="H175" i="59"/>
  <c r="E175" i="59"/>
  <c r="Q149" i="59"/>
  <c r="N149" i="59"/>
  <c r="K149" i="59"/>
  <c r="H149" i="59"/>
  <c r="E149" i="59"/>
  <c r="Q123" i="59"/>
  <c r="N123" i="59"/>
  <c r="K123" i="59"/>
  <c r="H123" i="59"/>
  <c r="E123" i="59"/>
  <c r="Q97" i="59"/>
  <c r="N97" i="59"/>
  <c r="K97" i="59"/>
  <c r="H97" i="59"/>
  <c r="E97" i="59"/>
  <c r="Q71" i="59"/>
  <c r="N71" i="59"/>
  <c r="K71" i="59"/>
  <c r="H71" i="59"/>
  <c r="E71" i="59"/>
  <c r="Q45" i="59"/>
  <c r="N45" i="59"/>
  <c r="K45" i="59"/>
  <c r="H45" i="59"/>
  <c r="E45" i="59"/>
  <c r="E19" i="59"/>
  <c r="Q201" i="58"/>
  <c r="N201" i="58"/>
  <c r="K201" i="58"/>
  <c r="K202" i="58" s="1"/>
  <c r="H201" i="58"/>
  <c r="E201" i="58"/>
  <c r="E202" i="58" s="1"/>
  <c r="Q175" i="58"/>
  <c r="N175" i="58"/>
  <c r="K175" i="58"/>
  <c r="H175" i="58"/>
  <c r="E175" i="58"/>
  <c r="Q149" i="58"/>
  <c r="N149" i="58"/>
  <c r="K149" i="58"/>
  <c r="H149" i="58"/>
  <c r="E149" i="58"/>
  <c r="Q123" i="58"/>
  <c r="N123" i="58"/>
  <c r="K123" i="58"/>
  <c r="H123" i="58"/>
  <c r="E123" i="58"/>
  <c r="Q97" i="58"/>
  <c r="N97" i="58"/>
  <c r="H97" i="58"/>
  <c r="E97" i="58"/>
  <c r="Q71" i="58"/>
  <c r="N71" i="58"/>
  <c r="K71" i="58"/>
  <c r="H71" i="58"/>
  <c r="E71" i="58"/>
  <c r="Q45" i="58"/>
  <c r="N45" i="58"/>
  <c r="K45" i="58"/>
  <c r="H45" i="58"/>
  <c r="E45" i="58"/>
  <c r="E19" i="58"/>
  <c r="Q201" i="57"/>
  <c r="Q202" i="57" s="1"/>
  <c r="N201" i="57"/>
  <c r="K201" i="57"/>
  <c r="H201" i="57"/>
  <c r="E201" i="57"/>
  <c r="E202" i="57" s="1"/>
  <c r="Q175" i="57"/>
  <c r="N175" i="57"/>
  <c r="K175" i="57"/>
  <c r="K176" i="57" s="1"/>
  <c r="H175" i="57"/>
  <c r="E175" i="57"/>
  <c r="E176" i="57" s="1"/>
  <c r="Q149" i="57"/>
  <c r="N149" i="57"/>
  <c r="K149" i="57"/>
  <c r="H149" i="57"/>
  <c r="E149" i="57"/>
  <c r="Q123" i="57"/>
  <c r="N123" i="57"/>
  <c r="K123" i="57"/>
  <c r="H123" i="57"/>
  <c r="E123" i="57"/>
  <c r="Q97" i="57"/>
  <c r="N97" i="57"/>
  <c r="K97" i="57"/>
  <c r="H97" i="57"/>
  <c r="E97" i="57"/>
  <c r="Q71" i="57"/>
  <c r="N71" i="57"/>
  <c r="K71" i="57"/>
  <c r="H71" i="57"/>
  <c r="E71" i="57"/>
  <c r="Q45" i="57"/>
  <c r="N45" i="57"/>
  <c r="K45" i="57"/>
  <c r="H45" i="57"/>
  <c r="E45" i="57"/>
  <c r="E19" i="57"/>
  <c r="Q201" i="55"/>
  <c r="N201" i="55"/>
  <c r="K201" i="55"/>
  <c r="H201" i="55"/>
  <c r="E201" i="55"/>
  <c r="E202" i="55" s="1"/>
  <c r="Q175" i="55"/>
  <c r="N175" i="55"/>
  <c r="K175" i="55"/>
  <c r="H175" i="55"/>
  <c r="E175" i="55"/>
  <c r="E176" i="55" s="1"/>
  <c r="Q149" i="55"/>
  <c r="N149" i="55"/>
  <c r="K149" i="55"/>
  <c r="H149" i="55"/>
  <c r="E149" i="55"/>
  <c r="Q123" i="55"/>
  <c r="N123" i="55"/>
  <c r="K123" i="55"/>
  <c r="H123" i="55"/>
  <c r="E123" i="55"/>
  <c r="Q97" i="55"/>
  <c r="N97" i="55"/>
  <c r="K97" i="55"/>
  <c r="H97" i="55"/>
  <c r="E97" i="55"/>
  <c r="Q71" i="55"/>
  <c r="N71" i="55"/>
  <c r="K71" i="55"/>
  <c r="H71" i="55"/>
  <c r="E71" i="55"/>
  <c r="Q45" i="55"/>
  <c r="N45" i="55"/>
  <c r="K45" i="55"/>
  <c r="H45" i="55"/>
  <c r="E45" i="55"/>
  <c r="E19" i="55"/>
  <c r="Q201" i="53"/>
  <c r="N201" i="53"/>
  <c r="K201" i="53"/>
  <c r="H201" i="53"/>
  <c r="E201" i="53"/>
  <c r="E202" i="53" s="1"/>
  <c r="Q175" i="53"/>
  <c r="N175" i="53"/>
  <c r="K175" i="53"/>
  <c r="K176" i="53" s="1"/>
  <c r="H175" i="53"/>
  <c r="E175" i="53"/>
  <c r="E176" i="53" s="1"/>
  <c r="Q149" i="53"/>
  <c r="N149" i="53"/>
  <c r="K149" i="53"/>
  <c r="H149" i="53"/>
  <c r="E149" i="53"/>
  <c r="Q123" i="53"/>
  <c r="N123" i="53"/>
  <c r="K123" i="53"/>
  <c r="H123" i="53"/>
  <c r="E123" i="53"/>
  <c r="Q97" i="53"/>
  <c r="N97" i="53"/>
  <c r="K97" i="53"/>
  <c r="H97" i="53"/>
  <c r="E97" i="53"/>
  <c r="Q71" i="53"/>
  <c r="N71" i="53"/>
  <c r="K71" i="53"/>
  <c r="H71" i="53"/>
  <c r="E71" i="53"/>
  <c r="Q45" i="53"/>
  <c r="N45" i="53"/>
  <c r="K45" i="53"/>
  <c r="H45" i="53"/>
  <c r="E45" i="53"/>
  <c r="E19" i="53"/>
  <c r="Q149" i="52"/>
  <c r="N149" i="52"/>
  <c r="K149" i="52"/>
  <c r="H149" i="52"/>
  <c r="E149" i="52"/>
  <c r="Q123" i="52"/>
  <c r="N123" i="52"/>
  <c r="K123" i="52"/>
  <c r="H123" i="52"/>
  <c r="E123" i="52"/>
  <c r="Q97" i="52"/>
  <c r="N97" i="52"/>
  <c r="K97" i="52"/>
  <c r="H97" i="52"/>
  <c r="E97" i="52"/>
  <c r="Q71" i="52"/>
  <c r="N71" i="52"/>
  <c r="K71" i="52"/>
  <c r="H71" i="52"/>
  <c r="E71" i="52"/>
  <c r="Q45" i="52"/>
  <c r="N45" i="52"/>
  <c r="K45" i="52"/>
  <c r="H45" i="52"/>
  <c r="E45" i="52"/>
  <c r="Q19" i="52"/>
  <c r="N19" i="52"/>
  <c r="K19" i="52"/>
  <c r="H19" i="52"/>
  <c r="E19" i="52"/>
  <c r="AT199" i="59"/>
  <c r="Q198" i="59"/>
  <c r="N198" i="59"/>
  <c r="K198" i="59"/>
  <c r="H198" i="59"/>
  <c r="E198" i="59"/>
  <c r="BC197" i="59"/>
  <c r="BB197" i="59"/>
  <c r="BA197" i="59"/>
  <c r="AZ197" i="59"/>
  <c r="AY197" i="59"/>
  <c r="AU197" i="59"/>
  <c r="T197" i="59"/>
  <c r="AV197" i="59" s="1"/>
  <c r="R197" i="59"/>
  <c r="O197" i="59"/>
  <c r="L197" i="59"/>
  <c r="I197" i="59"/>
  <c r="F197" i="59"/>
  <c r="B197" i="59"/>
  <c r="BC196" i="59"/>
  <c r="BB196" i="59"/>
  <c r="BA196" i="59"/>
  <c r="AZ196" i="59"/>
  <c r="AY196" i="59"/>
  <c r="AU196" i="59"/>
  <c r="AN196" i="59" s="1"/>
  <c r="T196" i="59"/>
  <c r="AV196" i="59" s="1"/>
  <c r="R196" i="59"/>
  <c r="O196" i="59"/>
  <c r="L196" i="59"/>
  <c r="I196" i="59"/>
  <c r="F196" i="59"/>
  <c r="B196" i="59"/>
  <c r="BC195" i="59"/>
  <c r="BB195" i="59"/>
  <c r="BA195" i="59"/>
  <c r="AZ195" i="59"/>
  <c r="AY195" i="59"/>
  <c r="AU195" i="59"/>
  <c r="AN195" i="59" s="1"/>
  <c r="T195" i="59"/>
  <c r="AV195" i="59" s="1"/>
  <c r="R195" i="59"/>
  <c r="O195" i="59"/>
  <c r="L195" i="59"/>
  <c r="I195" i="59"/>
  <c r="F195" i="59"/>
  <c r="B195" i="59"/>
  <c r="BC194" i="59"/>
  <c r="BB194" i="59"/>
  <c r="BA194" i="59"/>
  <c r="AZ194" i="59"/>
  <c r="AY194" i="59"/>
  <c r="AU194" i="59"/>
  <c r="AN194" i="59" s="1"/>
  <c r="AL194" i="59"/>
  <c r="T194" i="59"/>
  <c r="AV194" i="59" s="1"/>
  <c r="R194" i="59"/>
  <c r="O194" i="59"/>
  <c r="L194" i="59"/>
  <c r="I194" i="59"/>
  <c r="F194" i="59"/>
  <c r="B194" i="59"/>
  <c r="BC193" i="59"/>
  <c r="BB193" i="59"/>
  <c r="BA193" i="59"/>
  <c r="AZ193" i="59"/>
  <c r="AY193" i="59"/>
  <c r="AU193" i="59"/>
  <c r="AN193" i="59" s="1"/>
  <c r="T193" i="59"/>
  <c r="AV193" i="59" s="1"/>
  <c r="R193" i="59"/>
  <c r="O193" i="59"/>
  <c r="L193" i="59"/>
  <c r="I193" i="59"/>
  <c r="F193" i="59"/>
  <c r="B193" i="59"/>
  <c r="BC192" i="59"/>
  <c r="BB192" i="59"/>
  <c r="BA192" i="59"/>
  <c r="AZ192" i="59"/>
  <c r="AY192" i="59"/>
  <c r="AU192" i="59"/>
  <c r="AN192" i="59" s="1"/>
  <c r="T192" i="59"/>
  <c r="AV192" i="59" s="1"/>
  <c r="R192" i="59"/>
  <c r="O192" i="59"/>
  <c r="L192" i="59"/>
  <c r="I192" i="59"/>
  <c r="F192" i="59"/>
  <c r="B192" i="59"/>
  <c r="BC191" i="59"/>
  <c r="BB191" i="59"/>
  <c r="BA191" i="59"/>
  <c r="AZ191" i="59"/>
  <c r="AY191" i="59"/>
  <c r="AU191" i="59"/>
  <c r="AM191" i="59" s="1"/>
  <c r="AN191" i="59"/>
  <c r="AO191" i="59" s="1"/>
  <c r="T191" i="59"/>
  <c r="AV191" i="59" s="1"/>
  <c r="R191" i="59"/>
  <c r="O191" i="59"/>
  <c r="L191" i="59"/>
  <c r="I191" i="59"/>
  <c r="F191" i="59"/>
  <c r="B191" i="59"/>
  <c r="BC190" i="59"/>
  <c r="BB190" i="59"/>
  <c r="BA190" i="59"/>
  <c r="AZ190" i="59"/>
  <c r="AY190" i="59"/>
  <c r="AU190" i="59"/>
  <c r="T190" i="59"/>
  <c r="AV190" i="59" s="1"/>
  <c r="R190" i="59"/>
  <c r="O190" i="59"/>
  <c r="L190" i="59"/>
  <c r="I190" i="59"/>
  <c r="F190" i="59"/>
  <c r="B190" i="59"/>
  <c r="BC189" i="59"/>
  <c r="BB189" i="59"/>
  <c r="BA189" i="59"/>
  <c r="AZ189" i="59"/>
  <c r="AY189" i="59"/>
  <c r="AU189" i="59"/>
  <c r="AN189" i="59" s="1"/>
  <c r="T189" i="59"/>
  <c r="AV189" i="59" s="1"/>
  <c r="R189" i="59"/>
  <c r="O189" i="59"/>
  <c r="L189" i="59"/>
  <c r="I189" i="59"/>
  <c r="F189" i="59"/>
  <c r="B189" i="59"/>
  <c r="B185" i="59"/>
  <c r="BH189" i="59" s="1"/>
  <c r="BH190" i="59" s="1"/>
  <c r="BH191" i="59" s="1"/>
  <c r="BH192" i="59" s="1"/>
  <c r="BH193" i="59" s="1"/>
  <c r="BH194" i="59" s="1"/>
  <c r="BH195" i="59" s="1"/>
  <c r="BH196" i="59" s="1"/>
  <c r="BH197" i="59" s="1"/>
  <c r="G183" i="59"/>
  <c r="AT173" i="59"/>
  <c r="Q172" i="59"/>
  <c r="N172" i="59"/>
  <c r="K172" i="59"/>
  <c r="H172" i="59"/>
  <c r="E172" i="59"/>
  <c r="BC171" i="59"/>
  <c r="BB171" i="59"/>
  <c r="BA171" i="59"/>
  <c r="AZ171" i="59"/>
  <c r="AY171" i="59"/>
  <c r="AU171" i="59"/>
  <c r="AM171" i="59" s="1"/>
  <c r="T171" i="59"/>
  <c r="AV171" i="59" s="1"/>
  <c r="R171" i="59"/>
  <c r="O171" i="59"/>
  <c r="L171" i="59"/>
  <c r="I171" i="59"/>
  <c r="F171" i="59"/>
  <c r="B171" i="59"/>
  <c r="BC170" i="59"/>
  <c r="BB170" i="59"/>
  <c r="BA170" i="59"/>
  <c r="AZ170" i="59"/>
  <c r="AY170" i="59"/>
  <c r="AU170" i="59"/>
  <c r="AN170" i="59" s="1"/>
  <c r="T170" i="59"/>
  <c r="AV170" i="59" s="1"/>
  <c r="R170" i="59"/>
  <c r="O170" i="59"/>
  <c r="L170" i="59"/>
  <c r="I170" i="59"/>
  <c r="F170" i="59"/>
  <c r="B170" i="59"/>
  <c r="BC169" i="59"/>
  <c r="BB169" i="59"/>
  <c r="BA169" i="59"/>
  <c r="AZ169" i="59"/>
  <c r="AY169" i="59"/>
  <c r="AU169" i="59"/>
  <c r="AM169" i="59" s="1"/>
  <c r="AL169" i="59"/>
  <c r="T169" i="59"/>
  <c r="AV169" i="59" s="1"/>
  <c r="R169" i="59"/>
  <c r="O169" i="59"/>
  <c r="L169" i="59"/>
  <c r="I169" i="59"/>
  <c r="F169" i="59"/>
  <c r="B169" i="59"/>
  <c r="BC168" i="59"/>
  <c r="BB168" i="59"/>
  <c r="BA168" i="59"/>
  <c r="AZ168" i="59"/>
  <c r="AY168" i="59"/>
  <c r="AU168" i="59"/>
  <c r="AL168" i="59" s="1"/>
  <c r="T168" i="59"/>
  <c r="AV168" i="59" s="1"/>
  <c r="R168" i="59"/>
  <c r="O168" i="59"/>
  <c r="L168" i="59"/>
  <c r="I168" i="59"/>
  <c r="F168" i="59"/>
  <c r="B168" i="59"/>
  <c r="BC167" i="59"/>
  <c r="BB167" i="59"/>
  <c r="BA167" i="59"/>
  <c r="AZ167" i="59"/>
  <c r="AY167" i="59"/>
  <c r="AU167" i="59"/>
  <c r="AN167" i="59" s="1"/>
  <c r="T167" i="59"/>
  <c r="AV167" i="59" s="1"/>
  <c r="R167" i="59"/>
  <c r="O167" i="59"/>
  <c r="L167" i="59"/>
  <c r="I167" i="59"/>
  <c r="F167" i="59"/>
  <c r="B167" i="59"/>
  <c r="BC166" i="59"/>
  <c r="BB166" i="59"/>
  <c r="BA166" i="59"/>
  <c r="AZ166" i="59"/>
  <c r="AY166" i="59"/>
  <c r="AU166" i="59"/>
  <c r="AN166" i="59" s="1"/>
  <c r="T166" i="59"/>
  <c r="AV166" i="59" s="1"/>
  <c r="R166" i="59"/>
  <c r="O166" i="59"/>
  <c r="L166" i="59"/>
  <c r="I166" i="59"/>
  <c r="F166" i="59"/>
  <c r="B166" i="59"/>
  <c r="BC165" i="59"/>
  <c r="BB165" i="59"/>
  <c r="BA165" i="59"/>
  <c r="AZ165" i="59"/>
  <c r="AY165" i="59"/>
  <c r="AU165" i="59"/>
  <c r="AN165" i="59" s="1"/>
  <c r="T165" i="59"/>
  <c r="AV165" i="59" s="1"/>
  <c r="R165" i="59"/>
  <c r="O165" i="59"/>
  <c r="L165" i="59"/>
  <c r="I165" i="59"/>
  <c r="F165" i="59"/>
  <c r="B165" i="59"/>
  <c r="BC164" i="59"/>
  <c r="BB164" i="59"/>
  <c r="BA164" i="59"/>
  <c r="AZ164" i="59"/>
  <c r="AY164" i="59"/>
  <c r="AU164" i="59"/>
  <c r="AM164" i="59" s="1"/>
  <c r="AN164" i="59"/>
  <c r="AL164" i="59"/>
  <c r="T164" i="59"/>
  <c r="AV164" i="59" s="1"/>
  <c r="R164" i="59"/>
  <c r="O164" i="59"/>
  <c r="L164" i="59"/>
  <c r="I164" i="59"/>
  <c r="F164" i="59"/>
  <c r="B164" i="59"/>
  <c r="BC163" i="59"/>
  <c r="BB163" i="59"/>
  <c r="BA163" i="59"/>
  <c r="AZ163" i="59"/>
  <c r="AY163" i="59"/>
  <c r="BF163" i="59" s="1"/>
  <c r="AU163" i="59"/>
  <c r="AN163" i="59" s="1"/>
  <c r="T163" i="59"/>
  <c r="AV163" i="59" s="1"/>
  <c r="R163" i="59"/>
  <c r="O163" i="59"/>
  <c r="L163" i="59"/>
  <c r="I163" i="59"/>
  <c r="F163" i="59"/>
  <c r="B163" i="59"/>
  <c r="B159" i="59"/>
  <c r="BH163" i="59" s="1"/>
  <c r="BH164" i="59" s="1"/>
  <c r="BH165" i="59" s="1"/>
  <c r="BH166" i="59" s="1"/>
  <c r="BH167" i="59" s="1"/>
  <c r="BH168" i="59" s="1"/>
  <c r="BH169" i="59" s="1"/>
  <c r="BH170" i="59" s="1"/>
  <c r="BH171" i="59" s="1"/>
  <c r="G157" i="59"/>
  <c r="AT199" i="58"/>
  <c r="Q198" i="58"/>
  <c r="N198" i="58"/>
  <c r="K198" i="58"/>
  <c r="H198" i="58"/>
  <c r="E198" i="58"/>
  <c r="BC197" i="58"/>
  <c r="BB197" i="58"/>
  <c r="BA197" i="58"/>
  <c r="AZ197" i="58"/>
  <c r="AY197" i="58"/>
  <c r="AU197" i="58"/>
  <c r="AN197" i="58" s="1"/>
  <c r="T197" i="58"/>
  <c r="AV197" i="58" s="1"/>
  <c r="R197" i="58"/>
  <c r="O197" i="58"/>
  <c r="L197" i="58"/>
  <c r="I197" i="58"/>
  <c r="F197" i="58"/>
  <c r="B197" i="58"/>
  <c r="BC196" i="58"/>
  <c r="BB196" i="58"/>
  <c r="BA196" i="58"/>
  <c r="AZ196" i="58"/>
  <c r="AY196" i="58"/>
  <c r="AU196" i="58"/>
  <c r="T196" i="58"/>
  <c r="AV196" i="58" s="1"/>
  <c r="I196" i="58"/>
  <c r="F196" i="58"/>
  <c r="B196" i="58"/>
  <c r="BC195" i="58"/>
  <c r="BB195" i="58"/>
  <c r="BA195" i="58"/>
  <c r="AZ195" i="58"/>
  <c r="AY195" i="58"/>
  <c r="AU195" i="58"/>
  <c r="T195" i="58"/>
  <c r="AV195" i="58" s="1"/>
  <c r="R195" i="58"/>
  <c r="O195" i="58"/>
  <c r="L195" i="58"/>
  <c r="B195" i="58"/>
  <c r="BC194" i="58"/>
  <c r="BB194" i="58"/>
  <c r="BA194" i="58"/>
  <c r="AZ194" i="58"/>
  <c r="AY194" i="58"/>
  <c r="AU194" i="58"/>
  <c r="AN194" i="58" s="1"/>
  <c r="T194" i="58"/>
  <c r="AV194" i="58" s="1"/>
  <c r="R194" i="58"/>
  <c r="O194" i="58"/>
  <c r="L194" i="58"/>
  <c r="I194" i="58"/>
  <c r="F194" i="58"/>
  <c r="B194" i="58"/>
  <c r="BC193" i="58"/>
  <c r="BB193" i="58"/>
  <c r="BA193" i="58"/>
  <c r="AZ193" i="58"/>
  <c r="AY193" i="58"/>
  <c r="AU193" i="58"/>
  <c r="T193" i="58"/>
  <c r="AV193" i="58" s="1"/>
  <c r="F193" i="58"/>
  <c r="B193" i="58"/>
  <c r="BC192" i="58"/>
  <c r="BB192" i="58"/>
  <c r="BA192" i="58"/>
  <c r="AZ192" i="58"/>
  <c r="AY192" i="58"/>
  <c r="AU192" i="58"/>
  <c r="T192" i="58"/>
  <c r="AV192" i="58" s="1"/>
  <c r="R192" i="58"/>
  <c r="O192" i="58"/>
  <c r="L192" i="58"/>
  <c r="I192" i="58"/>
  <c r="B192" i="58"/>
  <c r="BC191" i="58"/>
  <c r="BB191" i="58"/>
  <c r="BA191" i="58"/>
  <c r="AZ191" i="58"/>
  <c r="AY191" i="58"/>
  <c r="AU191" i="58"/>
  <c r="AN191" i="58" s="1"/>
  <c r="AL191" i="58"/>
  <c r="T191" i="58"/>
  <c r="AV191" i="58" s="1"/>
  <c r="R191" i="58"/>
  <c r="O191" i="58"/>
  <c r="L191" i="58"/>
  <c r="I191" i="58"/>
  <c r="F191" i="58"/>
  <c r="B191" i="58"/>
  <c r="BC190" i="58"/>
  <c r="BB190" i="58"/>
  <c r="BA190" i="58"/>
  <c r="AZ190" i="58"/>
  <c r="AY190" i="58"/>
  <c r="AX190" i="58" s="1"/>
  <c r="AU190" i="58"/>
  <c r="T190" i="58"/>
  <c r="AV190" i="58" s="1"/>
  <c r="L190" i="58"/>
  <c r="I190" i="58"/>
  <c r="B190" i="58"/>
  <c r="BC189" i="58"/>
  <c r="BB189" i="58"/>
  <c r="BA189" i="58"/>
  <c r="AZ189" i="58"/>
  <c r="AY189" i="58"/>
  <c r="AU189" i="58"/>
  <c r="T189" i="58"/>
  <c r="AV189" i="58" s="1"/>
  <c r="R189" i="58"/>
  <c r="O189" i="58"/>
  <c r="B189" i="58"/>
  <c r="B185" i="58"/>
  <c r="BH189" i="58" s="1"/>
  <c r="BH190" i="58" s="1"/>
  <c r="BH191" i="58" s="1"/>
  <c r="BH192" i="58" s="1"/>
  <c r="BH193" i="58" s="1"/>
  <c r="BH194" i="58" s="1"/>
  <c r="BH195" i="58" s="1"/>
  <c r="BH196" i="58" s="1"/>
  <c r="BH197" i="58" s="1"/>
  <c r="G183" i="58"/>
  <c r="AT173" i="58"/>
  <c r="Q172" i="58"/>
  <c r="N172" i="58"/>
  <c r="K172" i="58"/>
  <c r="H172" i="58"/>
  <c r="E172" i="58"/>
  <c r="BC171" i="58"/>
  <c r="BB171" i="58"/>
  <c r="BA171" i="58"/>
  <c r="AZ171" i="58"/>
  <c r="AY171" i="58"/>
  <c r="AU171" i="58"/>
  <c r="AL171" i="58" s="1"/>
  <c r="AM171" i="58"/>
  <c r="T171" i="58"/>
  <c r="AV171" i="58" s="1"/>
  <c r="R171" i="58"/>
  <c r="O171" i="58"/>
  <c r="L171" i="58"/>
  <c r="I171" i="58"/>
  <c r="F171" i="58"/>
  <c r="B171" i="58"/>
  <c r="BC170" i="58"/>
  <c r="BB170" i="58"/>
  <c r="BA170" i="58"/>
  <c r="AZ170" i="58"/>
  <c r="AY170" i="58"/>
  <c r="AU170" i="58"/>
  <c r="AL170" i="58" s="1"/>
  <c r="T170" i="58"/>
  <c r="AV170" i="58" s="1"/>
  <c r="R170" i="58"/>
  <c r="O170" i="58"/>
  <c r="L170" i="58"/>
  <c r="I170" i="58"/>
  <c r="F170" i="58"/>
  <c r="B170" i="58"/>
  <c r="BC169" i="58"/>
  <c r="BB169" i="58"/>
  <c r="BA169" i="58"/>
  <c r="AZ169" i="58"/>
  <c r="AY169" i="58"/>
  <c r="AU169" i="58"/>
  <c r="T169" i="58"/>
  <c r="AV169" i="58" s="1"/>
  <c r="AM169" i="58" s="1"/>
  <c r="B169" i="58"/>
  <c r="BC168" i="58"/>
  <c r="BB168" i="58"/>
  <c r="BA168" i="58"/>
  <c r="AZ168" i="58"/>
  <c r="AY168" i="58"/>
  <c r="AU168" i="58"/>
  <c r="AN168" i="58" s="1"/>
  <c r="T168" i="58"/>
  <c r="AV168" i="58" s="1"/>
  <c r="R168" i="58"/>
  <c r="O168" i="58"/>
  <c r="L168" i="58"/>
  <c r="I168" i="58"/>
  <c r="F168" i="58"/>
  <c r="B168" i="58"/>
  <c r="BC167" i="58"/>
  <c r="BB167" i="58"/>
  <c r="BA167" i="58"/>
  <c r="AZ167" i="58"/>
  <c r="AY167" i="58"/>
  <c r="AU167" i="58"/>
  <c r="AN167" i="58" s="1"/>
  <c r="T167" i="58"/>
  <c r="AV167" i="58" s="1"/>
  <c r="R167" i="58"/>
  <c r="O167" i="58"/>
  <c r="L167" i="58"/>
  <c r="I167" i="58"/>
  <c r="F167" i="58"/>
  <c r="B167" i="58"/>
  <c r="BC166" i="58"/>
  <c r="BB166" i="58"/>
  <c r="BA166" i="58"/>
  <c r="AZ166" i="58"/>
  <c r="AY166" i="58"/>
  <c r="AU166" i="58"/>
  <c r="AL166" i="58" s="1"/>
  <c r="T166" i="58"/>
  <c r="AV166" i="58" s="1"/>
  <c r="B166" i="58"/>
  <c r="BC165" i="58"/>
  <c r="BB165" i="58"/>
  <c r="BA165" i="58"/>
  <c r="AZ165" i="58"/>
  <c r="AY165" i="58"/>
  <c r="AU165" i="58"/>
  <c r="AL165" i="58" s="1"/>
  <c r="T165" i="58"/>
  <c r="AV165" i="58" s="1"/>
  <c r="R165" i="58"/>
  <c r="O165" i="58"/>
  <c r="L165" i="58"/>
  <c r="I165" i="58"/>
  <c r="F165" i="58"/>
  <c r="B165" i="58"/>
  <c r="BC164" i="58"/>
  <c r="BB164" i="58"/>
  <c r="BA164" i="58"/>
  <c r="AZ164" i="58"/>
  <c r="AY164" i="58"/>
  <c r="AU164" i="58"/>
  <c r="T164" i="58"/>
  <c r="AV164" i="58" s="1"/>
  <c r="R164" i="58"/>
  <c r="O164" i="58"/>
  <c r="L164" i="58"/>
  <c r="I164" i="58"/>
  <c r="F164" i="58"/>
  <c r="B164" i="58"/>
  <c r="BC163" i="58"/>
  <c r="BB163" i="58"/>
  <c r="BA163" i="58"/>
  <c r="AZ163" i="58"/>
  <c r="AY163" i="58"/>
  <c r="AU163" i="58"/>
  <c r="T163" i="58"/>
  <c r="AV163" i="58" s="1"/>
  <c r="B163" i="58"/>
  <c r="B159" i="58"/>
  <c r="BH163" i="58" s="1"/>
  <c r="BH164" i="58" s="1"/>
  <c r="BH165" i="58" s="1"/>
  <c r="BH166" i="58" s="1"/>
  <c r="BH167" i="58" s="1"/>
  <c r="BH168" i="58" s="1"/>
  <c r="BH169" i="58" s="1"/>
  <c r="BH170" i="58" s="1"/>
  <c r="BH171" i="58" s="1"/>
  <c r="G157" i="58"/>
  <c r="AT199" i="57"/>
  <c r="Q198" i="57"/>
  <c r="N198" i="57"/>
  <c r="K198" i="57"/>
  <c r="H198" i="57"/>
  <c r="E198" i="57"/>
  <c r="BC197" i="57"/>
  <c r="BB197" i="57"/>
  <c r="BA197" i="57"/>
  <c r="AZ197" i="57"/>
  <c r="AY197" i="57"/>
  <c r="AU197" i="57"/>
  <c r="AN197" i="57" s="1"/>
  <c r="T197" i="57"/>
  <c r="AV197" i="57" s="1"/>
  <c r="R197" i="57"/>
  <c r="O197" i="57"/>
  <c r="L197" i="57"/>
  <c r="I197" i="57"/>
  <c r="F197" i="57"/>
  <c r="B197" i="57"/>
  <c r="BC196" i="57"/>
  <c r="BB196" i="57"/>
  <c r="BA196" i="57"/>
  <c r="AZ196" i="57"/>
  <c r="AY196" i="57"/>
  <c r="AU196" i="57"/>
  <c r="AM196" i="57" s="1"/>
  <c r="T196" i="57"/>
  <c r="AV196" i="57" s="1"/>
  <c r="R196" i="57"/>
  <c r="O196" i="57"/>
  <c r="L196" i="57"/>
  <c r="I196" i="57"/>
  <c r="F196" i="57"/>
  <c r="B196" i="57"/>
  <c r="BC195" i="57"/>
  <c r="BB195" i="57"/>
  <c r="BA195" i="57"/>
  <c r="AZ195" i="57"/>
  <c r="AY195" i="57"/>
  <c r="AU195" i="57"/>
  <c r="AL195" i="57" s="1"/>
  <c r="T195" i="57"/>
  <c r="AV195" i="57" s="1"/>
  <c r="B195" i="57"/>
  <c r="BC194" i="57"/>
  <c r="BB194" i="57"/>
  <c r="BA194" i="57"/>
  <c r="AZ194" i="57"/>
  <c r="AY194" i="57"/>
  <c r="AU194" i="57"/>
  <c r="AM194" i="57" s="1"/>
  <c r="T194" i="57"/>
  <c r="AV194" i="57" s="1"/>
  <c r="R194" i="57"/>
  <c r="O194" i="57"/>
  <c r="L194" i="57"/>
  <c r="I194" i="57"/>
  <c r="F194" i="57"/>
  <c r="B194" i="57"/>
  <c r="BC193" i="57"/>
  <c r="BB193" i="57"/>
  <c r="BA193" i="57"/>
  <c r="AZ193" i="57"/>
  <c r="AY193" i="57"/>
  <c r="AU193" i="57"/>
  <c r="AL193" i="57" s="1"/>
  <c r="T193" i="57"/>
  <c r="AV193" i="57" s="1"/>
  <c r="R193" i="57"/>
  <c r="O193" i="57"/>
  <c r="L193" i="57"/>
  <c r="I193" i="57"/>
  <c r="F193" i="57"/>
  <c r="B193" i="57"/>
  <c r="BC192" i="57"/>
  <c r="BB192" i="57"/>
  <c r="BA192" i="57"/>
  <c r="AZ192" i="57"/>
  <c r="AY192" i="57"/>
  <c r="AU192" i="57"/>
  <c r="T192" i="57"/>
  <c r="AV192" i="57" s="1"/>
  <c r="BC191" i="57"/>
  <c r="BB191" i="57"/>
  <c r="BA191" i="57"/>
  <c r="AZ191" i="57"/>
  <c r="AY191" i="57"/>
  <c r="AU191" i="57"/>
  <c r="AL191" i="57" s="1"/>
  <c r="T191" i="57"/>
  <c r="AV191" i="57" s="1"/>
  <c r="R191" i="57"/>
  <c r="O191" i="57"/>
  <c r="L191" i="57"/>
  <c r="I191" i="57"/>
  <c r="B191" i="57"/>
  <c r="BC190" i="57"/>
  <c r="BB190" i="57"/>
  <c r="BA190" i="57"/>
  <c r="AZ190" i="57"/>
  <c r="AY190" i="57"/>
  <c r="AU190" i="57"/>
  <c r="T190" i="57"/>
  <c r="AV190" i="57" s="1"/>
  <c r="R190" i="57"/>
  <c r="O190" i="57"/>
  <c r="L190" i="57"/>
  <c r="I190" i="57"/>
  <c r="B190" i="57"/>
  <c r="BC189" i="57"/>
  <c r="BB189" i="57"/>
  <c r="BA189" i="57"/>
  <c r="AZ189" i="57"/>
  <c r="AY189" i="57"/>
  <c r="AU189" i="57"/>
  <c r="T189" i="57"/>
  <c r="AV189" i="57" s="1"/>
  <c r="B189" i="57"/>
  <c r="B185" i="57"/>
  <c r="BH189" i="57" s="1"/>
  <c r="BH190" i="57" s="1"/>
  <c r="BH191" i="57" s="1"/>
  <c r="BH192" i="57" s="1"/>
  <c r="BH193" i="57" s="1"/>
  <c r="BH194" i="57" s="1"/>
  <c r="BH195" i="57" s="1"/>
  <c r="BH196" i="57" s="1"/>
  <c r="BH197" i="57" s="1"/>
  <c r="G183" i="57"/>
  <c r="AT173" i="57"/>
  <c r="Q172" i="57"/>
  <c r="N172" i="57"/>
  <c r="K172" i="57"/>
  <c r="H172" i="57"/>
  <c r="E172" i="57"/>
  <c r="BC171" i="57"/>
  <c r="BB171" i="57"/>
  <c r="BA171" i="57"/>
  <c r="AZ171" i="57"/>
  <c r="AY171" i="57"/>
  <c r="AU171" i="57"/>
  <c r="AN171" i="57" s="1"/>
  <c r="T171" i="57"/>
  <c r="AV171" i="57" s="1"/>
  <c r="R171" i="57"/>
  <c r="O171" i="57"/>
  <c r="L171" i="57"/>
  <c r="I171" i="57"/>
  <c r="F171" i="57"/>
  <c r="B171" i="57"/>
  <c r="BC170" i="57"/>
  <c r="BB170" i="57"/>
  <c r="BA170" i="57"/>
  <c r="AZ170" i="57"/>
  <c r="AY170" i="57"/>
  <c r="AU170" i="57"/>
  <c r="AM170" i="57" s="1"/>
  <c r="T170" i="57"/>
  <c r="AV170" i="57" s="1"/>
  <c r="R170" i="57"/>
  <c r="O170" i="57"/>
  <c r="L170" i="57"/>
  <c r="I170" i="57"/>
  <c r="F170" i="57"/>
  <c r="B170" i="57"/>
  <c r="BC169" i="57"/>
  <c r="BB169" i="57"/>
  <c r="BA169" i="57"/>
  <c r="AZ169" i="57"/>
  <c r="AY169" i="57"/>
  <c r="AU169" i="57"/>
  <c r="AL169" i="57"/>
  <c r="T169" i="57"/>
  <c r="AV169" i="57" s="1"/>
  <c r="B169" i="57"/>
  <c r="BC168" i="57"/>
  <c r="BB168" i="57"/>
  <c r="BA168" i="57"/>
  <c r="AZ168" i="57"/>
  <c r="AY168" i="57"/>
  <c r="AU168" i="57"/>
  <c r="AN168" i="57" s="1"/>
  <c r="AM168" i="57"/>
  <c r="AL168" i="57"/>
  <c r="T168" i="57"/>
  <c r="AV168" i="57" s="1"/>
  <c r="R168" i="57"/>
  <c r="O168" i="57"/>
  <c r="L168" i="57"/>
  <c r="I168" i="57"/>
  <c r="F168" i="57"/>
  <c r="B168" i="57"/>
  <c r="BC167" i="57"/>
  <c r="BB167" i="57"/>
  <c r="BA167" i="57"/>
  <c r="AZ167" i="57"/>
  <c r="AY167" i="57"/>
  <c r="AW167" i="57" s="1"/>
  <c r="AU167" i="57"/>
  <c r="AM167" i="57" s="1"/>
  <c r="AN167" i="57"/>
  <c r="T167" i="57"/>
  <c r="AV167" i="57" s="1"/>
  <c r="R167" i="57"/>
  <c r="O167" i="57"/>
  <c r="L167" i="57"/>
  <c r="I167" i="57"/>
  <c r="F167" i="57"/>
  <c r="B167" i="57"/>
  <c r="BC166" i="57"/>
  <c r="BB166" i="57"/>
  <c r="BA166" i="57"/>
  <c r="AZ166" i="57"/>
  <c r="AY166" i="57"/>
  <c r="AU166" i="57"/>
  <c r="T166" i="57"/>
  <c r="AV166" i="57" s="1"/>
  <c r="B166" i="57"/>
  <c r="BC165" i="57"/>
  <c r="BB165" i="57"/>
  <c r="BA165" i="57"/>
  <c r="AZ165" i="57"/>
  <c r="AY165" i="57"/>
  <c r="AU165" i="57"/>
  <c r="AL165" i="57"/>
  <c r="T165" i="57"/>
  <c r="AV165" i="57" s="1"/>
  <c r="R165" i="57"/>
  <c r="O165" i="57"/>
  <c r="L165" i="57"/>
  <c r="I165" i="57"/>
  <c r="B165" i="57"/>
  <c r="BC164" i="57"/>
  <c r="BB164" i="57"/>
  <c r="BA164" i="57"/>
  <c r="AZ164" i="57"/>
  <c r="AY164" i="57"/>
  <c r="AU164" i="57"/>
  <c r="T164" i="57"/>
  <c r="AV164" i="57" s="1"/>
  <c r="R164" i="57"/>
  <c r="O164" i="57"/>
  <c r="L164" i="57"/>
  <c r="I164" i="57"/>
  <c r="B164" i="57"/>
  <c r="BC163" i="57"/>
  <c r="BB163" i="57"/>
  <c r="BA163" i="57"/>
  <c r="AZ163" i="57"/>
  <c r="AY163" i="57"/>
  <c r="AU163" i="57"/>
  <c r="T163" i="57"/>
  <c r="AV163" i="57" s="1"/>
  <c r="B159" i="57"/>
  <c r="BH163" i="57" s="1"/>
  <c r="BH164" i="57" s="1"/>
  <c r="BH165" i="57" s="1"/>
  <c r="BH166" i="57" s="1"/>
  <c r="BH167" i="57" s="1"/>
  <c r="BH168" i="57" s="1"/>
  <c r="BH169" i="57" s="1"/>
  <c r="BH170" i="57" s="1"/>
  <c r="BH171" i="57" s="1"/>
  <c r="G157" i="57"/>
  <c r="AT199" i="55"/>
  <c r="Q198" i="55"/>
  <c r="N198" i="55"/>
  <c r="K198" i="55"/>
  <c r="H198" i="55"/>
  <c r="E198" i="55"/>
  <c r="BC197" i="55"/>
  <c r="BB197" i="55"/>
  <c r="BA197" i="55"/>
  <c r="AZ197" i="55"/>
  <c r="AY197" i="55"/>
  <c r="AU197" i="55"/>
  <c r="AL197" i="55" s="1"/>
  <c r="T197" i="55"/>
  <c r="AV197" i="55" s="1"/>
  <c r="R197" i="55"/>
  <c r="O197" i="55"/>
  <c r="L197" i="55"/>
  <c r="I197" i="55"/>
  <c r="F197" i="55"/>
  <c r="B197" i="55"/>
  <c r="BC196" i="55"/>
  <c r="BB196" i="55"/>
  <c r="BA196" i="55"/>
  <c r="AZ196" i="55"/>
  <c r="AY196" i="55"/>
  <c r="AU196" i="55"/>
  <c r="AL196" i="55"/>
  <c r="T196" i="55"/>
  <c r="AV196" i="55" s="1"/>
  <c r="F196" i="55"/>
  <c r="B196" i="55"/>
  <c r="BC195" i="55"/>
  <c r="BB195" i="55"/>
  <c r="BA195" i="55"/>
  <c r="AZ195" i="55"/>
  <c r="AY195" i="55"/>
  <c r="AU195" i="55"/>
  <c r="AL195" i="55" s="1"/>
  <c r="T195" i="55"/>
  <c r="AV195" i="55" s="1"/>
  <c r="R195" i="55"/>
  <c r="O195" i="55"/>
  <c r="L195" i="55"/>
  <c r="I195" i="55"/>
  <c r="BC194" i="55"/>
  <c r="BB194" i="55"/>
  <c r="BA194" i="55"/>
  <c r="AZ194" i="55"/>
  <c r="AY194" i="55"/>
  <c r="AU194" i="55"/>
  <c r="AM194" i="55" s="1"/>
  <c r="T194" i="55"/>
  <c r="AV194" i="55" s="1"/>
  <c r="R194" i="55"/>
  <c r="O194" i="55"/>
  <c r="L194" i="55"/>
  <c r="I194" i="55"/>
  <c r="F194" i="55"/>
  <c r="B194" i="55"/>
  <c r="BC193" i="55"/>
  <c r="BB193" i="55"/>
  <c r="BA193" i="55"/>
  <c r="AZ193" i="55"/>
  <c r="AY193" i="55"/>
  <c r="AU193" i="55"/>
  <c r="T193" i="55"/>
  <c r="AV193" i="55" s="1"/>
  <c r="I193" i="55"/>
  <c r="F193" i="55"/>
  <c r="BC192" i="55"/>
  <c r="BB192" i="55"/>
  <c r="BA192" i="55"/>
  <c r="AZ192" i="55"/>
  <c r="AY192" i="55"/>
  <c r="AU192" i="55"/>
  <c r="AL192" i="55" s="1"/>
  <c r="T192" i="55"/>
  <c r="AV192" i="55" s="1"/>
  <c r="R192" i="55"/>
  <c r="O192" i="55"/>
  <c r="L192" i="55"/>
  <c r="B192" i="55"/>
  <c r="BC191" i="55"/>
  <c r="BB191" i="55"/>
  <c r="BA191" i="55"/>
  <c r="AZ191" i="55"/>
  <c r="AY191" i="55"/>
  <c r="AU191" i="55"/>
  <c r="AL191" i="55" s="1"/>
  <c r="T191" i="55"/>
  <c r="AV191" i="55" s="1"/>
  <c r="R191" i="55"/>
  <c r="O191" i="55"/>
  <c r="L191" i="55"/>
  <c r="I191" i="55"/>
  <c r="F191" i="55"/>
  <c r="B191" i="55"/>
  <c r="BC190" i="55"/>
  <c r="BB190" i="55"/>
  <c r="BA190" i="55"/>
  <c r="AZ190" i="55"/>
  <c r="AY190" i="55"/>
  <c r="AU190" i="55"/>
  <c r="T190" i="55"/>
  <c r="AV190" i="55" s="1"/>
  <c r="L190" i="55"/>
  <c r="I190" i="55"/>
  <c r="F190" i="55"/>
  <c r="B190" i="55"/>
  <c r="BC189" i="55"/>
  <c r="BB189" i="55"/>
  <c r="BA189" i="55"/>
  <c r="AZ189" i="55"/>
  <c r="AY189" i="55"/>
  <c r="AU189" i="55"/>
  <c r="T189" i="55"/>
  <c r="AV189" i="55" s="1"/>
  <c r="R189" i="55"/>
  <c r="O189" i="55"/>
  <c r="B185" i="55"/>
  <c r="BH189" i="55" s="1"/>
  <c r="BH190" i="55" s="1"/>
  <c r="BH191" i="55" s="1"/>
  <c r="BH192" i="55" s="1"/>
  <c r="BH193" i="55" s="1"/>
  <c r="BH194" i="55" s="1"/>
  <c r="BH195" i="55" s="1"/>
  <c r="BH196" i="55" s="1"/>
  <c r="BH197" i="55" s="1"/>
  <c r="G183" i="55"/>
  <c r="AT173" i="55"/>
  <c r="Q172" i="55"/>
  <c r="N172" i="55"/>
  <c r="K172" i="55"/>
  <c r="H172" i="55"/>
  <c r="E172" i="55"/>
  <c r="BC171" i="55"/>
  <c r="BB171" i="55"/>
  <c r="BA171" i="55"/>
  <c r="AZ171" i="55"/>
  <c r="AY171" i="55"/>
  <c r="AU171" i="55"/>
  <c r="AN171" i="55" s="1"/>
  <c r="T171" i="55"/>
  <c r="AV171" i="55" s="1"/>
  <c r="R171" i="55"/>
  <c r="O171" i="55"/>
  <c r="L171" i="55"/>
  <c r="I171" i="55"/>
  <c r="F171" i="55"/>
  <c r="B171" i="55"/>
  <c r="BC170" i="55"/>
  <c r="BB170" i="55"/>
  <c r="BA170" i="55"/>
  <c r="AZ170" i="55"/>
  <c r="AY170" i="55"/>
  <c r="AU170" i="55"/>
  <c r="AL170" i="55" s="1"/>
  <c r="T170" i="55"/>
  <c r="AV170" i="55" s="1"/>
  <c r="R170" i="55"/>
  <c r="O170" i="55"/>
  <c r="L170" i="55"/>
  <c r="I170" i="55"/>
  <c r="F170" i="55"/>
  <c r="B170" i="55"/>
  <c r="BC169" i="55"/>
  <c r="BB169" i="55"/>
  <c r="BA169" i="55"/>
  <c r="AZ169" i="55"/>
  <c r="AY169" i="55"/>
  <c r="AU169" i="55"/>
  <c r="AL169" i="55"/>
  <c r="T169" i="55"/>
  <c r="AV169" i="55" s="1"/>
  <c r="B169" i="55"/>
  <c r="BC168" i="55"/>
  <c r="BB168" i="55"/>
  <c r="BA168" i="55"/>
  <c r="AZ168" i="55"/>
  <c r="AY168" i="55"/>
  <c r="AU168" i="55"/>
  <c r="AN168" i="55" s="1"/>
  <c r="T168" i="55"/>
  <c r="AV168" i="55" s="1"/>
  <c r="R168" i="55"/>
  <c r="O168" i="55"/>
  <c r="L168" i="55"/>
  <c r="I168" i="55"/>
  <c r="F168" i="55"/>
  <c r="B168" i="55"/>
  <c r="BC167" i="55"/>
  <c r="BB167" i="55"/>
  <c r="BA167" i="55"/>
  <c r="AZ167" i="55"/>
  <c r="AY167" i="55"/>
  <c r="AU167" i="55"/>
  <c r="AN167" i="55" s="1"/>
  <c r="T167" i="55"/>
  <c r="AV167" i="55" s="1"/>
  <c r="R167" i="55"/>
  <c r="O167" i="55"/>
  <c r="L167" i="55"/>
  <c r="I167" i="55"/>
  <c r="F167" i="55"/>
  <c r="B167" i="55"/>
  <c r="BC166" i="55"/>
  <c r="BB166" i="55"/>
  <c r="BA166" i="55"/>
  <c r="AZ166" i="55"/>
  <c r="AY166" i="55"/>
  <c r="AU166" i="55"/>
  <c r="AL166" i="55" s="1"/>
  <c r="T166" i="55"/>
  <c r="AV166" i="55" s="1"/>
  <c r="B166" i="55"/>
  <c r="BC165" i="55"/>
  <c r="BB165" i="55"/>
  <c r="BA165" i="55"/>
  <c r="AZ165" i="55"/>
  <c r="AY165" i="55"/>
  <c r="AU165" i="55"/>
  <c r="AN165" i="55" s="1"/>
  <c r="T165" i="55"/>
  <c r="AV165" i="55" s="1"/>
  <c r="R165" i="55"/>
  <c r="O165" i="55"/>
  <c r="L165" i="55"/>
  <c r="I165" i="55"/>
  <c r="F165" i="55"/>
  <c r="B165" i="55"/>
  <c r="BC164" i="55"/>
  <c r="BB164" i="55"/>
  <c r="BA164" i="55"/>
  <c r="AZ164" i="55"/>
  <c r="AY164" i="55"/>
  <c r="AU164" i="55"/>
  <c r="AM164" i="55" s="1"/>
  <c r="T164" i="55"/>
  <c r="AV164" i="55" s="1"/>
  <c r="R164" i="55"/>
  <c r="O164" i="55"/>
  <c r="L164" i="55"/>
  <c r="I164" i="55"/>
  <c r="F164" i="55"/>
  <c r="B164" i="55"/>
  <c r="BC163" i="55"/>
  <c r="BB163" i="55"/>
  <c r="BA163" i="55"/>
  <c r="AZ163" i="55"/>
  <c r="AY163" i="55"/>
  <c r="AU163" i="55"/>
  <c r="T163" i="55"/>
  <c r="AV163" i="55" s="1"/>
  <c r="B159" i="55"/>
  <c r="BH163" i="55" s="1"/>
  <c r="BH164" i="55" s="1"/>
  <c r="BH165" i="55" s="1"/>
  <c r="BH166" i="55" s="1"/>
  <c r="BH167" i="55" s="1"/>
  <c r="BH168" i="55" s="1"/>
  <c r="BH169" i="55" s="1"/>
  <c r="BH170" i="55" s="1"/>
  <c r="BH171" i="55" s="1"/>
  <c r="G157" i="55"/>
  <c r="AT199" i="53"/>
  <c r="Q198" i="53"/>
  <c r="N198" i="53"/>
  <c r="K198" i="53"/>
  <c r="H198" i="53"/>
  <c r="E198" i="53"/>
  <c r="BC197" i="53"/>
  <c r="BB197" i="53"/>
  <c r="BA197" i="53"/>
  <c r="AZ197" i="53"/>
  <c r="AY197" i="53"/>
  <c r="AW197" i="53" s="1"/>
  <c r="AU197" i="53"/>
  <c r="AN197" i="53" s="1"/>
  <c r="AM197" i="53"/>
  <c r="T197" i="53"/>
  <c r="AV197" i="53" s="1"/>
  <c r="R197" i="53"/>
  <c r="O197" i="53"/>
  <c r="L197" i="53"/>
  <c r="I197" i="53"/>
  <c r="F197" i="53"/>
  <c r="B197" i="53"/>
  <c r="BC196" i="53"/>
  <c r="BB196" i="53"/>
  <c r="BA196" i="53"/>
  <c r="AZ196" i="53"/>
  <c r="AY196" i="53"/>
  <c r="AU196" i="53"/>
  <c r="AL196" i="53" s="1"/>
  <c r="T196" i="53"/>
  <c r="AV196" i="53" s="1"/>
  <c r="L196" i="53"/>
  <c r="I196" i="53"/>
  <c r="F196" i="53"/>
  <c r="B196" i="53"/>
  <c r="BC195" i="53"/>
  <c r="BB195" i="53"/>
  <c r="BA195" i="53"/>
  <c r="AZ195" i="53"/>
  <c r="AY195" i="53"/>
  <c r="AU195" i="53"/>
  <c r="AL195" i="53" s="1"/>
  <c r="T195" i="53"/>
  <c r="AV195" i="53" s="1"/>
  <c r="R195" i="53"/>
  <c r="O195" i="53"/>
  <c r="BC194" i="53"/>
  <c r="BB194" i="53"/>
  <c r="BA194" i="53"/>
  <c r="AZ194" i="53"/>
  <c r="AY194" i="53"/>
  <c r="AU194" i="53"/>
  <c r="AM194" i="53" s="1"/>
  <c r="T194" i="53"/>
  <c r="AV194" i="53" s="1"/>
  <c r="R194" i="53"/>
  <c r="O194" i="53"/>
  <c r="L194" i="53"/>
  <c r="I194" i="53"/>
  <c r="F194" i="53"/>
  <c r="B194" i="53"/>
  <c r="BC193" i="53"/>
  <c r="BB193" i="53"/>
  <c r="BA193" i="53"/>
  <c r="AZ193" i="53"/>
  <c r="AY193" i="53"/>
  <c r="AU193" i="53"/>
  <c r="T193" i="53"/>
  <c r="AV193" i="53" s="1"/>
  <c r="BC192" i="53"/>
  <c r="BB192" i="53"/>
  <c r="BA192" i="53"/>
  <c r="AZ192" i="53"/>
  <c r="AY192" i="53"/>
  <c r="AU192" i="53"/>
  <c r="T192" i="53"/>
  <c r="AV192" i="53" s="1"/>
  <c r="R192" i="53"/>
  <c r="O192" i="53"/>
  <c r="L192" i="53"/>
  <c r="I192" i="53"/>
  <c r="B192" i="53"/>
  <c r="BC191" i="53"/>
  <c r="BB191" i="53"/>
  <c r="BA191" i="53"/>
  <c r="AZ191" i="53"/>
  <c r="AY191" i="53"/>
  <c r="AU191" i="53"/>
  <c r="AL191" i="53" s="1"/>
  <c r="T191" i="53"/>
  <c r="AV191" i="53" s="1"/>
  <c r="R191" i="53"/>
  <c r="O191" i="53"/>
  <c r="L191" i="53"/>
  <c r="I191" i="53"/>
  <c r="F191" i="53"/>
  <c r="B191" i="53"/>
  <c r="BC190" i="53"/>
  <c r="BB190" i="53"/>
  <c r="BA190" i="53"/>
  <c r="AZ190" i="53"/>
  <c r="AY190" i="53"/>
  <c r="AU190" i="53"/>
  <c r="T190" i="53"/>
  <c r="AV190" i="53" s="1"/>
  <c r="I190" i="53"/>
  <c r="F190" i="53"/>
  <c r="BC189" i="53"/>
  <c r="BB189" i="53"/>
  <c r="BA189" i="53"/>
  <c r="AZ189" i="53"/>
  <c r="AY189" i="53"/>
  <c r="AU189" i="53"/>
  <c r="T189" i="53"/>
  <c r="AV189" i="53" s="1"/>
  <c r="R189" i="53"/>
  <c r="O189" i="53"/>
  <c r="L189" i="53"/>
  <c r="B189" i="53"/>
  <c r="B185" i="53"/>
  <c r="G183" i="53"/>
  <c r="AT173" i="53"/>
  <c r="Q172" i="53"/>
  <c r="N172" i="53"/>
  <c r="K172" i="53"/>
  <c r="H172" i="53"/>
  <c r="E172" i="53"/>
  <c r="BC171" i="53"/>
  <c r="BB171" i="53"/>
  <c r="BA171" i="53"/>
  <c r="AZ171" i="53"/>
  <c r="AY171" i="53"/>
  <c r="AU171" i="53"/>
  <c r="AL171" i="53" s="1"/>
  <c r="AN171" i="53"/>
  <c r="T171" i="53"/>
  <c r="AV171" i="53" s="1"/>
  <c r="R171" i="53"/>
  <c r="O171" i="53"/>
  <c r="L171" i="53"/>
  <c r="I171" i="53"/>
  <c r="F171" i="53"/>
  <c r="B171" i="53"/>
  <c r="BC170" i="53"/>
  <c r="BB170" i="53"/>
  <c r="BA170" i="53"/>
  <c r="AZ170" i="53"/>
  <c r="AY170" i="53"/>
  <c r="AU170" i="53"/>
  <c r="AM170" i="53" s="1"/>
  <c r="T170" i="53"/>
  <c r="AV170" i="53" s="1"/>
  <c r="R170" i="53"/>
  <c r="O170" i="53"/>
  <c r="L170" i="53"/>
  <c r="I170" i="53"/>
  <c r="F170" i="53"/>
  <c r="B170" i="53"/>
  <c r="BC169" i="53"/>
  <c r="BB169" i="53"/>
  <c r="BA169" i="53"/>
  <c r="AZ169" i="53"/>
  <c r="AY169" i="53"/>
  <c r="AU169" i="53"/>
  <c r="T169" i="53"/>
  <c r="AV169" i="53" s="1"/>
  <c r="B169" i="53"/>
  <c r="BC168" i="53"/>
  <c r="BB168" i="53"/>
  <c r="BA168" i="53"/>
  <c r="AZ168" i="53"/>
  <c r="AY168" i="53"/>
  <c r="AU168" i="53"/>
  <c r="AN168" i="53" s="1"/>
  <c r="AM168" i="53"/>
  <c r="T168" i="53"/>
  <c r="AV168" i="53" s="1"/>
  <c r="R168" i="53"/>
  <c r="O168" i="53"/>
  <c r="L168" i="53"/>
  <c r="I168" i="53"/>
  <c r="F168" i="53"/>
  <c r="B168" i="53"/>
  <c r="BC167" i="53"/>
  <c r="BB167" i="53"/>
  <c r="BA167" i="53"/>
  <c r="AZ167" i="53"/>
  <c r="AY167" i="53"/>
  <c r="AU167" i="53"/>
  <c r="AN167" i="53" s="1"/>
  <c r="AL167" i="53"/>
  <c r="T167" i="53"/>
  <c r="AV167" i="53" s="1"/>
  <c r="R167" i="53"/>
  <c r="O167" i="53"/>
  <c r="L167" i="53"/>
  <c r="I167" i="53"/>
  <c r="F167" i="53"/>
  <c r="B167" i="53"/>
  <c r="BC166" i="53"/>
  <c r="BB166" i="53"/>
  <c r="BA166" i="53"/>
  <c r="AZ166" i="53"/>
  <c r="AY166" i="53"/>
  <c r="AU166" i="53"/>
  <c r="AL166" i="53"/>
  <c r="T166" i="53"/>
  <c r="AV166" i="53" s="1"/>
  <c r="BC165" i="53"/>
  <c r="BB165" i="53"/>
  <c r="BA165" i="53"/>
  <c r="AZ165" i="53"/>
  <c r="AY165" i="53"/>
  <c r="AW165" i="53" s="1"/>
  <c r="AU165" i="53"/>
  <c r="AN165" i="53" s="1"/>
  <c r="T165" i="53"/>
  <c r="AV165" i="53" s="1"/>
  <c r="R165" i="53"/>
  <c r="O165" i="53"/>
  <c r="L165" i="53"/>
  <c r="I165" i="53"/>
  <c r="F165" i="53"/>
  <c r="B165" i="53"/>
  <c r="BC164" i="53"/>
  <c r="BB164" i="53"/>
  <c r="BA164" i="53"/>
  <c r="AZ164" i="53"/>
  <c r="AY164" i="53"/>
  <c r="AU164" i="53"/>
  <c r="T164" i="53"/>
  <c r="AV164" i="53" s="1"/>
  <c r="R164" i="53"/>
  <c r="O164" i="53"/>
  <c r="L164" i="53"/>
  <c r="I164" i="53"/>
  <c r="F164" i="53"/>
  <c r="B164" i="53"/>
  <c r="BC163" i="53"/>
  <c r="BB163" i="53"/>
  <c r="BA163" i="53"/>
  <c r="AZ163" i="53"/>
  <c r="AY163" i="53"/>
  <c r="AU163" i="53"/>
  <c r="T163" i="53"/>
  <c r="AV163" i="53" s="1"/>
  <c r="B159" i="53"/>
  <c r="BH163" i="53" s="1"/>
  <c r="BH164" i="53" s="1"/>
  <c r="BH165" i="53" s="1"/>
  <c r="BH166" i="53" s="1"/>
  <c r="BH167" i="53" s="1"/>
  <c r="BH168" i="53" s="1"/>
  <c r="BH169" i="53" s="1"/>
  <c r="BH170" i="53" s="1"/>
  <c r="BH171" i="53" s="1"/>
  <c r="G157" i="53"/>
  <c r="EL4" i="16"/>
  <c r="ED10" i="16" s="1"/>
  <c r="J134" i="117" s="1"/>
  <c r="D190" i="116"/>
  <c r="D189" i="116"/>
  <c r="D188" i="116"/>
  <c r="D187" i="116"/>
  <c r="D186" i="116"/>
  <c r="D185" i="116"/>
  <c r="D184" i="116"/>
  <c r="D183" i="116"/>
  <c r="D182" i="116"/>
  <c r="E176" i="116"/>
  <c r="D165" i="116"/>
  <c r="D164" i="116"/>
  <c r="D163" i="116"/>
  <c r="D162" i="116"/>
  <c r="D161" i="116"/>
  <c r="D160" i="116"/>
  <c r="D159" i="116"/>
  <c r="D158" i="116"/>
  <c r="D157" i="116"/>
  <c r="E151" i="116"/>
  <c r="D190" i="87"/>
  <c r="D189" i="87"/>
  <c r="D188" i="87"/>
  <c r="D187" i="87"/>
  <c r="D186" i="87"/>
  <c r="D185" i="87"/>
  <c r="D184" i="87"/>
  <c r="D183" i="87"/>
  <c r="D182" i="87"/>
  <c r="E176" i="87"/>
  <c r="D165" i="87"/>
  <c r="D164" i="87"/>
  <c r="D163" i="87"/>
  <c r="D162" i="87"/>
  <c r="D161" i="87"/>
  <c r="D160" i="87"/>
  <c r="D159" i="87"/>
  <c r="D158" i="87"/>
  <c r="D157" i="87"/>
  <c r="E151" i="87"/>
  <c r="D190" i="86"/>
  <c r="D189" i="86"/>
  <c r="D188" i="86"/>
  <c r="D187" i="86"/>
  <c r="D186" i="86"/>
  <c r="D185" i="86"/>
  <c r="D184" i="86"/>
  <c r="D183" i="86"/>
  <c r="D182" i="86"/>
  <c r="E176" i="86"/>
  <c r="D165" i="86"/>
  <c r="D164" i="86"/>
  <c r="D163" i="86"/>
  <c r="D162" i="86"/>
  <c r="D161" i="86"/>
  <c r="D160" i="86"/>
  <c r="D159" i="86"/>
  <c r="D158" i="86"/>
  <c r="D157" i="86"/>
  <c r="E151" i="86"/>
  <c r="D190" i="85"/>
  <c r="D189" i="85"/>
  <c r="D188" i="85"/>
  <c r="D187" i="85"/>
  <c r="D186" i="85"/>
  <c r="D185" i="85"/>
  <c r="D184" i="85"/>
  <c r="D183" i="85"/>
  <c r="D182" i="85"/>
  <c r="E176" i="85"/>
  <c r="D165" i="85"/>
  <c r="D164" i="85"/>
  <c r="D163" i="85"/>
  <c r="D162" i="85"/>
  <c r="D161" i="85"/>
  <c r="D160" i="85"/>
  <c r="D159" i="85"/>
  <c r="D158" i="85"/>
  <c r="D157" i="85"/>
  <c r="E151" i="85"/>
  <c r="D190" i="84"/>
  <c r="D189" i="84"/>
  <c r="D188" i="84"/>
  <c r="D187" i="84"/>
  <c r="D186" i="84"/>
  <c r="D185" i="84"/>
  <c r="D184" i="84"/>
  <c r="D183" i="84"/>
  <c r="D182" i="84"/>
  <c r="E176" i="84"/>
  <c r="D165" i="84"/>
  <c r="D164" i="84"/>
  <c r="D163" i="84"/>
  <c r="D162" i="84"/>
  <c r="D161" i="84"/>
  <c r="D160" i="84"/>
  <c r="D159" i="84"/>
  <c r="D158" i="84"/>
  <c r="D157" i="84"/>
  <c r="E151" i="84"/>
  <c r="D190" i="45"/>
  <c r="D189" i="45"/>
  <c r="D188" i="45"/>
  <c r="D187" i="45"/>
  <c r="D186" i="45"/>
  <c r="D185" i="45"/>
  <c r="D184" i="45"/>
  <c r="D183" i="45"/>
  <c r="D182" i="45"/>
  <c r="E176" i="45"/>
  <c r="D165" i="45"/>
  <c r="D164" i="45"/>
  <c r="D163" i="45"/>
  <c r="D162" i="45"/>
  <c r="D161" i="45"/>
  <c r="D160" i="45"/>
  <c r="D159" i="45"/>
  <c r="D158" i="45"/>
  <c r="D157" i="45"/>
  <c r="E151" i="45"/>
  <c r="BK166" i="58" l="1"/>
  <c r="AM196" i="58"/>
  <c r="AM163" i="58"/>
  <c r="AM195" i="58"/>
  <c r="AM192" i="58"/>
  <c r="AX168" i="55"/>
  <c r="AN38" i="117"/>
  <c r="AL38" i="117"/>
  <c r="AL168" i="53"/>
  <c r="AX170" i="53"/>
  <c r="AM171" i="53"/>
  <c r="AN169" i="59"/>
  <c r="AN9" i="117"/>
  <c r="AX35" i="117"/>
  <c r="AM36" i="117"/>
  <c r="AM63" i="117"/>
  <c r="BF137" i="117"/>
  <c r="AN167" i="117"/>
  <c r="AW164" i="59"/>
  <c r="AL165" i="59"/>
  <c r="AL189" i="59"/>
  <c r="AL195" i="59"/>
  <c r="AX34" i="117"/>
  <c r="AN36" i="117"/>
  <c r="AN63" i="117"/>
  <c r="AN91" i="117"/>
  <c r="AW119" i="117"/>
  <c r="AL9" i="117"/>
  <c r="EG6" i="16"/>
  <c r="S30" i="117" s="1"/>
  <c r="BF189" i="55"/>
  <c r="AX191" i="55"/>
  <c r="AW189" i="58"/>
  <c r="AN189" i="58" s="1"/>
  <c r="AM191" i="58"/>
  <c r="AM165" i="59"/>
  <c r="AO165" i="59" s="1"/>
  <c r="AM189" i="59"/>
  <c r="AO189" i="59" s="1"/>
  <c r="AM195" i="59"/>
  <c r="AM163" i="117"/>
  <c r="AX196" i="117"/>
  <c r="EC7" i="16"/>
  <c r="G56" i="117" s="1"/>
  <c r="BK165" i="57"/>
  <c r="AN193" i="57"/>
  <c r="AL197" i="57"/>
  <c r="AN171" i="59"/>
  <c r="AN92" i="117"/>
  <c r="AM113" i="117"/>
  <c r="AO113" i="117" s="1"/>
  <c r="AN163" i="117"/>
  <c r="AL34" i="117"/>
  <c r="EF8" i="16"/>
  <c r="P82" i="117" s="1"/>
  <c r="EC9" i="16"/>
  <c r="G108" i="117" s="1"/>
  <c r="BJ194" i="53"/>
  <c r="AX196" i="57"/>
  <c r="AM166" i="58"/>
  <c r="AL166" i="59"/>
  <c r="AM38" i="117"/>
  <c r="AN87" i="117"/>
  <c r="BF190" i="117"/>
  <c r="AW192" i="117"/>
  <c r="AL39" i="117"/>
  <c r="ED9" i="16"/>
  <c r="J108" i="117" s="1"/>
  <c r="AL168" i="55"/>
  <c r="AM196" i="55"/>
  <c r="BJ194" i="57"/>
  <c r="U197" i="58"/>
  <c r="BF190" i="59"/>
  <c r="AL191" i="59"/>
  <c r="AX12" i="117"/>
  <c r="AM13" i="117"/>
  <c r="AM33" i="117"/>
  <c r="AM59" i="117"/>
  <c r="AN66" i="117"/>
  <c r="AX114" i="117"/>
  <c r="AM115" i="117"/>
  <c r="AL40" i="117"/>
  <c r="AN13" i="117"/>
  <c r="AX65" i="117"/>
  <c r="BK171" i="117"/>
  <c r="BJ193" i="117"/>
  <c r="BJ170" i="55"/>
  <c r="BJ171" i="55"/>
  <c r="AX167" i="58"/>
  <c r="T172" i="58"/>
  <c r="AR173" i="58" s="1"/>
  <c r="AL195" i="58"/>
  <c r="AX33" i="117"/>
  <c r="AM88" i="117"/>
  <c r="BK144" i="117"/>
  <c r="AM166" i="117"/>
  <c r="AL113" i="117"/>
  <c r="AP113" i="117" s="1"/>
  <c r="D113" i="117" s="1"/>
  <c r="AX192" i="53"/>
  <c r="B189" i="55"/>
  <c r="BK168" i="58"/>
  <c r="AL169" i="58"/>
  <c r="AW191" i="59"/>
  <c r="AM14" i="117"/>
  <c r="AO14" i="117" s="1"/>
  <c r="AM61" i="117"/>
  <c r="AO61" i="117" s="1"/>
  <c r="AN88" i="117"/>
  <c r="AN166" i="117"/>
  <c r="AX61" i="117"/>
  <c r="BF138" i="117"/>
  <c r="AX166" i="117"/>
  <c r="AM167" i="117"/>
  <c r="AO167" i="117" s="1"/>
  <c r="AP167" i="117" s="1"/>
  <c r="D167" i="117" s="1"/>
  <c r="AX192" i="57"/>
  <c r="T172" i="57"/>
  <c r="AR173" i="57" s="1"/>
  <c r="AM169" i="57"/>
  <c r="AM165" i="57"/>
  <c r="AM164" i="57"/>
  <c r="AO167" i="57"/>
  <c r="AL119" i="117"/>
  <c r="BK59" i="117"/>
  <c r="B163" i="53"/>
  <c r="BJ196" i="58"/>
  <c r="BJ167" i="57"/>
  <c r="EF9" i="16"/>
  <c r="P108" i="117" s="1"/>
  <c r="EG9" i="16"/>
  <c r="S108" i="117" s="1"/>
  <c r="EE5" i="16"/>
  <c r="M4" i="117" s="1"/>
  <c r="EC10" i="16"/>
  <c r="G134" i="117" s="1"/>
  <c r="AL164" i="55"/>
  <c r="BJ192" i="55"/>
  <c r="BJ193" i="58"/>
  <c r="AL170" i="59"/>
  <c r="AP189" i="59"/>
  <c r="D189" i="59" s="1"/>
  <c r="AX194" i="59"/>
  <c r="T198" i="59"/>
  <c r="AR199" i="59" s="1"/>
  <c r="AX13" i="117"/>
  <c r="AM39" i="117"/>
  <c r="AO39" i="117" s="1"/>
  <c r="AP39" i="117" s="1"/>
  <c r="D39" i="117" s="1"/>
  <c r="U113" i="117"/>
  <c r="AL61" i="117"/>
  <c r="AP61" i="117" s="1"/>
  <c r="D61" i="117" s="1"/>
  <c r="BK163" i="117"/>
  <c r="AX167" i="57"/>
  <c r="BJ167" i="58"/>
  <c r="BK36" i="117"/>
  <c r="AW197" i="55"/>
  <c r="BF164" i="58"/>
  <c r="BF11" i="117"/>
  <c r="AL112" i="117"/>
  <c r="AX195" i="59"/>
  <c r="AL138" i="117"/>
  <c r="AO169" i="59"/>
  <c r="AP169" i="59" s="1"/>
  <c r="D169" i="59" s="1"/>
  <c r="AL141" i="117"/>
  <c r="AO34" i="117"/>
  <c r="AP34" i="117" s="1"/>
  <c r="D34" i="117" s="1"/>
  <c r="EC11" i="16"/>
  <c r="G160" i="117" s="1"/>
  <c r="BF164" i="53"/>
  <c r="AW170" i="53"/>
  <c r="AO9" i="117"/>
  <c r="ED11" i="16"/>
  <c r="J160" i="117" s="1"/>
  <c r="AL165" i="55"/>
  <c r="BJ90" i="117"/>
  <c r="AM138" i="117"/>
  <c r="AO138" i="117" s="1"/>
  <c r="AL66" i="117"/>
  <c r="EE6" i="16"/>
  <c r="M30" i="117" s="1"/>
  <c r="EC12" i="16"/>
  <c r="G186" i="117" s="1"/>
  <c r="BJ164" i="55"/>
  <c r="AM165" i="55"/>
  <c r="AL167" i="57"/>
  <c r="AL192" i="57"/>
  <c r="AL190" i="58"/>
  <c r="AL196" i="58"/>
  <c r="AM163" i="59"/>
  <c r="AO163" i="59" s="1"/>
  <c r="AN59" i="117"/>
  <c r="AO59" i="117" s="1"/>
  <c r="AP59" i="117" s="1"/>
  <c r="D59" i="117" s="1"/>
  <c r="AM197" i="117"/>
  <c r="AL85" i="117"/>
  <c r="BK169" i="55"/>
  <c r="AX85" i="117"/>
  <c r="BK164" i="117"/>
  <c r="AX67" i="117"/>
  <c r="AW167" i="59"/>
  <c r="EC5" i="16"/>
  <c r="G4" i="117" s="1"/>
  <c r="AO8" i="117"/>
  <c r="EC6" i="16"/>
  <c r="G30" i="117" s="1"/>
  <c r="BF165" i="53"/>
  <c r="AW196" i="57"/>
  <c r="BK193" i="58"/>
  <c r="T68" i="117"/>
  <c r="AR69" i="117" s="1"/>
  <c r="R120" i="117"/>
  <c r="ED6" i="16"/>
  <c r="J30" i="117" s="1"/>
  <c r="AL163" i="59"/>
  <c r="AX170" i="59"/>
  <c r="EF6" i="16"/>
  <c r="P30" i="117" s="1"/>
  <c r="EF12" i="16"/>
  <c r="P186" i="117" s="1"/>
  <c r="AX196" i="53"/>
  <c r="AL197" i="53"/>
  <c r="BJ167" i="55"/>
  <c r="AX170" i="55"/>
  <c r="AM192" i="57"/>
  <c r="AX195" i="57"/>
  <c r="BF15" i="117"/>
  <c r="BK64" i="117"/>
  <c r="AM87" i="117"/>
  <c r="AM92" i="117"/>
  <c r="AO92" i="117" s="1"/>
  <c r="AP92" i="117" s="1"/>
  <c r="D92" i="117" s="1"/>
  <c r="AM119" i="117"/>
  <c r="AO119" i="117" s="1"/>
  <c r="AP119" i="117" s="1"/>
  <c r="D119" i="117" s="1"/>
  <c r="AN145" i="117"/>
  <c r="BF196" i="117"/>
  <c r="AN197" i="117"/>
  <c r="BF166" i="55"/>
  <c r="AX192" i="55"/>
  <c r="AM169" i="55"/>
  <c r="AM192" i="55"/>
  <c r="BF196" i="53"/>
  <c r="AM196" i="53"/>
  <c r="BF189" i="53"/>
  <c r="AM166" i="53"/>
  <c r="ED5" i="16"/>
  <c r="J4" i="117" s="1"/>
  <c r="EG8" i="16"/>
  <c r="S82" i="117" s="1"/>
  <c r="EE12" i="16"/>
  <c r="M186" i="117" s="1"/>
  <c r="ED7" i="16"/>
  <c r="J56" i="117" s="1"/>
  <c r="EE11" i="16"/>
  <c r="M160" i="117" s="1"/>
  <c r="EG7" i="16"/>
  <c r="S56" i="117" s="1"/>
  <c r="EF11" i="16"/>
  <c r="P160" i="117" s="1"/>
  <c r="EE8" i="16"/>
  <c r="M82" i="117" s="1"/>
  <c r="EG11" i="16"/>
  <c r="S160" i="117" s="1"/>
  <c r="AW164" i="55"/>
  <c r="AW190" i="55"/>
  <c r="BK194" i="58"/>
  <c r="BF194" i="58"/>
  <c r="BF85" i="117"/>
  <c r="AN86" i="117"/>
  <c r="AL86" i="117"/>
  <c r="AX90" i="117"/>
  <c r="T94" i="117"/>
  <c r="AR95" i="117" s="1"/>
  <c r="BK189" i="55"/>
  <c r="BJ171" i="58"/>
  <c r="AN67" i="117"/>
  <c r="AM67" i="117"/>
  <c r="AL67" i="117"/>
  <c r="BJ86" i="117"/>
  <c r="AX86" i="117"/>
  <c r="BF86" i="117"/>
  <c r="BF90" i="117"/>
  <c r="AN142" i="117"/>
  <c r="AM142" i="117"/>
  <c r="AL142" i="117"/>
  <c r="BJ145" i="117"/>
  <c r="BK168" i="57"/>
  <c r="AX168" i="57"/>
  <c r="BK189" i="58"/>
  <c r="BF189" i="58"/>
  <c r="AX14" i="117"/>
  <c r="BK14" i="117"/>
  <c r="BJ142" i="117"/>
  <c r="BJ171" i="53"/>
  <c r="AW190" i="53"/>
  <c r="AX165" i="55"/>
  <c r="AM166" i="55"/>
  <c r="BK168" i="55"/>
  <c r="AW195" i="55"/>
  <c r="AW165" i="57"/>
  <c r="AN165" i="57" s="1"/>
  <c r="AL166" i="57"/>
  <c r="AM166" i="57"/>
  <c r="BJ164" i="59"/>
  <c r="BF61" i="117"/>
  <c r="AX62" i="117"/>
  <c r="AN62" i="117"/>
  <c r="AL62" i="117"/>
  <c r="AM62" i="117"/>
  <c r="AM143" i="117"/>
  <c r="AO143" i="117" s="1"/>
  <c r="AL143" i="117"/>
  <c r="EE9" i="16"/>
  <c r="M108" i="117" s="1"/>
  <c r="ED12" i="16"/>
  <c r="J186" i="117" s="1"/>
  <c r="AX191" i="53"/>
  <c r="AL192" i="53"/>
  <c r="T198" i="53"/>
  <c r="AR199" i="53" s="1"/>
  <c r="BF168" i="55"/>
  <c r="BF191" i="55"/>
  <c r="AM197" i="55"/>
  <c r="AN196" i="57"/>
  <c r="AO196" i="57" s="1"/>
  <c r="AL196" i="57"/>
  <c r="AM168" i="58"/>
  <c r="BK169" i="53"/>
  <c r="BJ168" i="55"/>
  <c r="AM192" i="53"/>
  <c r="AW195" i="53"/>
  <c r="AW196" i="53"/>
  <c r="BK165" i="55"/>
  <c r="AX169" i="55"/>
  <c r="AX196" i="55"/>
  <c r="AN197" i="55"/>
  <c r="BK166" i="57"/>
  <c r="BJ166" i="57"/>
  <c r="BF166" i="57"/>
  <c r="U164" i="59"/>
  <c r="AW169" i="59"/>
  <c r="AX169" i="59"/>
  <c r="BF34" i="117"/>
  <c r="AX40" i="117"/>
  <c r="AM41" i="117"/>
  <c r="BJ167" i="53"/>
  <c r="BK189" i="53"/>
  <c r="BF190" i="53"/>
  <c r="AM163" i="57"/>
  <c r="BK189" i="57"/>
  <c r="AX191" i="57"/>
  <c r="BK167" i="58"/>
  <c r="AW193" i="59"/>
  <c r="AX39" i="117"/>
  <c r="AN41" i="117"/>
  <c r="AX167" i="117"/>
  <c r="BK195" i="117"/>
  <c r="AW195" i="117"/>
  <c r="AN192" i="117"/>
  <c r="AL192" i="117"/>
  <c r="AM197" i="58"/>
  <c r="AO197" i="58" s="1"/>
  <c r="AL197" i="58"/>
  <c r="BK167" i="55"/>
  <c r="AM164" i="53"/>
  <c r="AN164" i="53"/>
  <c r="BK166" i="55"/>
  <c r="AN170" i="55"/>
  <c r="AM170" i="55"/>
  <c r="AL193" i="55"/>
  <c r="AM193" i="55"/>
  <c r="EE7" i="16"/>
  <c r="M56" i="117" s="1"/>
  <c r="AX167" i="53"/>
  <c r="T172" i="53"/>
  <c r="AR173" i="53" s="1"/>
  <c r="AW191" i="53"/>
  <c r="BJ166" i="55"/>
  <c r="BK193" i="55"/>
  <c r="AN194" i="55"/>
  <c r="AO194" i="55" s="1"/>
  <c r="BF196" i="55"/>
  <c r="BJ197" i="55"/>
  <c r="AX170" i="57"/>
  <c r="BK164" i="58"/>
  <c r="AM165" i="58"/>
  <c r="BJ197" i="58"/>
  <c r="BK197" i="58"/>
  <c r="BK194" i="59"/>
  <c r="AO195" i="59"/>
  <c r="AP195" i="59" s="1"/>
  <c r="D195" i="59" s="1"/>
  <c r="I42" i="117"/>
  <c r="AO36" i="117"/>
  <c r="AP36" i="117" s="1"/>
  <c r="D36" i="117" s="1"/>
  <c r="BK165" i="53"/>
  <c r="EF10" i="16"/>
  <c r="P134" i="117" s="1"/>
  <c r="ED8" i="16"/>
  <c r="J82" i="117" s="1"/>
  <c r="EG5" i="16"/>
  <c r="S4" i="117" s="1"/>
  <c r="EG12" i="16"/>
  <c r="S186" i="117" s="1"/>
  <c r="EE10" i="16"/>
  <c r="M134" i="117" s="1"/>
  <c r="EC8" i="16"/>
  <c r="G82" i="117" s="1"/>
  <c r="EF5" i="16"/>
  <c r="P4" i="117" s="1"/>
  <c r="EF7" i="16"/>
  <c r="P56" i="117" s="1"/>
  <c r="EG10" i="16"/>
  <c r="S134" i="117" s="1"/>
  <c r="AW164" i="53"/>
  <c r="AL165" i="53"/>
  <c r="BK168" i="53"/>
  <c r="BF169" i="53"/>
  <c r="AL170" i="53"/>
  <c r="BK192" i="53"/>
  <c r="BJ192" i="53"/>
  <c r="BJ193" i="53"/>
  <c r="AN194" i="53"/>
  <c r="AO194" i="53" s="1"/>
  <c r="BF163" i="55"/>
  <c r="AW167" i="55"/>
  <c r="AW170" i="55"/>
  <c r="AX197" i="57"/>
  <c r="AN165" i="58"/>
  <c r="AX192" i="58"/>
  <c r="AN190" i="59"/>
  <c r="AM190" i="59"/>
  <c r="AL190" i="59"/>
  <c r="U192" i="59"/>
  <c r="U193" i="59"/>
  <c r="AM91" i="117"/>
  <c r="AO91" i="117" s="1"/>
  <c r="AP91" i="117" s="1"/>
  <c r="D91" i="117" s="1"/>
  <c r="BJ164" i="117"/>
  <c r="AW170" i="117"/>
  <c r="AM192" i="117"/>
  <c r="BF195" i="117"/>
  <c r="BK194" i="55"/>
  <c r="AX195" i="55"/>
  <c r="BF163" i="57"/>
  <c r="AW166" i="57"/>
  <c r="AN166" i="57" s="1"/>
  <c r="BK167" i="57"/>
  <c r="AW191" i="57"/>
  <c r="BK192" i="57"/>
  <c r="AM193" i="57"/>
  <c r="BK196" i="57"/>
  <c r="BK165" i="58"/>
  <c r="AW165" i="59"/>
  <c r="AX165" i="59"/>
  <c r="AM170" i="59"/>
  <c r="AO170" i="59" s="1"/>
  <c r="AP170" i="59" s="1"/>
  <c r="D170" i="59" s="1"/>
  <c r="AM7" i="117"/>
  <c r="AL7" i="117"/>
  <c r="AN7" i="117"/>
  <c r="AN11" i="117"/>
  <c r="AO11" i="117" s="1"/>
  <c r="BF41" i="117"/>
  <c r="AW85" i="117"/>
  <c r="BK91" i="117"/>
  <c r="AN111" i="117"/>
  <c r="AL111" i="117"/>
  <c r="U137" i="117"/>
  <c r="BF165" i="117"/>
  <c r="BJ190" i="58"/>
  <c r="AW190" i="58"/>
  <c r="AN190" i="58" s="1"/>
  <c r="T172" i="59"/>
  <c r="AR173" i="59" s="1"/>
  <c r="BF194" i="59"/>
  <c r="BF7" i="117"/>
  <c r="AX7" i="117"/>
  <c r="AW143" i="117"/>
  <c r="BK143" i="117"/>
  <c r="BF169" i="117"/>
  <c r="BF170" i="117"/>
  <c r="AW191" i="117"/>
  <c r="AL8" i="117"/>
  <c r="BF190" i="55"/>
  <c r="AM197" i="57"/>
  <c r="AO197" i="57" s="1"/>
  <c r="AP197" i="57" s="1"/>
  <c r="D197" i="57" s="1"/>
  <c r="AW165" i="58"/>
  <c r="BK163" i="59"/>
  <c r="AN12" i="117"/>
  <c r="AL12" i="117"/>
  <c r="AX15" i="117"/>
  <c r="AN33" i="117"/>
  <c r="AO33" i="117" s="1"/>
  <c r="AP33" i="117" s="1"/>
  <c r="D33" i="117" s="1"/>
  <c r="BJ36" i="117"/>
  <c r="BK87" i="117"/>
  <c r="AO88" i="117"/>
  <c r="AP88" i="117" s="1"/>
  <c r="D88" i="117" s="1"/>
  <c r="AX116" i="117"/>
  <c r="AM117" i="117"/>
  <c r="AM139" i="117"/>
  <c r="AL139" i="117"/>
  <c r="AN193" i="117"/>
  <c r="AO193" i="117" s="1"/>
  <c r="AL193" i="117"/>
  <c r="AW196" i="117"/>
  <c r="AW164" i="57"/>
  <c r="AN164" i="57" s="1"/>
  <c r="AL170" i="57"/>
  <c r="AX193" i="57"/>
  <c r="AN194" i="57"/>
  <c r="AO194" i="57" s="1"/>
  <c r="AW166" i="58"/>
  <c r="AN166" i="58" s="1"/>
  <c r="BK190" i="58"/>
  <c r="AO191" i="58"/>
  <c r="AP191" i="58" s="1"/>
  <c r="D191" i="58" s="1"/>
  <c r="AO171" i="59"/>
  <c r="AX191" i="59"/>
  <c r="AX37" i="117"/>
  <c r="AX60" i="117"/>
  <c r="AL65" i="117"/>
  <c r="AM65" i="117"/>
  <c r="AO65" i="117" s="1"/>
  <c r="L94" i="117"/>
  <c r="AX112" i="117"/>
  <c r="O146" i="117"/>
  <c r="AW144" i="117"/>
  <c r="AO194" i="117"/>
  <c r="AP194" i="117" s="1"/>
  <c r="D194" i="117" s="1"/>
  <c r="T198" i="55"/>
  <c r="AR199" i="55" s="1"/>
  <c r="BK164" i="57"/>
  <c r="AX169" i="57"/>
  <c r="BJ166" i="58"/>
  <c r="AL167" i="58"/>
  <c r="AX195" i="58"/>
  <c r="T198" i="58"/>
  <c r="AR199" i="58" s="1"/>
  <c r="BJ166" i="59"/>
  <c r="AW171" i="59"/>
  <c r="BJ192" i="59"/>
  <c r="BF192" i="59"/>
  <c r="AM196" i="59"/>
  <c r="AO196" i="59" s="1"/>
  <c r="AL196" i="59"/>
  <c r="F68" i="117"/>
  <c r="BK93" i="117"/>
  <c r="T120" i="117"/>
  <c r="AR121" i="117" s="1"/>
  <c r="T172" i="117"/>
  <c r="AR173" i="117" s="1"/>
  <c r="AL11" i="117"/>
  <c r="AX166" i="53"/>
  <c r="AM167" i="53"/>
  <c r="AO167" i="53" s="1"/>
  <c r="AL190" i="53"/>
  <c r="BK194" i="53"/>
  <c r="BJ197" i="53"/>
  <c r="AN164" i="55"/>
  <c r="AO164" i="55" s="1"/>
  <c r="AW169" i="55"/>
  <c r="AN169" i="55" s="1"/>
  <c r="BK192" i="55"/>
  <c r="AW196" i="55"/>
  <c r="AN196" i="55" s="1"/>
  <c r="AO196" i="55" s="1"/>
  <c r="AP196" i="55" s="1"/>
  <c r="D196" i="55" s="1"/>
  <c r="BF169" i="57"/>
  <c r="BF170" i="57"/>
  <c r="BF196" i="57"/>
  <c r="AW197" i="57"/>
  <c r="AM167" i="58"/>
  <c r="AO167" i="58" s="1"/>
  <c r="AN171" i="58"/>
  <c r="AO171" i="58" s="1"/>
  <c r="AP171" i="58" s="1"/>
  <c r="D171" i="58" s="1"/>
  <c r="AO164" i="59"/>
  <c r="AP164" i="59" s="1"/>
  <c r="D164" i="59" s="1"/>
  <c r="BK165" i="59"/>
  <c r="BK167" i="59"/>
  <c r="AX171" i="59"/>
  <c r="AM197" i="59"/>
  <c r="AN197" i="59"/>
  <c r="BF38" i="117"/>
  <c r="AX38" i="117"/>
  <c r="T42" i="117"/>
  <c r="AR43" i="117" s="1"/>
  <c r="BJ59" i="117"/>
  <c r="AX113" i="117"/>
  <c r="AM114" i="117"/>
  <c r="AX117" i="117"/>
  <c r="AM118" i="117"/>
  <c r="AW138" i="117"/>
  <c r="AW167" i="117"/>
  <c r="AL15" i="117"/>
  <c r="AL90" i="117"/>
  <c r="BK163" i="53"/>
  <c r="AX189" i="53"/>
  <c r="AX195" i="53"/>
  <c r="AX167" i="55"/>
  <c r="BJ171" i="57"/>
  <c r="BF189" i="57"/>
  <c r="AX194" i="57"/>
  <c r="AM164" i="58"/>
  <c r="AN164" i="58"/>
  <c r="AW169" i="58"/>
  <c r="AN169" i="58" s="1"/>
  <c r="AO169" i="58" s="1"/>
  <c r="BF190" i="58"/>
  <c r="AX191" i="58"/>
  <c r="AW196" i="58"/>
  <c r="U163" i="59"/>
  <c r="BF166" i="59"/>
  <c r="BK193" i="59"/>
  <c r="AW197" i="59"/>
  <c r="AW8" i="117"/>
  <c r="BJ65" i="117"/>
  <c r="BF65" i="117"/>
  <c r="AO66" i="117"/>
  <c r="AN90" i="117"/>
  <c r="AN114" i="117"/>
  <c r="BF116" i="117"/>
  <c r="AN118" i="117"/>
  <c r="AX140" i="117"/>
  <c r="BF140" i="117"/>
  <c r="BF143" i="117"/>
  <c r="BF144" i="117"/>
  <c r="AN168" i="117"/>
  <c r="AO168" i="117" s="1"/>
  <c r="AL168" i="117"/>
  <c r="AX165" i="57"/>
  <c r="AW170" i="57"/>
  <c r="AW190" i="57"/>
  <c r="BK195" i="57"/>
  <c r="U197" i="57"/>
  <c r="BJ197" i="57"/>
  <c r="BJ163" i="58"/>
  <c r="AX164" i="58"/>
  <c r="AX171" i="58"/>
  <c r="BF171" i="58"/>
  <c r="AL192" i="58"/>
  <c r="AX196" i="58"/>
  <c r="BF164" i="59"/>
  <c r="BK168" i="59"/>
  <c r="BF189" i="59"/>
  <c r="BJ197" i="59"/>
  <c r="I16" i="117"/>
  <c r="AW89" i="117"/>
  <c r="AO90" i="117"/>
  <c r="U92" i="117"/>
  <c r="BK145" i="117"/>
  <c r="U167" i="117"/>
  <c r="BJ168" i="117"/>
  <c r="AL37" i="117"/>
  <c r="BF190" i="57"/>
  <c r="BJ189" i="58"/>
  <c r="AN196" i="58"/>
  <c r="AO196" i="58" s="1"/>
  <c r="AP196" i="58" s="1"/>
  <c r="D196" i="58" s="1"/>
  <c r="R196" i="58" s="1"/>
  <c r="AX168" i="59"/>
  <c r="F198" i="59"/>
  <c r="U195" i="59"/>
  <c r="AW195" i="59"/>
  <c r="AW62" i="117"/>
  <c r="AN116" i="117"/>
  <c r="AO116" i="117" s="1"/>
  <c r="BF118" i="117"/>
  <c r="AX137" i="117"/>
  <c r="AM141" i="117"/>
  <c r="AO141" i="117" s="1"/>
  <c r="AW197" i="117"/>
  <c r="AL116" i="117"/>
  <c r="AL145" i="117"/>
  <c r="BK163" i="58"/>
  <c r="AX166" i="58"/>
  <c r="BK192" i="59"/>
  <c r="T16" i="117"/>
  <c r="AR17" i="117" s="1"/>
  <c r="AW37" i="117"/>
  <c r="AX63" i="117"/>
  <c r="AN64" i="117"/>
  <c r="AW66" i="117"/>
  <c r="BF88" i="117"/>
  <c r="AM93" i="117"/>
  <c r="AO93" i="117" s="1"/>
  <c r="AN112" i="117"/>
  <c r="AO112" i="117" s="1"/>
  <c r="BK115" i="117"/>
  <c r="BK139" i="117"/>
  <c r="BJ189" i="117"/>
  <c r="AW9" i="117"/>
  <c r="BJ88" i="117"/>
  <c r="AX89" i="117"/>
  <c r="BK92" i="117"/>
  <c r="AX111" i="117"/>
  <c r="AX119" i="117"/>
  <c r="AO163" i="117"/>
  <c r="AP163" i="117" s="1"/>
  <c r="D163" i="117" s="1"/>
  <c r="AW166" i="117"/>
  <c r="BK169" i="117"/>
  <c r="BK170" i="117"/>
  <c r="BK189" i="117"/>
  <c r="BK194" i="117"/>
  <c r="AL14" i="117"/>
  <c r="AP14" i="117" s="1"/>
  <c r="AL60" i="117"/>
  <c r="AL89" i="117"/>
  <c r="T198" i="57"/>
  <c r="AR199" i="57" s="1"/>
  <c r="BJ164" i="58"/>
  <c r="BF169" i="58"/>
  <c r="AX170" i="58"/>
  <c r="BK192" i="58"/>
  <c r="BK169" i="59"/>
  <c r="AW190" i="59"/>
  <c r="BJ193" i="59"/>
  <c r="AX196" i="59"/>
  <c r="AW10" i="117"/>
  <c r="AW13" i="117"/>
  <c r="AW59" i="117"/>
  <c r="AX64" i="117"/>
  <c r="BK89" i="117"/>
  <c r="AX141" i="117"/>
  <c r="BK190" i="117"/>
  <c r="U197" i="117"/>
  <c r="AL35" i="117"/>
  <c r="AP35" i="117" s="1"/>
  <c r="D35" i="117" s="1"/>
  <c r="AL93" i="117"/>
  <c r="BJ163" i="117"/>
  <c r="AX171" i="117"/>
  <c r="AX192" i="117"/>
  <c r="BK196" i="117"/>
  <c r="L42" i="117"/>
  <c r="I94" i="117"/>
  <c r="O120" i="117"/>
  <c r="U114" i="117"/>
  <c r="U117" i="117"/>
  <c r="U118" i="117"/>
  <c r="R42" i="117"/>
  <c r="O94" i="117"/>
  <c r="U119" i="117"/>
  <c r="U164" i="117"/>
  <c r="U39" i="117"/>
  <c r="U60" i="117"/>
  <c r="R94" i="117"/>
  <c r="U87" i="117"/>
  <c r="U89" i="117"/>
  <c r="U112" i="117"/>
  <c r="U141" i="117"/>
  <c r="U86" i="117"/>
  <c r="U142" i="117"/>
  <c r="U36" i="117"/>
  <c r="F120" i="117"/>
  <c r="O172" i="117"/>
  <c r="F42" i="117"/>
  <c r="U35" i="117"/>
  <c r="U37" i="117"/>
  <c r="U66" i="117"/>
  <c r="U67" i="117"/>
  <c r="U85" i="117"/>
  <c r="U93" i="117"/>
  <c r="L120" i="117"/>
  <c r="U145" i="117"/>
  <c r="AP191" i="59"/>
  <c r="D191" i="59" s="1"/>
  <c r="I198" i="59"/>
  <c r="U194" i="59"/>
  <c r="U166" i="59"/>
  <c r="AP165" i="59"/>
  <c r="D165" i="59" s="1"/>
  <c r="U193" i="57"/>
  <c r="U194" i="57"/>
  <c r="U167" i="57"/>
  <c r="U196" i="57"/>
  <c r="U197" i="55"/>
  <c r="U191" i="55"/>
  <c r="U165" i="55"/>
  <c r="AO197" i="53"/>
  <c r="U197" i="53"/>
  <c r="AO168" i="53"/>
  <c r="AP168" i="53" s="1"/>
  <c r="D168" i="53" s="1"/>
  <c r="AW169" i="53"/>
  <c r="AO171" i="53"/>
  <c r="AP171" i="53" s="1"/>
  <c r="D171" i="53" s="1"/>
  <c r="N24" i="117"/>
  <c r="P13" i="117" s="1"/>
  <c r="U164" i="53"/>
  <c r="U194" i="55"/>
  <c r="U171" i="57"/>
  <c r="U168" i="57"/>
  <c r="U170" i="57"/>
  <c r="U165" i="58"/>
  <c r="U167" i="58"/>
  <c r="U170" i="58"/>
  <c r="U168" i="58"/>
  <c r="U194" i="58"/>
  <c r="U171" i="58"/>
  <c r="U191" i="58"/>
  <c r="U169" i="59"/>
  <c r="U189" i="59"/>
  <c r="L198" i="59"/>
  <c r="U167" i="59"/>
  <c r="R198" i="59"/>
  <c r="O172" i="59"/>
  <c r="U170" i="59"/>
  <c r="U171" i="59"/>
  <c r="R172" i="59"/>
  <c r="I172" i="59"/>
  <c r="U165" i="59"/>
  <c r="U168" i="59"/>
  <c r="L172" i="59"/>
  <c r="U191" i="59"/>
  <c r="F172" i="59"/>
  <c r="U196" i="59"/>
  <c r="U197" i="59"/>
  <c r="O16" i="117"/>
  <c r="U191" i="117"/>
  <c r="U14" i="117"/>
  <c r="O198" i="117"/>
  <c r="U12" i="117"/>
  <c r="U65" i="117"/>
  <c r="U166" i="117"/>
  <c r="U115" i="117"/>
  <c r="U168" i="117"/>
  <c r="U169" i="117"/>
  <c r="U165" i="117"/>
  <c r="U192" i="117"/>
  <c r="F146" i="117"/>
  <c r="U140" i="117"/>
  <c r="L198" i="117"/>
  <c r="U11" i="117"/>
  <c r="I68" i="117"/>
  <c r="U143" i="117"/>
  <c r="U196" i="117"/>
  <c r="U8" i="117"/>
  <c r="U10" i="117"/>
  <c r="U90" i="117"/>
  <c r="U116" i="117"/>
  <c r="U144" i="117"/>
  <c r="L172" i="117"/>
  <c r="U9" i="117"/>
  <c r="U91" i="117"/>
  <c r="L146" i="117"/>
  <c r="U34" i="117"/>
  <c r="U41" i="117"/>
  <c r="O68" i="117"/>
  <c r="U13" i="117"/>
  <c r="U64" i="117"/>
  <c r="U88" i="117"/>
  <c r="U170" i="117"/>
  <c r="U171" i="117"/>
  <c r="U189" i="117"/>
  <c r="U195" i="117"/>
  <c r="L16" i="117"/>
  <c r="AO165" i="55"/>
  <c r="T172" i="55"/>
  <c r="AR173" i="55" s="1"/>
  <c r="U167" i="55"/>
  <c r="AM163" i="55"/>
  <c r="U164" i="55"/>
  <c r="U168" i="55"/>
  <c r="U170" i="55"/>
  <c r="U171" i="55"/>
  <c r="U165" i="53"/>
  <c r="AN169" i="53"/>
  <c r="U168" i="53"/>
  <c r="U167" i="53"/>
  <c r="AL169" i="53"/>
  <c r="U171" i="53"/>
  <c r="U170" i="53"/>
  <c r="U194" i="53"/>
  <c r="AM193" i="53"/>
  <c r="U191" i="53"/>
  <c r="Q24" i="117"/>
  <c r="S13" i="117" s="1"/>
  <c r="Q50" i="117"/>
  <c r="S39" i="117" s="1"/>
  <c r="H76" i="117"/>
  <c r="J65" i="117" s="1"/>
  <c r="E153" i="117"/>
  <c r="G140" i="117" s="1"/>
  <c r="F16" i="117"/>
  <c r="AX9" i="117"/>
  <c r="AM10" i="117"/>
  <c r="N20" i="117"/>
  <c r="BF8" i="117"/>
  <c r="BJ9" i="117"/>
  <c r="AN10" i="117"/>
  <c r="AW11" i="117"/>
  <c r="BJ13" i="117"/>
  <c r="U15" i="117"/>
  <c r="AN15" i="117"/>
  <c r="AO15" i="117" s="1"/>
  <c r="E22" i="117"/>
  <c r="E24" i="117"/>
  <c r="G13" i="117" s="1"/>
  <c r="BF33" i="117"/>
  <c r="BJ34" i="117"/>
  <c r="BF39" i="117"/>
  <c r="BJ39" i="117"/>
  <c r="BK39" i="117"/>
  <c r="K48" i="117"/>
  <c r="K50" i="117"/>
  <c r="M39" i="117" s="1"/>
  <c r="AW60" i="117"/>
  <c r="U62" i="117"/>
  <c r="BF63" i="117"/>
  <c r="AM64" i="117"/>
  <c r="K101" i="117"/>
  <c r="M88" i="117" s="1"/>
  <c r="BK9" i="117"/>
  <c r="AX11" i="117"/>
  <c r="BK13" i="117"/>
  <c r="AW14" i="117"/>
  <c r="H22" i="117"/>
  <c r="H24" i="117"/>
  <c r="J13" i="117" s="1"/>
  <c r="BK34" i="117"/>
  <c r="AW35" i="117"/>
  <c r="BJ37" i="117"/>
  <c r="BF37" i="117"/>
  <c r="BK37" i="117"/>
  <c r="N50" i="117"/>
  <c r="P39" i="117" s="1"/>
  <c r="N48" i="117"/>
  <c r="R68" i="117"/>
  <c r="BJ62" i="117"/>
  <c r="BF62" i="117"/>
  <c r="BK62" i="117"/>
  <c r="U7" i="117"/>
  <c r="BK7" i="117"/>
  <c r="AW7" i="117"/>
  <c r="BJ7" i="117"/>
  <c r="M32" i="120" s="1"/>
  <c r="BF10" i="117"/>
  <c r="BJ11" i="117"/>
  <c r="K24" i="117"/>
  <c r="M13" i="117" s="1"/>
  <c r="K22" i="117"/>
  <c r="AW33" i="117"/>
  <c r="AW40" i="117"/>
  <c r="BK40" i="117"/>
  <c r="BJ40" i="117"/>
  <c r="Q49" i="117"/>
  <c r="S36" i="117" s="1"/>
  <c r="Q48" i="117"/>
  <c r="BF60" i="117"/>
  <c r="BJ60" i="117"/>
  <c r="BK60" i="117"/>
  <c r="BK67" i="117"/>
  <c r="AW67" i="117"/>
  <c r="BF67" i="117"/>
  <c r="Q102" i="117"/>
  <c r="S91" i="117" s="1"/>
  <c r="AX8" i="117"/>
  <c r="U33" i="117"/>
  <c r="BJ33" i="117"/>
  <c r="BF35" i="117"/>
  <c r="BJ35" i="117"/>
  <c r="BK35" i="117"/>
  <c r="BF36" i="117"/>
  <c r="AM37" i="117"/>
  <c r="AO37" i="117" s="1"/>
  <c r="BK38" i="117"/>
  <c r="AW38" i="117"/>
  <c r="BJ38" i="117"/>
  <c r="AX41" i="117"/>
  <c r="BJ41" i="117"/>
  <c r="H49" i="117"/>
  <c r="J36" i="117" s="1"/>
  <c r="BK63" i="117"/>
  <c r="AW63" i="117"/>
  <c r="BJ63" i="117"/>
  <c r="AW64" i="117"/>
  <c r="BJ64" i="117"/>
  <c r="E76" i="117"/>
  <c r="G65" i="117" s="1"/>
  <c r="H74" i="117"/>
  <c r="BJ8" i="117"/>
  <c r="BK11" i="117"/>
  <c r="BF14" i="117"/>
  <c r="BJ14" i="117"/>
  <c r="N23" i="117"/>
  <c r="P10" i="117" s="1"/>
  <c r="N22" i="117"/>
  <c r="BK8" i="117"/>
  <c r="D14" i="117"/>
  <c r="Q22" i="117"/>
  <c r="E23" i="117"/>
  <c r="G10" i="117" s="1"/>
  <c r="BK33" i="117"/>
  <c r="AW36" i="117"/>
  <c r="AM40" i="117"/>
  <c r="AO40" i="117" s="1"/>
  <c r="AP40" i="117" s="1"/>
  <c r="BK41" i="117"/>
  <c r="K49" i="117"/>
  <c r="M36" i="117" s="1"/>
  <c r="U59" i="117"/>
  <c r="BF59" i="117"/>
  <c r="AM60" i="117"/>
  <c r="AO60" i="117" s="1"/>
  <c r="AW61" i="117"/>
  <c r="BK61" i="117"/>
  <c r="BJ61" i="117"/>
  <c r="H75" i="117"/>
  <c r="J62" i="117" s="1"/>
  <c r="E75" i="117"/>
  <c r="G62" i="117" s="1"/>
  <c r="Q74" i="117"/>
  <c r="K102" i="117"/>
  <c r="M91" i="117" s="1"/>
  <c r="E102" i="117"/>
  <c r="G91" i="117" s="1"/>
  <c r="K100" i="117"/>
  <c r="Q75" i="117"/>
  <c r="S62" i="117" s="1"/>
  <c r="H100" i="117"/>
  <c r="E74" i="117"/>
  <c r="BF9" i="117"/>
  <c r="AX10" i="117"/>
  <c r="BJ10" i="117"/>
  <c r="BJ12" i="117"/>
  <c r="BF12" i="117"/>
  <c r="BK12" i="117"/>
  <c r="BF13" i="117"/>
  <c r="AW15" i="117"/>
  <c r="BK15" i="117"/>
  <c r="BJ15" i="117"/>
  <c r="H23" i="117"/>
  <c r="J10" i="117" s="1"/>
  <c r="AX36" i="117"/>
  <c r="AO38" i="117"/>
  <c r="AP38" i="117" s="1"/>
  <c r="U40" i="117"/>
  <c r="N49" i="117"/>
  <c r="P36" i="117" s="1"/>
  <c r="L68" i="117"/>
  <c r="AO63" i="117"/>
  <c r="AP63" i="117" s="1"/>
  <c r="BK66" i="117"/>
  <c r="BJ66" i="117"/>
  <c r="AX66" i="117"/>
  <c r="BF66" i="117"/>
  <c r="K128" i="117"/>
  <c r="M117" i="117" s="1"/>
  <c r="BK10" i="117"/>
  <c r="K23" i="117"/>
  <c r="M10" i="117" s="1"/>
  <c r="AW34" i="117"/>
  <c r="U38" i="117"/>
  <c r="AW39" i="117"/>
  <c r="E49" i="117"/>
  <c r="G36" i="117" s="1"/>
  <c r="Q46" i="117"/>
  <c r="E50" i="117"/>
  <c r="G39" i="117" s="1"/>
  <c r="AX59" i="117"/>
  <c r="N4" i="120" s="1"/>
  <c r="O4" i="120" s="1"/>
  <c r="U63" i="117"/>
  <c r="N76" i="117"/>
  <c r="P65" i="117" s="1"/>
  <c r="N74" i="117"/>
  <c r="N75" i="117"/>
  <c r="P62" i="117" s="1"/>
  <c r="N72" i="117"/>
  <c r="E101" i="117"/>
  <c r="G88" i="117" s="1"/>
  <c r="R16" i="117"/>
  <c r="AM12" i="117"/>
  <c r="Q23" i="117"/>
  <c r="S10" i="117" s="1"/>
  <c r="O42" i="117"/>
  <c r="BF40" i="117"/>
  <c r="H48" i="117"/>
  <c r="E48" i="117"/>
  <c r="H50" i="117"/>
  <c r="J39" i="117" s="1"/>
  <c r="U61" i="117"/>
  <c r="BF64" i="117"/>
  <c r="BJ67" i="117"/>
  <c r="Q76" i="117"/>
  <c r="S65" i="117" s="1"/>
  <c r="H102" i="117"/>
  <c r="J91" i="117" s="1"/>
  <c r="K204" i="117"/>
  <c r="BK65" i="117"/>
  <c r="AN85" i="117"/>
  <c r="AO85" i="117" s="1"/>
  <c r="AP85" i="117" s="1"/>
  <c r="BJ85" i="117"/>
  <c r="BK86" i="117"/>
  <c r="AW88" i="117"/>
  <c r="BF93" i="117"/>
  <c r="Q98" i="117"/>
  <c r="BJ111" i="117"/>
  <c r="BF111" i="117"/>
  <c r="BK111" i="117"/>
  <c r="BF113" i="117"/>
  <c r="BF114" i="117"/>
  <c r="BJ116" i="117"/>
  <c r="AN117" i="117"/>
  <c r="AW118" i="117"/>
  <c r="Q127" i="117"/>
  <c r="S114" i="117" s="1"/>
  <c r="AM137" i="117"/>
  <c r="U138" i="117"/>
  <c r="BK138" i="117"/>
  <c r="BJ139" i="117"/>
  <c r="AX139" i="117"/>
  <c r="AW142" i="117"/>
  <c r="AO145" i="117"/>
  <c r="BF145" i="117"/>
  <c r="Q154" i="117"/>
  <c r="S143" i="117" s="1"/>
  <c r="K75" i="117"/>
  <c r="M62" i="117" s="1"/>
  <c r="BK85" i="117"/>
  <c r="AX88" i="117"/>
  <c r="AM89" i="117"/>
  <c r="AO89" i="117" s="1"/>
  <c r="BF92" i="117"/>
  <c r="AW93" i="117"/>
  <c r="F94" i="117"/>
  <c r="E100" i="117"/>
  <c r="N101" i="117"/>
  <c r="P88" i="117" s="1"/>
  <c r="I120" i="117"/>
  <c r="BF115" i="117"/>
  <c r="BK116" i="117"/>
  <c r="AX118" i="117"/>
  <c r="E126" i="117"/>
  <c r="E128" i="117"/>
  <c r="G117" i="117" s="1"/>
  <c r="AN137" i="117"/>
  <c r="BJ140" i="117"/>
  <c r="AW140" i="117"/>
  <c r="BK140" i="117"/>
  <c r="BF142" i="117"/>
  <c r="AX142" i="117"/>
  <c r="BK142" i="117"/>
  <c r="E154" i="117"/>
  <c r="G143" i="117" s="1"/>
  <c r="E152" i="117"/>
  <c r="BF87" i="117"/>
  <c r="BJ89" i="117"/>
  <c r="BK90" i="117"/>
  <c r="BF91" i="117"/>
  <c r="AW92" i="117"/>
  <c r="AX93" i="117"/>
  <c r="Q101" i="117"/>
  <c r="S88" i="117" s="1"/>
  <c r="AM111" i="117"/>
  <c r="AO111" i="117" s="1"/>
  <c r="BK112" i="117"/>
  <c r="AW112" i="117"/>
  <c r="BJ112" i="117"/>
  <c r="AW113" i="117"/>
  <c r="BF117" i="117"/>
  <c r="BJ118" i="117"/>
  <c r="H128" i="117"/>
  <c r="J117" i="117" s="1"/>
  <c r="H126" i="117"/>
  <c r="BK141" i="117"/>
  <c r="AW141" i="117"/>
  <c r="BJ141" i="117"/>
  <c r="AN144" i="117"/>
  <c r="AM144" i="117"/>
  <c r="AW145" i="117"/>
  <c r="H150" i="117"/>
  <c r="H154" i="117"/>
  <c r="J143" i="117" s="1"/>
  <c r="H152" i="117"/>
  <c r="BK165" i="117"/>
  <c r="E178" i="117"/>
  <c r="AW91" i="117"/>
  <c r="AX92" i="117"/>
  <c r="BJ113" i="117"/>
  <c r="AW114" i="117"/>
  <c r="BK114" i="117"/>
  <c r="BJ114" i="117"/>
  <c r="AW115" i="117"/>
  <c r="BK118" i="117"/>
  <c r="K127" i="117"/>
  <c r="M114" i="117" s="1"/>
  <c r="K126" i="117"/>
  <c r="N128" i="117"/>
  <c r="P117" i="117" s="1"/>
  <c r="K154" i="117"/>
  <c r="M143" i="117" s="1"/>
  <c r="K152" i="117"/>
  <c r="AN165" i="117"/>
  <c r="AM165" i="117"/>
  <c r="H204" i="117"/>
  <c r="E205" i="117"/>
  <c r="G192" i="117" s="1"/>
  <c r="Q180" i="117"/>
  <c r="S169" i="117" s="1"/>
  <c r="Q179" i="117"/>
  <c r="S166" i="117" s="1"/>
  <c r="E204" i="117"/>
  <c r="E206" i="117"/>
  <c r="G195" i="117" s="1"/>
  <c r="H178" i="117"/>
  <c r="AW65" i="117"/>
  <c r="K74" i="117"/>
  <c r="AW86" i="117"/>
  <c r="AX87" i="117"/>
  <c r="BK88" i="117"/>
  <c r="AX91" i="117"/>
  <c r="BJ93" i="117"/>
  <c r="E98" i="117"/>
  <c r="N100" i="117"/>
  <c r="BK113" i="117"/>
  <c r="AX115" i="117"/>
  <c r="BJ115" i="117"/>
  <c r="AW117" i="117"/>
  <c r="N126" i="117"/>
  <c r="Q126" i="117"/>
  <c r="Q128" i="117"/>
  <c r="S117" i="117" s="1"/>
  <c r="BF139" i="117"/>
  <c r="BJ144" i="117"/>
  <c r="AX144" i="117"/>
  <c r="AX145" i="117"/>
  <c r="N152" i="117"/>
  <c r="H153" i="117"/>
  <c r="J140" i="117" s="1"/>
  <c r="AM164" i="117"/>
  <c r="AN164" i="117"/>
  <c r="BJ92" i="117"/>
  <c r="Q100" i="117"/>
  <c r="BJ117" i="117"/>
  <c r="BF119" i="117"/>
  <c r="BJ119" i="117"/>
  <c r="BK119" i="117"/>
  <c r="E127" i="117"/>
  <c r="G114" i="117" s="1"/>
  <c r="I146" i="117"/>
  <c r="AO139" i="117"/>
  <c r="T146" i="117"/>
  <c r="AR147" i="117" s="1"/>
  <c r="Q152" i="117"/>
  <c r="K153" i="117"/>
  <c r="M140" i="117" s="1"/>
  <c r="K76" i="117"/>
  <c r="M65" i="117" s="1"/>
  <c r="AM86" i="117"/>
  <c r="BJ87" i="117"/>
  <c r="BF89" i="117"/>
  <c r="AW90" i="117"/>
  <c r="BJ91" i="117"/>
  <c r="N102" i="117"/>
  <c r="P91" i="117" s="1"/>
  <c r="AW111" i="117"/>
  <c r="AW116" i="117"/>
  <c r="BK117" i="117"/>
  <c r="H127" i="117"/>
  <c r="J114" i="117" s="1"/>
  <c r="BK137" i="117"/>
  <c r="AW137" i="117"/>
  <c r="BJ137" i="117"/>
  <c r="AN140" i="117"/>
  <c r="AM140" i="117"/>
  <c r="Q153" i="117"/>
  <c r="S140" i="117" s="1"/>
  <c r="U163" i="117"/>
  <c r="F172" i="117"/>
  <c r="H101" i="117"/>
  <c r="J88" i="117" s="1"/>
  <c r="U111" i="117"/>
  <c r="BF112" i="117"/>
  <c r="AN115" i="117"/>
  <c r="AO115" i="117" s="1"/>
  <c r="K124" i="117"/>
  <c r="N127" i="117"/>
  <c r="P114" i="117" s="1"/>
  <c r="AX138" i="117"/>
  <c r="BJ138" i="117"/>
  <c r="AW139" i="117"/>
  <c r="BF141" i="117"/>
  <c r="BJ143" i="117"/>
  <c r="AX143" i="117"/>
  <c r="K150" i="117"/>
  <c r="N154" i="117"/>
  <c r="P143" i="117" s="1"/>
  <c r="U139" i="117"/>
  <c r="N150" i="117"/>
  <c r="N153" i="117"/>
  <c r="P140" i="117" s="1"/>
  <c r="R172" i="117"/>
  <c r="AX163" i="117"/>
  <c r="AW163" i="117"/>
  <c r="BF163" i="117"/>
  <c r="AW165" i="117"/>
  <c r="BF166" i="117"/>
  <c r="AN169" i="117"/>
  <c r="AM169" i="117"/>
  <c r="AO169" i="117" s="1"/>
  <c r="AP169" i="117" s="1"/>
  <c r="D169" i="117" s="1"/>
  <c r="AX170" i="117"/>
  <c r="I198" i="117"/>
  <c r="BJ194" i="117"/>
  <c r="AN195" i="117"/>
  <c r="AM195" i="117"/>
  <c r="BF197" i="117"/>
  <c r="K202" i="117"/>
  <c r="K206" i="117"/>
  <c r="M195" i="117" s="1"/>
  <c r="K205" i="117"/>
  <c r="M192" i="117" s="1"/>
  <c r="AX168" i="117"/>
  <c r="AN191" i="117"/>
  <c r="AM191" i="117"/>
  <c r="BF191" i="117"/>
  <c r="AO192" i="117"/>
  <c r="U193" i="117"/>
  <c r="N204" i="117"/>
  <c r="N202" i="117"/>
  <c r="N206" i="117"/>
  <c r="P195" i="117" s="1"/>
  <c r="N205" i="117"/>
  <c r="P192" i="117" s="1"/>
  <c r="AW168" i="117"/>
  <c r="BF168" i="117"/>
  <c r="BK168" i="117"/>
  <c r="AW169" i="117"/>
  <c r="AM171" i="117"/>
  <c r="AN171" i="117"/>
  <c r="E180" i="117"/>
  <c r="G169" i="117" s="1"/>
  <c r="E179" i="117"/>
  <c r="G166" i="117" s="1"/>
  <c r="E176" i="117"/>
  <c r="AM189" i="117"/>
  <c r="AX194" i="117"/>
  <c r="AW194" i="117"/>
  <c r="BF194" i="117"/>
  <c r="Q206" i="117"/>
  <c r="S195" i="117" s="1"/>
  <c r="Q204" i="117"/>
  <c r="Q205" i="117"/>
  <c r="S192" i="117" s="1"/>
  <c r="BJ166" i="117"/>
  <c r="BK166" i="117"/>
  <c r="BK167" i="117"/>
  <c r="BF167" i="117"/>
  <c r="BJ167" i="117"/>
  <c r="BF171" i="117"/>
  <c r="H176" i="117"/>
  <c r="H180" i="117"/>
  <c r="J169" i="117" s="1"/>
  <c r="H179" i="117"/>
  <c r="J166" i="117" s="1"/>
  <c r="AW189" i="117"/>
  <c r="BJ197" i="117"/>
  <c r="BK197" i="117"/>
  <c r="R146" i="117"/>
  <c r="I172" i="117"/>
  <c r="AW164" i="117"/>
  <c r="AN170" i="117"/>
  <c r="AM170" i="117"/>
  <c r="AW171" i="117"/>
  <c r="K178" i="117"/>
  <c r="K176" i="117"/>
  <c r="K180" i="117"/>
  <c r="M169" i="117" s="1"/>
  <c r="K179" i="117"/>
  <c r="M166" i="117" s="1"/>
  <c r="R198" i="117"/>
  <c r="BF189" i="117"/>
  <c r="AX189" i="117"/>
  <c r="AX193" i="117"/>
  <c r="BJ195" i="117"/>
  <c r="T198" i="117"/>
  <c r="AR199" i="117" s="1"/>
  <c r="Q202" i="117"/>
  <c r="BF164" i="117"/>
  <c r="AX164" i="117"/>
  <c r="N180" i="117"/>
  <c r="P169" i="117" s="1"/>
  <c r="N178" i="117"/>
  <c r="N179" i="117"/>
  <c r="P166" i="117" s="1"/>
  <c r="U190" i="117"/>
  <c r="AN190" i="117"/>
  <c r="AM190" i="117"/>
  <c r="AX191" i="117"/>
  <c r="AW193" i="117"/>
  <c r="BF193" i="117"/>
  <c r="BK193" i="117"/>
  <c r="F198" i="117"/>
  <c r="Q178" i="117"/>
  <c r="BK192" i="117"/>
  <c r="BF192" i="117"/>
  <c r="BJ192" i="117"/>
  <c r="AX195" i="117"/>
  <c r="AM196" i="117"/>
  <c r="AN196" i="117"/>
  <c r="N176" i="117"/>
  <c r="AN189" i="117"/>
  <c r="AW190" i="117"/>
  <c r="U194" i="117"/>
  <c r="H206" i="117"/>
  <c r="J195" i="117" s="1"/>
  <c r="H205" i="117"/>
  <c r="J192" i="117" s="1"/>
  <c r="H202" i="117"/>
  <c r="AX165" i="117"/>
  <c r="AX169" i="117"/>
  <c r="BJ171" i="117"/>
  <c r="AX190" i="117"/>
  <c r="BJ196" i="117"/>
  <c r="BJ170" i="117"/>
  <c r="BJ191" i="117"/>
  <c r="BJ165" i="117"/>
  <c r="BJ169" i="117"/>
  <c r="BJ190" i="117"/>
  <c r="BK191" i="117"/>
  <c r="E176" i="58"/>
  <c r="N176" i="59"/>
  <c r="N202" i="59"/>
  <c r="E176" i="59"/>
  <c r="AW189" i="59"/>
  <c r="AX190" i="59"/>
  <c r="BJ196" i="59"/>
  <c r="BK197" i="59"/>
  <c r="H202" i="59"/>
  <c r="AX189" i="59"/>
  <c r="BJ191" i="59"/>
  <c r="BF193" i="59"/>
  <c r="AW194" i="59"/>
  <c r="BJ195" i="59"/>
  <c r="BK196" i="59"/>
  <c r="K202" i="59"/>
  <c r="BJ190" i="59"/>
  <c r="BK191" i="59"/>
  <c r="BK195" i="59"/>
  <c r="BJ189" i="59"/>
  <c r="BK190" i="59"/>
  <c r="AW192" i="59"/>
  <c r="AL193" i="59"/>
  <c r="AX193" i="59"/>
  <c r="AM194" i="59"/>
  <c r="AO194" i="59" s="1"/>
  <c r="AP194" i="59" s="1"/>
  <c r="BF197" i="59"/>
  <c r="Q202" i="59"/>
  <c r="BK189" i="59"/>
  <c r="AL192" i="59"/>
  <c r="AX192" i="59"/>
  <c r="AM193" i="59"/>
  <c r="AO193" i="59" s="1"/>
  <c r="BJ194" i="59"/>
  <c r="BF196" i="59"/>
  <c r="BF191" i="59"/>
  <c r="AM192" i="59"/>
  <c r="AO192" i="59" s="1"/>
  <c r="BF195" i="59"/>
  <c r="AW196" i="59"/>
  <c r="AL197" i="59"/>
  <c r="AX197" i="59"/>
  <c r="O198" i="59"/>
  <c r="U190" i="59"/>
  <c r="BJ171" i="59"/>
  <c r="AW163" i="59"/>
  <c r="AX164" i="59"/>
  <c r="BF168" i="59"/>
  <c r="BJ170" i="59"/>
  <c r="BK171" i="59"/>
  <c r="H176" i="59"/>
  <c r="BK166" i="59"/>
  <c r="AX163" i="59"/>
  <c r="BJ165" i="59"/>
  <c r="BF167" i="59"/>
  <c r="AW168" i="59"/>
  <c r="BJ169" i="59"/>
  <c r="BK170" i="59"/>
  <c r="K176" i="59"/>
  <c r="BJ163" i="59"/>
  <c r="BK164" i="59"/>
  <c r="AW166" i="59"/>
  <c r="AL167" i="59"/>
  <c r="AX167" i="59"/>
  <c r="AM168" i="59"/>
  <c r="BF171" i="59"/>
  <c r="Q176" i="59"/>
  <c r="AX166" i="59"/>
  <c r="AM167" i="59"/>
  <c r="AO167" i="59" s="1"/>
  <c r="AN168" i="59"/>
  <c r="BJ168" i="59"/>
  <c r="BF170" i="59"/>
  <c r="BF165" i="59"/>
  <c r="AM166" i="59"/>
  <c r="AO166" i="59" s="1"/>
  <c r="BJ167" i="59"/>
  <c r="BF169" i="59"/>
  <c r="AW170" i="59"/>
  <c r="AL171" i="59"/>
  <c r="H202" i="58"/>
  <c r="K176" i="58"/>
  <c r="Q176" i="58"/>
  <c r="AL189" i="58"/>
  <c r="AX189" i="58"/>
  <c r="AM190" i="58"/>
  <c r="BJ191" i="58"/>
  <c r="BF193" i="58"/>
  <c r="AW194" i="58"/>
  <c r="BJ195" i="58"/>
  <c r="BK196" i="58"/>
  <c r="AM189" i="58"/>
  <c r="AO189" i="58" s="1"/>
  <c r="BK191" i="58"/>
  <c r="BF192" i="58"/>
  <c r="AW193" i="58"/>
  <c r="AN193" i="58" s="1"/>
  <c r="AL194" i="58"/>
  <c r="AX194" i="58"/>
  <c r="BK195" i="58"/>
  <c r="N202" i="58"/>
  <c r="AW192" i="58"/>
  <c r="AN192" i="58" s="1"/>
  <c r="AO192" i="58" s="1"/>
  <c r="AL193" i="58"/>
  <c r="AX193" i="58"/>
  <c r="AM194" i="58"/>
  <c r="AO194" i="58" s="1"/>
  <c r="BF197" i="58"/>
  <c r="Q202" i="58"/>
  <c r="AM193" i="58"/>
  <c r="AO193" i="58" s="1"/>
  <c r="BJ194" i="58"/>
  <c r="BF196" i="58"/>
  <c r="AW197" i="58"/>
  <c r="BF191" i="58"/>
  <c r="BF195" i="58"/>
  <c r="AX197" i="58"/>
  <c r="AW191" i="58"/>
  <c r="BJ192" i="58"/>
  <c r="AW195" i="58"/>
  <c r="AN195" i="58" s="1"/>
  <c r="AO195" i="58" s="1"/>
  <c r="AP195" i="58" s="1"/>
  <c r="D195" i="58" s="1"/>
  <c r="AO168" i="58"/>
  <c r="AW164" i="58"/>
  <c r="AX169" i="58"/>
  <c r="AM170" i="58"/>
  <c r="AW163" i="58"/>
  <c r="AN163" i="58" s="1"/>
  <c r="AO163" i="58" s="1"/>
  <c r="AL164" i="58"/>
  <c r="BF168" i="58"/>
  <c r="AN170" i="58"/>
  <c r="BJ170" i="58"/>
  <c r="BK171" i="58"/>
  <c r="H176" i="58"/>
  <c r="U164" i="58"/>
  <c r="AL163" i="58"/>
  <c r="AX163" i="58"/>
  <c r="BJ165" i="58"/>
  <c r="BF167" i="58"/>
  <c r="AW168" i="58"/>
  <c r="BJ169" i="58"/>
  <c r="BK170" i="58"/>
  <c r="BF163" i="58"/>
  <c r="AX165" i="58"/>
  <c r="BF166" i="58"/>
  <c r="AW167" i="58"/>
  <c r="AL168" i="58"/>
  <c r="AX168" i="58"/>
  <c r="BK169" i="58"/>
  <c r="N176" i="58"/>
  <c r="BJ168" i="58"/>
  <c r="BF170" i="58"/>
  <c r="AW171" i="58"/>
  <c r="BF165" i="58"/>
  <c r="AW170" i="58"/>
  <c r="N176" i="57"/>
  <c r="BF191" i="57"/>
  <c r="BJ192" i="57"/>
  <c r="AW189" i="57"/>
  <c r="AN189" i="57" s="1"/>
  <c r="AL190" i="57"/>
  <c r="AX190" i="57"/>
  <c r="AM191" i="57"/>
  <c r="BF194" i="57"/>
  <c r="AM195" i="57"/>
  <c r="BJ196" i="57"/>
  <c r="BK197" i="57"/>
  <c r="H202" i="57"/>
  <c r="BJ193" i="57"/>
  <c r="AL189" i="57"/>
  <c r="AX189" i="57"/>
  <c r="AM190" i="57"/>
  <c r="BJ191" i="57"/>
  <c r="BF193" i="57"/>
  <c r="AW194" i="57"/>
  <c r="BJ195" i="57"/>
  <c r="K202" i="57"/>
  <c r="BK194" i="57"/>
  <c r="AW195" i="57"/>
  <c r="AN191" i="57" s="1"/>
  <c r="AM189" i="57"/>
  <c r="BJ190" i="57"/>
  <c r="BK191" i="57"/>
  <c r="BF192" i="57"/>
  <c r="AW193" i="57"/>
  <c r="AL194" i="57"/>
  <c r="N202" i="57"/>
  <c r="BF195" i="57"/>
  <c r="BK193" i="57"/>
  <c r="BJ189" i="57"/>
  <c r="BK190" i="57"/>
  <c r="AW192" i="57"/>
  <c r="AN192" i="57" s="1"/>
  <c r="BF197" i="57"/>
  <c r="AO168" i="57"/>
  <c r="AP168" i="57" s="1"/>
  <c r="AW169" i="57"/>
  <c r="AN169" i="57" s="1"/>
  <c r="AW163" i="57"/>
  <c r="AN163" i="57" s="1"/>
  <c r="AL164" i="57"/>
  <c r="AX164" i="57"/>
  <c r="BF168" i="57"/>
  <c r="AN170" i="57"/>
  <c r="AO170" i="57" s="1"/>
  <c r="BJ170" i="57"/>
  <c r="BK171" i="57"/>
  <c r="H176" i="57"/>
  <c r="BF164" i="57"/>
  <c r="AL163" i="57"/>
  <c r="AX163" i="57"/>
  <c r="BJ165" i="57"/>
  <c r="BF167" i="57"/>
  <c r="AW168" i="57"/>
  <c r="BJ169" i="57"/>
  <c r="BK170" i="57"/>
  <c r="BJ164" i="57"/>
  <c r="BK169" i="57"/>
  <c r="BJ163" i="57"/>
  <c r="BF171" i="57"/>
  <c r="Q176" i="57"/>
  <c r="BK163" i="57"/>
  <c r="AX166" i="57"/>
  <c r="BJ168" i="57"/>
  <c r="AW171" i="57"/>
  <c r="BF165" i="57"/>
  <c r="AL171" i="57"/>
  <c r="AX171" i="57"/>
  <c r="AM171" i="57"/>
  <c r="AO171" i="57" s="1"/>
  <c r="N176" i="55"/>
  <c r="AW189" i="55"/>
  <c r="AN189" i="55" s="1"/>
  <c r="AL190" i="55"/>
  <c r="AX190" i="55"/>
  <c r="AM191" i="55"/>
  <c r="BF194" i="55"/>
  <c r="AM195" i="55"/>
  <c r="BJ196" i="55"/>
  <c r="BK197" i="55"/>
  <c r="H202" i="55"/>
  <c r="AL189" i="55"/>
  <c r="AX189" i="55"/>
  <c r="AM190" i="55"/>
  <c r="AN191" i="55"/>
  <c r="BJ191" i="55"/>
  <c r="BF193" i="55"/>
  <c r="AW194" i="55"/>
  <c r="BJ195" i="55"/>
  <c r="BK196" i="55"/>
  <c r="K202" i="55"/>
  <c r="AW191" i="55"/>
  <c r="AM189" i="55"/>
  <c r="BJ190" i="55"/>
  <c r="BK191" i="55"/>
  <c r="BF192" i="55"/>
  <c r="AW193" i="55"/>
  <c r="AN193" i="55" s="1"/>
  <c r="AL194" i="55"/>
  <c r="AX194" i="55"/>
  <c r="BK195" i="55"/>
  <c r="N202" i="55"/>
  <c r="BJ189" i="55"/>
  <c r="BK190" i="55"/>
  <c r="AW192" i="55"/>
  <c r="AX193" i="55"/>
  <c r="BF197" i="55"/>
  <c r="Q202" i="55"/>
  <c r="BJ194" i="55"/>
  <c r="BJ193" i="55"/>
  <c r="BF195" i="55"/>
  <c r="AX197" i="55"/>
  <c r="BF164" i="55"/>
  <c r="AW165" i="55"/>
  <c r="AM171" i="55"/>
  <c r="AO171" i="55" s="1"/>
  <c r="AW163" i="55"/>
  <c r="AN163" i="55" s="1"/>
  <c r="AX164" i="55"/>
  <c r="BK171" i="55"/>
  <c r="H176" i="55"/>
  <c r="AL163" i="55"/>
  <c r="AX163" i="55"/>
  <c r="BJ165" i="55"/>
  <c r="BF167" i="55"/>
  <c r="AW168" i="55"/>
  <c r="BJ169" i="55"/>
  <c r="BK170" i="55"/>
  <c r="K176" i="55"/>
  <c r="BJ163" i="55"/>
  <c r="BK164" i="55"/>
  <c r="AW166" i="55"/>
  <c r="AN166" i="55" s="1"/>
  <c r="AL167" i="55"/>
  <c r="AM168" i="55"/>
  <c r="AO168" i="55" s="1"/>
  <c r="BF171" i="55"/>
  <c r="Q176" i="55"/>
  <c r="BK163" i="55"/>
  <c r="AX166" i="55"/>
  <c r="AM167" i="55"/>
  <c r="AO167" i="55" s="1"/>
  <c r="BF170" i="55"/>
  <c r="AW171" i="55"/>
  <c r="BF165" i="55"/>
  <c r="BF169" i="55"/>
  <c r="AL171" i="55"/>
  <c r="AX171" i="55"/>
  <c r="N176" i="53"/>
  <c r="BK193" i="53"/>
  <c r="AW189" i="53"/>
  <c r="AX190" i="53"/>
  <c r="AM191" i="53"/>
  <c r="BF194" i="53"/>
  <c r="AM195" i="53"/>
  <c r="BJ196" i="53"/>
  <c r="BK197" i="53"/>
  <c r="H202" i="53"/>
  <c r="AL189" i="53"/>
  <c r="BH189" i="53"/>
  <c r="BH190" i="53" s="1"/>
  <c r="BH191" i="53" s="1"/>
  <c r="BH192" i="53" s="1"/>
  <c r="BH193" i="53" s="1"/>
  <c r="BH194" i="53" s="1"/>
  <c r="BH195" i="53" s="1"/>
  <c r="BH196" i="53" s="1"/>
  <c r="BH197" i="53" s="1"/>
  <c r="AM190" i="53"/>
  <c r="AN191" i="53"/>
  <c r="BJ191" i="53"/>
  <c r="BF193" i="53"/>
  <c r="AW194" i="53"/>
  <c r="AN195" i="53"/>
  <c r="BJ195" i="53"/>
  <c r="BK196" i="53"/>
  <c r="K202" i="53"/>
  <c r="AM189" i="53"/>
  <c r="BJ190" i="53"/>
  <c r="BK191" i="53"/>
  <c r="BF192" i="53"/>
  <c r="AW193" i="53"/>
  <c r="AN193" i="53" s="1"/>
  <c r="AL194" i="53"/>
  <c r="AX194" i="53"/>
  <c r="BK195" i="53"/>
  <c r="N202" i="53"/>
  <c r="BJ189" i="53"/>
  <c r="BK190" i="53"/>
  <c r="AW192" i="53"/>
  <c r="AL193" i="53"/>
  <c r="AX193" i="53"/>
  <c r="BF197" i="53"/>
  <c r="Q202" i="53"/>
  <c r="BF191" i="53"/>
  <c r="BF195" i="53"/>
  <c r="AX197" i="53"/>
  <c r="BK167" i="53"/>
  <c r="BF163" i="53"/>
  <c r="AX169" i="53"/>
  <c r="AW163" i="53"/>
  <c r="AN163" i="53" s="1"/>
  <c r="AL164" i="53"/>
  <c r="AX164" i="53"/>
  <c r="AM165" i="53"/>
  <c r="AO165" i="53" s="1"/>
  <c r="BF168" i="53"/>
  <c r="AM169" i="53"/>
  <c r="AN170" i="53"/>
  <c r="AO170" i="53" s="1"/>
  <c r="BJ170" i="53"/>
  <c r="BK171" i="53"/>
  <c r="H176" i="53"/>
  <c r="BJ166" i="53"/>
  <c r="AX165" i="53"/>
  <c r="BK166" i="53"/>
  <c r="AL163" i="53"/>
  <c r="AX163" i="53"/>
  <c r="BJ165" i="53"/>
  <c r="BF167" i="53"/>
  <c r="AW168" i="53"/>
  <c r="BJ169" i="53"/>
  <c r="BK170" i="53"/>
  <c r="BJ164" i="53"/>
  <c r="BF166" i="53"/>
  <c r="AW167" i="53"/>
  <c r="AX168" i="53"/>
  <c r="AM163" i="53"/>
  <c r="BJ163" i="53"/>
  <c r="BK164" i="53"/>
  <c r="AW166" i="53"/>
  <c r="AN166" i="53" s="1"/>
  <c r="BF171" i="53"/>
  <c r="Q176" i="53"/>
  <c r="BJ168" i="53"/>
  <c r="BF170" i="53"/>
  <c r="AW171" i="53"/>
  <c r="AX171" i="53"/>
  <c r="B158" i="52"/>
  <c r="B184" i="52" s="1"/>
  <c r="Q198" i="52"/>
  <c r="N198" i="52"/>
  <c r="K198" i="52"/>
  <c r="H198" i="52"/>
  <c r="E198" i="52"/>
  <c r="BC197" i="52"/>
  <c r="BB197" i="52"/>
  <c r="BA197" i="52"/>
  <c r="AZ197" i="52"/>
  <c r="AY197" i="52"/>
  <c r="AU197" i="52"/>
  <c r="T197" i="52"/>
  <c r="AV197" i="52" s="1"/>
  <c r="O197" i="52"/>
  <c r="L197" i="52"/>
  <c r="I197" i="52"/>
  <c r="F197" i="52"/>
  <c r="BC196" i="52"/>
  <c r="BB196" i="52"/>
  <c r="BA196" i="52"/>
  <c r="AZ196" i="52"/>
  <c r="AY196" i="52"/>
  <c r="AU196" i="52"/>
  <c r="T196" i="52"/>
  <c r="AV196" i="52" s="1"/>
  <c r="R196" i="52"/>
  <c r="I196" i="52"/>
  <c r="F196" i="52"/>
  <c r="B196" i="52"/>
  <c r="BC195" i="52"/>
  <c r="BB195" i="52"/>
  <c r="BA195" i="52"/>
  <c r="AZ195" i="52"/>
  <c r="AY195" i="52"/>
  <c r="AU195" i="52"/>
  <c r="T195" i="52"/>
  <c r="AV195" i="52" s="1"/>
  <c r="R195" i="52"/>
  <c r="O195" i="52"/>
  <c r="L195" i="52"/>
  <c r="B195" i="52"/>
  <c r="BC194" i="52"/>
  <c r="BB194" i="52"/>
  <c r="BA194" i="52"/>
  <c r="AZ194" i="52"/>
  <c r="AY194" i="52"/>
  <c r="AU194" i="52"/>
  <c r="AN194" i="52" s="1"/>
  <c r="T194" i="52"/>
  <c r="AV194" i="52" s="1"/>
  <c r="R194" i="52"/>
  <c r="O194" i="52"/>
  <c r="L194" i="52"/>
  <c r="I194" i="52"/>
  <c r="F194" i="52"/>
  <c r="B194" i="52"/>
  <c r="BC193" i="52"/>
  <c r="BB193" i="52"/>
  <c r="BA193" i="52"/>
  <c r="AZ193" i="52"/>
  <c r="AY193" i="52"/>
  <c r="AU193" i="52"/>
  <c r="AL193" i="52" s="1"/>
  <c r="T193" i="52"/>
  <c r="AV193" i="52" s="1"/>
  <c r="L193" i="52"/>
  <c r="F193" i="52"/>
  <c r="B193" i="52"/>
  <c r="BC192" i="52"/>
  <c r="BB192" i="52"/>
  <c r="BA192" i="52"/>
  <c r="AZ192" i="52"/>
  <c r="AY192" i="52"/>
  <c r="AU192" i="52"/>
  <c r="T192" i="52"/>
  <c r="AV192" i="52" s="1"/>
  <c r="R192" i="52"/>
  <c r="O192" i="52"/>
  <c r="I192" i="52"/>
  <c r="BC191" i="52"/>
  <c r="BB191" i="52"/>
  <c r="BA191" i="52"/>
  <c r="AZ191" i="52"/>
  <c r="AY191" i="52"/>
  <c r="AU191" i="52"/>
  <c r="T191" i="52"/>
  <c r="AV191" i="52" s="1"/>
  <c r="R191" i="52"/>
  <c r="L191" i="52"/>
  <c r="I191" i="52"/>
  <c r="F191" i="52"/>
  <c r="B191" i="52"/>
  <c r="BC190" i="52"/>
  <c r="BB190" i="52"/>
  <c r="BA190" i="52"/>
  <c r="AZ190" i="52"/>
  <c r="AY190" i="52"/>
  <c r="AU190" i="52"/>
  <c r="T190" i="52"/>
  <c r="AV190" i="52" s="1"/>
  <c r="O190" i="52"/>
  <c r="F190" i="52"/>
  <c r="B190" i="52"/>
  <c r="BC189" i="52"/>
  <c r="BB189" i="52"/>
  <c r="BA189" i="52"/>
  <c r="AZ189" i="52"/>
  <c r="AY189" i="52"/>
  <c r="AU189" i="52"/>
  <c r="AL189" i="52" s="1"/>
  <c r="T189" i="52"/>
  <c r="AV189" i="52" s="1"/>
  <c r="R189" i="52"/>
  <c r="O189" i="52"/>
  <c r="L189" i="52"/>
  <c r="I189" i="52"/>
  <c r="G183" i="52"/>
  <c r="AT173" i="52"/>
  <c r="Q172" i="52"/>
  <c r="N172" i="52"/>
  <c r="K172" i="52"/>
  <c r="H172" i="52"/>
  <c r="E172" i="52"/>
  <c r="BC171" i="52"/>
  <c r="BB171" i="52"/>
  <c r="BA171" i="52"/>
  <c r="AZ171" i="52"/>
  <c r="AY171" i="52"/>
  <c r="AU171" i="52"/>
  <c r="AN171" i="52" s="1"/>
  <c r="T171" i="52"/>
  <c r="AV171" i="52" s="1"/>
  <c r="R171" i="52"/>
  <c r="O171" i="52"/>
  <c r="L171" i="52"/>
  <c r="I171" i="52"/>
  <c r="F171" i="52"/>
  <c r="B171" i="52"/>
  <c r="BC170" i="52"/>
  <c r="BB170" i="52"/>
  <c r="BA170" i="52"/>
  <c r="AZ170" i="52"/>
  <c r="AY170" i="52"/>
  <c r="AU170" i="52"/>
  <c r="AM170" i="52" s="1"/>
  <c r="T170" i="52"/>
  <c r="AV170" i="52" s="1"/>
  <c r="R170" i="52"/>
  <c r="O170" i="52"/>
  <c r="L170" i="52"/>
  <c r="I170" i="52"/>
  <c r="F170" i="52"/>
  <c r="B170" i="52"/>
  <c r="BC169" i="52"/>
  <c r="BB169" i="52"/>
  <c r="BA169" i="52"/>
  <c r="AZ169" i="52"/>
  <c r="AY169" i="52"/>
  <c r="AU169" i="52"/>
  <c r="T169" i="52"/>
  <c r="AV169" i="52" s="1"/>
  <c r="B169" i="52"/>
  <c r="BC168" i="52"/>
  <c r="BB168" i="52"/>
  <c r="BA168" i="52"/>
  <c r="AZ168" i="52"/>
  <c r="AY168" i="52"/>
  <c r="AU168" i="52"/>
  <c r="AN168" i="52" s="1"/>
  <c r="AM168" i="52"/>
  <c r="AL168" i="52"/>
  <c r="T168" i="52"/>
  <c r="AV168" i="52" s="1"/>
  <c r="R168" i="52"/>
  <c r="O168" i="52"/>
  <c r="L168" i="52"/>
  <c r="I168" i="52"/>
  <c r="F168" i="52"/>
  <c r="B168" i="52"/>
  <c r="BC167" i="52"/>
  <c r="BB167" i="52"/>
  <c r="BA167" i="52"/>
  <c r="AZ167" i="52"/>
  <c r="AY167" i="52"/>
  <c r="AU167" i="52"/>
  <c r="AN167" i="52" s="1"/>
  <c r="T167" i="52"/>
  <c r="AV167" i="52" s="1"/>
  <c r="R167" i="52"/>
  <c r="O167" i="52"/>
  <c r="L167" i="52"/>
  <c r="I167" i="52"/>
  <c r="F167" i="52"/>
  <c r="B167" i="52"/>
  <c r="BC166" i="52"/>
  <c r="BB166" i="52"/>
  <c r="BA166" i="52"/>
  <c r="AZ166" i="52"/>
  <c r="AY166" i="52"/>
  <c r="AU166" i="52"/>
  <c r="AL166" i="52" s="1"/>
  <c r="T166" i="52"/>
  <c r="AV166" i="52" s="1"/>
  <c r="B166" i="52"/>
  <c r="BC165" i="52"/>
  <c r="BB165" i="52"/>
  <c r="BA165" i="52"/>
  <c r="AZ165" i="52"/>
  <c r="AY165" i="52"/>
  <c r="AU165" i="52"/>
  <c r="AN165" i="52" s="1"/>
  <c r="T165" i="52"/>
  <c r="AV165" i="52" s="1"/>
  <c r="R165" i="52"/>
  <c r="O165" i="52"/>
  <c r="L165" i="52"/>
  <c r="I165" i="52"/>
  <c r="F165" i="52"/>
  <c r="B165" i="52"/>
  <c r="BC164" i="52"/>
  <c r="BB164" i="52"/>
  <c r="BA164" i="52"/>
  <c r="AZ164" i="52"/>
  <c r="AY164" i="52"/>
  <c r="AU164" i="52"/>
  <c r="AM164" i="52" s="1"/>
  <c r="T164" i="52"/>
  <c r="AV164" i="52" s="1"/>
  <c r="R164" i="52"/>
  <c r="O164" i="52"/>
  <c r="L164" i="52"/>
  <c r="I164" i="52"/>
  <c r="F164" i="52"/>
  <c r="B164" i="52"/>
  <c r="BC163" i="52"/>
  <c r="BB163" i="52"/>
  <c r="BA163" i="52"/>
  <c r="AZ163" i="52"/>
  <c r="AY163" i="52"/>
  <c r="AU163" i="52"/>
  <c r="AL163" i="52" s="1"/>
  <c r="T163" i="52"/>
  <c r="AV163" i="52" s="1"/>
  <c r="G157" i="52"/>
  <c r="D190" i="41"/>
  <c r="D189" i="41"/>
  <c r="D188" i="41"/>
  <c r="D187" i="41"/>
  <c r="D186" i="41"/>
  <c r="D185" i="41"/>
  <c r="D184" i="41"/>
  <c r="D183" i="41"/>
  <c r="D182" i="41"/>
  <c r="E176" i="41"/>
  <c r="D165" i="41"/>
  <c r="D164" i="41"/>
  <c r="D163" i="41"/>
  <c r="D162" i="41"/>
  <c r="D161" i="41"/>
  <c r="D160" i="41"/>
  <c r="D159" i="41"/>
  <c r="D158" i="41"/>
  <c r="D157" i="41"/>
  <c r="E151" i="41"/>
  <c r="M19" i="116"/>
  <c r="M20" i="116" s="1"/>
  <c r="K19" i="116"/>
  <c r="K20" i="116" s="1"/>
  <c r="I19" i="116"/>
  <c r="I20" i="116" s="1"/>
  <c r="G19" i="116"/>
  <c r="G20" i="116" s="1"/>
  <c r="E19" i="116"/>
  <c r="E20" i="116" s="1"/>
  <c r="N4" i="116"/>
  <c r="L4" i="116"/>
  <c r="H4" i="116"/>
  <c r="F4" i="116"/>
  <c r="N27" i="116"/>
  <c r="N52" i="116" s="1"/>
  <c r="N77" i="116" s="1"/>
  <c r="N102" i="116" s="1"/>
  <c r="N127" i="116" s="1"/>
  <c r="N152" i="116" s="1"/>
  <c r="N177" i="116" s="1"/>
  <c r="EC1" i="16"/>
  <c r="D140" i="116"/>
  <c r="D139" i="116"/>
  <c r="D138" i="116"/>
  <c r="D137" i="116"/>
  <c r="D136" i="116"/>
  <c r="D135" i="116"/>
  <c r="D134" i="116"/>
  <c r="D133" i="116"/>
  <c r="D132" i="116"/>
  <c r="E126" i="116"/>
  <c r="D115" i="116"/>
  <c r="D114" i="116"/>
  <c r="D113" i="116"/>
  <c r="D112" i="116"/>
  <c r="D111" i="116"/>
  <c r="D110" i="116"/>
  <c r="D109" i="116"/>
  <c r="D108" i="116"/>
  <c r="D107" i="116"/>
  <c r="E101" i="116"/>
  <c r="D90" i="116"/>
  <c r="D89" i="116"/>
  <c r="D88" i="116"/>
  <c r="D87" i="116"/>
  <c r="D86" i="116"/>
  <c r="D85" i="116"/>
  <c r="D84" i="116"/>
  <c r="D83" i="116"/>
  <c r="D82" i="116"/>
  <c r="E76" i="116"/>
  <c r="D65" i="116"/>
  <c r="D64" i="116"/>
  <c r="D63" i="116"/>
  <c r="D62" i="116"/>
  <c r="D61" i="116"/>
  <c r="D60" i="116"/>
  <c r="D59" i="116"/>
  <c r="D58" i="116"/>
  <c r="D57" i="116"/>
  <c r="E51" i="116"/>
  <c r="D40" i="116"/>
  <c r="D39" i="116"/>
  <c r="D38" i="116"/>
  <c r="D37" i="116"/>
  <c r="D36" i="116"/>
  <c r="D35" i="116"/>
  <c r="D34" i="116"/>
  <c r="D33" i="116"/>
  <c r="D32" i="116"/>
  <c r="B27" i="116"/>
  <c r="B52" i="116" s="1"/>
  <c r="K69" i="116" s="1"/>
  <c r="E26" i="116"/>
  <c r="D15" i="116"/>
  <c r="D14" i="116"/>
  <c r="D13" i="116"/>
  <c r="D12" i="116"/>
  <c r="D11" i="116"/>
  <c r="D10" i="116"/>
  <c r="D9" i="116"/>
  <c r="D8" i="116"/>
  <c r="D7" i="116"/>
  <c r="B3" i="116"/>
  <c r="E1" i="116"/>
  <c r="P8" i="115" s="1"/>
  <c r="DS2" i="16"/>
  <c r="E127" i="116" s="1"/>
  <c r="CY2" i="16"/>
  <c r="EL20" i="16"/>
  <c r="EL19" i="16"/>
  <c r="DR19" i="16"/>
  <c r="CX20" i="16"/>
  <c r="CX19" i="16"/>
  <c r="CD19" i="16"/>
  <c r="BJ20" i="16"/>
  <c r="BJ19" i="16"/>
  <c r="AP20" i="16"/>
  <c r="AP19" i="16"/>
  <c r="EG4" i="16"/>
  <c r="EF4" i="16"/>
  <c r="EE4" i="16"/>
  <c r="ED4" i="16"/>
  <c r="EC4" i="16"/>
  <c r="DM4" i="16"/>
  <c r="DL4" i="16"/>
  <c r="DK4" i="16"/>
  <c r="DJ4" i="16"/>
  <c r="DI4" i="16"/>
  <c r="CS4" i="16"/>
  <c r="CR4" i="16"/>
  <c r="CQ4" i="16"/>
  <c r="CP4" i="16"/>
  <c r="CO4" i="16"/>
  <c r="BY4" i="16"/>
  <c r="BX4" i="16"/>
  <c r="BW4" i="16"/>
  <c r="BV4" i="16"/>
  <c r="BU4" i="16"/>
  <c r="BE4" i="16"/>
  <c r="BD4" i="16"/>
  <c r="BC4" i="16"/>
  <c r="BB4" i="16"/>
  <c r="BA4" i="16"/>
  <c r="AK4" i="16"/>
  <c r="AJ4" i="16"/>
  <c r="AI4" i="16"/>
  <c r="AH4" i="16"/>
  <c r="AG4" i="16"/>
  <c r="Q4" i="16"/>
  <c r="P4" i="16"/>
  <c r="O4" i="16"/>
  <c r="N4" i="16"/>
  <c r="M4" i="16"/>
  <c r="V19" i="16"/>
  <c r="EB11" i="16"/>
  <c r="EB10" i="16"/>
  <c r="DH11" i="16"/>
  <c r="DH10" i="16"/>
  <c r="EG22" i="16"/>
  <c r="EF22" i="16"/>
  <c r="EE22" i="16"/>
  <c r="ED22" i="16"/>
  <c r="EC22" i="16"/>
  <c r="EL21" i="16"/>
  <c r="EL18" i="16"/>
  <c r="EL17" i="16"/>
  <c r="EL16" i="16"/>
  <c r="EL15" i="16"/>
  <c r="EL14" i="16"/>
  <c r="DW13" i="16"/>
  <c r="DV13" i="16"/>
  <c r="DU13" i="16"/>
  <c r="DT13" i="16"/>
  <c r="DS13" i="16"/>
  <c r="EB12" i="16"/>
  <c r="EB9" i="16"/>
  <c r="EB8" i="16"/>
  <c r="EB7" i="16"/>
  <c r="EB6" i="16"/>
  <c r="EB5" i="16"/>
  <c r="CN11" i="16"/>
  <c r="CN10" i="16"/>
  <c r="BT11" i="16"/>
  <c r="BT10" i="16"/>
  <c r="AZ11" i="16"/>
  <c r="AZ10" i="16"/>
  <c r="AF11" i="16"/>
  <c r="AF10" i="16"/>
  <c r="L11" i="16"/>
  <c r="L10" i="16"/>
  <c r="B21" i="16"/>
  <c r="B20" i="16"/>
  <c r="B19" i="16"/>
  <c r="L196" i="58" l="1"/>
  <c r="O196" i="58"/>
  <c r="F195" i="58"/>
  <c r="I195" i="58"/>
  <c r="AW167" i="52"/>
  <c r="AP192" i="59"/>
  <c r="AO114" i="117"/>
  <c r="AP114" i="117" s="1"/>
  <c r="D114" i="117" s="1"/>
  <c r="AP163" i="59"/>
  <c r="D163" i="59" s="1"/>
  <c r="AP169" i="58"/>
  <c r="D169" i="58" s="1"/>
  <c r="R169" i="58" s="1"/>
  <c r="AO166" i="117"/>
  <c r="AP166" i="117" s="1"/>
  <c r="D166" i="117" s="1"/>
  <c r="AO13" i="117"/>
  <c r="AP13" i="117" s="1"/>
  <c r="D13" i="117" s="1"/>
  <c r="AP9" i="117"/>
  <c r="D9" i="117" s="1"/>
  <c r="AO190" i="58"/>
  <c r="AP190" i="58" s="1"/>
  <c r="L29" i="116"/>
  <c r="AW171" i="52"/>
  <c r="AP168" i="117"/>
  <c r="D168" i="117" s="1"/>
  <c r="AP196" i="59"/>
  <c r="D196" i="59" s="1"/>
  <c r="AP197" i="58"/>
  <c r="D197" i="58" s="1"/>
  <c r="AO62" i="117"/>
  <c r="AO142" i="117"/>
  <c r="AP138" i="117"/>
  <c r="D138" i="117" s="1"/>
  <c r="AN190" i="53"/>
  <c r="AO190" i="53" s="1"/>
  <c r="AP190" i="53" s="1"/>
  <c r="D190" i="53" s="1"/>
  <c r="R190" i="53" s="1"/>
  <c r="N29" i="116"/>
  <c r="BF189" i="52"/>
  <c r="AX191" i="52"/>
  <c r="AO168" i="59"/>
  <c r="AO87" i="117"/>
  <c r="AP87" i="117" s="1"/>
  <c r="D87" i="117" s="1"/>
  <c r="M69" i="116"/>
  <c r="AP193" i="58"/>
  <c r="AP112" i="117"/>
  <c r="D112" i="117" s="1"/>
  <c r="AO41" i="117"/>
  <c r="AP41" i="117" s="1"/>
  <c r="D41" i="117" s="1"/>
  <c r="BJ164" i="52"/>
  <c r="AL165" i="52"/>
  <c r="AO166" i="58"/>
  <c r="AP166" i="58" s="1"/>
  <c r="D166" i="58" s="1"/>
  <c r="R166" i="58" s="1"/>
  <c r="AM165" i="52"/>
  <c r="AN170" i="52"/>
  <c r="AP165" i="55"/>
  <c r="D165" i="55" s="1"/>
  <c r="AP167" i="58"/>
  <c r="D167" i="58" s="1"/>
  <c r="B28" i="116"/>
  <c r="H29" i="116"/>
  <c r="BF167" i="52"/>
  <c r="J29" i="116"/>
  <c r="AX170" i="52"/>
  <c r="AO193" i="57"/>
  <c r="AP193" i="57" s="1"/>
  <c r="D193" i="57" s="1"/>
  <c r="AO165" i="57"/>
  <c r="AP165" i="57" s="1"/>
  <c r="D165" i="57" s="1"/>
  <c r="F165" i="57" s="1"/>
  <c r="U165" i="57" s="1"/>
  <c r="AN195" i="57"/>
  <c r="AO195" i="57" s="1"/>
  <c r="AN190" i="57"/>
  <c r="AO190" i="57" s="1"/>
  <c r="AP190" i="57" s="1"/>
  <c r="D190" i="57" s="1"/>
  <c r="F190" i="57" s="1"/>
  <c r="U190" i="57" s="1"/>
  <c r="AO192" i="57"/>
  <c r="AP192" i="57" s="1"/>
  <c r="D192" i="57" s="1"/>
  <c r="R192" i="57" s="1"/>
  <c r="AO169" i="57"/>
  <c r="AP169" i="57" s="1"/>
  <c r="D169" i="57" s="1"/>
  <c r="R169" i="57" s="1"/>
  <c r="AO166" i="57"/>
  <c r="AP166" i="57" s="1"/>
  <c r="D166" i="57" s="1"/>
  <c r="R166" i="57" s="1"/>
  <c r="AO164" i="57"/>
  <c r="AP164" i="57" s="1"/>
  <c r="D164" i="57" s="1"/>
  <c r="F164" i="57" s="1"/>
  <c r="U164" i="57" s="1"/>
  <c r="AO189" i="57"/>
  <c r="AP189" i="57" s="1"/>
  <c r="D189" i="57" s="1"/>
  <c r="R189" i="57" s="1"/>
  <c r="AO163" i="57"/>
  <c r="AP163" i="57" s="1"/>
  <c r="D163" i="57" s="1"/>
  <c r="R163" i="57" s="1"/>
  <c r="AP167" i="57"/>
  <c r="D167" i="57" s="1"/>
  <c r="E27" i="116"/>
  <c r="E2" i="116"/>
  <c r="E8" i="115" s="1"/>
  <c r="AT199" i="52"/>
  <c r="B185" i="52"/>
  <c r="BH189" i="52" s="1"/>
  <c r="BH190" i="52" s="1"/>
  <c r="BH191" i="52" s="1"/>
  <c r="BH192" i="52" s="1"/>
  <c r="BH193" i="52" s="1"/>
  <c r="BH194" i="52" s="1"/>
  <c r="BH195" i="52" s="1"/>
  <c r="BH196" i="52" s="1"/>
  <c r="BH197" i="52" s="1"/>
  <c r="AP164" i="55"/>
  <c r="D164" i="55" s="1"/>
  <c r="EL8" i="16"/>
  <c r="AO12" i="117"/>
  <c r="AP12" i="117" s="1"/>
  <c r="D12" i="117" s="1"/>
  <c r="AP145" i="117"/>
  <c r="D145" i="117" s="1"/>
  <c r="AO197" i="117"/>
  <c r="AP197" i="117" s="1"/>
  <c r="D197" i="117" s="1"/>
  <c r="AP171" i="57"/>
  <c r="D171" i="57" s="1"/>
  <c r="N98" i="120"/>
  <c r="O98" i="120" s="1"/>
  <c r="AO144" i="117"/>
  <c r="AP144" i="117" s="1"/>
  <c r="D144" i="117" s="1"/>
  <c r="AO171" i="117"/>
  <c r="AP171" i="117" s="1"/>
  <c r="D171" i="117" s="1"/>
  <c r="EL11" i="16"/>
  <c r="AM193" i="52"/>
  <c r="AO64" i="117"/>
  <c r="AP64" i="117" s="1"/>
  <c r="D64" i="117" s="1"/>
  <c r="AP141" i="117"/>
  <c r="D141" i="117" s="1"/>
  <c r="AO165" i="58"/>
  <c r="AP165" i="58" s="1"/>
  <c r="D165" i="58" s="1"/>
  <c r="AP37" i="117"/>
  <c r="D37" i="117" s="1"/>
  <c r="AN196" i="53"/>
  <c r="AX197" i="52"/>
  <c r="AO164" i="58"/>
  <c r="AP196" i="57"/>
  <c r="D196" i="57" s="1"/>
  <c r="EL12" i="16"/>
  <c r="J4" i="116"/>
  <c r="I69" i="116"/>
  <c r="I70" i="116" s="1"/>
  <c r="B159" i="52"/>
  <c r="BH163" i="52" s="1"/>
  <c r="BH164" i="52" s="1"/>
  <c r="BH165" i="52" s="1"/>
  <c r="BH166" i="52" s="1"/>
  <c r="BH167" i="52" s="1"/>
  <c r="BH168" i="52" s="1"/>
  <c r="BH169" i="52" s="1"/>
  <c r="BH170" i="52" s="1"/>
  <c r="BH171" i="52" s="1"/>
  <c r="BF168" i="52"/>
  <c r="AW193" i="52"/>
  <c r="AN193" i="52" s="1"/>
  <c r="AO193" i="52" s="1"/>
  <c r="AP8" i="117"/>
  <c r="D8" i="117" s="1"/>
  <c r="AN190" i="55"/>
  <c r="AO190" i="55" s="1"/>
  <c r="AP190" i="55" s="1"/>
  <c r="D190" i="55" s="1"/>
  <c r="AO164" i="117"/>
  <c r="AP164" i="117" s="1"/>
  <c r="D164" i="117" s="1"/>
  <c r="EL7" i="16"/>
  <c r="AW199" i="58"/>
  <c r="EL9" i="16"/>
  <c r="AO170" i="58"/>
  <c r="AP170" i="58" s="1"/>
  <c r="AO195" i="117"/>
  <c r="AP195" i="117" s="1"/>
  <c r="AO86" i="117"/>
  <c r="AP86" i="117" s="1"/>
  <c r="D86" i="117" s="1"/>
  <c r="AP197" i="53"/>
  <c r="D197" i="53" s="1"/>
  <c r="AP66" i="117"/>
  <c r="D66" i="117" s="1"/>
  <c r="AO197" i="59"/>
  <c r="O196" i="55"/>
  <c r="R196" i="55"/>
  <c r="AN192" i="55"/>
  <c r="AO192" i="55" s="1"/>
  <c r="AP192" i="55" s="1"/>
  <c r="D192" i="55" s="1"/>
  <c r="I196" i="55"/>
  <c r="L196" i="55"/>
  <c r="AN195" i="55"/>
  <c r="AO195" i="55" s="1"/>
  <c r="AO193" i="55"/>
  <c r="AP193" i="55" s="1"/>
  <c r="D193" i="55" s="1"/>
  <c r="R193" i="55" s="1"/>
  <c r="AO189" i="55"/>
  <c r="AP189" i="55" s="1"/>
  <c r="D189" i="55" s="1"/>
  <c r="L189" i="55" s="1"/>
  <c r="AO169" i="55"/>
  <c r="AP169" i="55" s="1"/>
  <c r="D169" i="55" s="1"/>
  <c r="R169" i="55" s="1"/>
  <c r="AO166" i="55"/>
  <c r="AP166" i="55" s="1"/>
  <c r="D166" i="55" s="1"/>
  <c r="R166" i="55" s="1"/>
  <c r="AO170" i="55"/>
  <c r="AP170" i="55" s="1"/>
  <c r="D170" i="55" s="1"/>
  <c r="AO196" i="53"/>
  <c r="AN189" i="53"/>
  <c r="AO189" i="53" s="1"/>
  <c r="AP189" i="53" s="1"/>
  <c r="D189" i="53" s="1"/>
  <c r="AN192" i="53"/>
  <c r="AO192" i="53" s="1"/>
  <c r="AP192" i="53" s="1"/>
  <c r="D192" i="53" s="1"/>
  <c r="F192" i="53" s="1"/>
  <c r="U192" i="53" s="1"/>
  <c r="AO166" i="53"/>
  <c r="AP166" i="53" s="1"/>
  <c r="D166" i="53" s="1"/>
  <c r="R166" i="53" s="1"/>
  <c r="AO164" i="53"/>
  <c r="AP164" i="53" s="1"/>
  <c r="D164" i="53" s="1"/>
  <c r="AO163" i="53"/>
  <c r="AP163" i="53" s="1"/>
  <c r="D163" i="53" s="1"/>
  <c r="R163" i="53" s="1"/>
  <c r="AM196" i="52"/>
  <c r="BF196" i="52"/>
  <c r="AM192" i="52"/>
  <c r="AM190" i="52"/>
  <c r="AM169" i="52"/>
  <c r="BF166" i="52"/>
  <c r="EL10" i="16"/>
  <c r="N103" i="120"/>
  <c r="O103" i="120" s="1"/>
  <c r="AP143" i="117"/>
  <c r="N22" i="120"/>
  <c r="O22" i="120" s="1"/>
  <c r="N25" i="120"/>
  <c r="O25" i="120" s="1"/>
  <c r="N94" i="120"/>
  <c r="O94" i="120" s="1"/>
  <c r="M59" i="120"/>
  <c r="N104" i="120"/>
  <c r="O104" i="120" s="1"/>
  <c r="U172" i="59"/>
  <c r="AS173" i="59" s="1"/>
  <c r="M70" i="120"/>
  <c r="N95" i="120"/>
  <c r="O95" i="120" s="1"/>
  <c r="M76" i="116"/>
  <c r="S183" i="117"/>
  <c r="S79" i="117"/>
  <c r="S105" i="117"/>
  <c r="S131" i="117"/>
  <c r="S27" i="117"/>
  <c r="S1" i="117"/>
  <c r="M151" i="116"/>
  <c r="S53" i="117"/>
  <c r="S157" i="117"/>
  <c r="M176" i="116"/>
  <c r="M101" i="116"/>
  <c r="M51" i="116"/>
  <c r="M26" i="116"/>
  <c r="M126" i="116"/>
  <c r="AW166" i="52"/>
  <c r="AN166" i="52" s="1"/>
  <c r="BK192" i="52"/>
  <c r="BF192" i="52"/>
  <c r="M18" i="120"/>
  <c r="BK167" i="52"/>
  <c r="AO189" i="117"/>
  <c r="AP189" i="117" s="1"/>
  <c r="D189" i="117" s="1"/>
  <c r="M29" i="120"/>
  <c r="D143" i="117"/>
  <c r="AX164" i="52"/>
  <c r="M80" i="120"/>
  <c r="N15" i="120"/>
  <c r="O15" i="120" s="1"/>
  <c r="BJ170" i="52"/>
  <c r="AW164" i="52"/>
  <c r="AP168" i="59"/>
  <c r="D168" i="59" s="1"/>
  <c r="BL171" i="117"/>
  <c r="N14" i="120"/>
  <c r="O14" i="120" s="1"/>
  <c r="N65" i="120"/>
  <c r="O65" i="120" s="1"/>
  <c r="AL195" i="52"/>
  <c r="AO117" i="117"/>
  <c r="AP117" i="117" s="1"/>
  <c r="D117" i="117" s="1"/>
  <c r="M83" i="120"/>
  <c r="M31" i="120"/>
  <c r="M75" i="120"/>
  <c r="M73" i="120"/>
  <c r="M27" i="120"/>
  <c r="M23" i="120"/>
  <c r="M19" i="120"/>
  <c r="M47" i="120"/>
  <c r="M103" i="120"/>
  <c r="M28" i="120"/>
  <c r="M40" i="120"/>
  <c r="M88" i="120"/>
  <c r="M61" i="120"/>
  <c r="M30" i="120"/>
  <c r="M78" i="120"/>
  <c r="M43" i="120"/>
  <c r="M44" i="120"/>
  <c r="M92" i="120"/>
  <c r="M69" i="120"/>
  <c r="M34" i="120"/>
  <c r="M82" i="120"/>
  <c r="M67" i="120"/>
  <c r="M101" i="120"/>
  <c r="M55" i="120"/>
  <c r="M48" i="120"/>
  <c r="M96" i="120"/>
  <c r="M77" i="120"/>
  <c r="M38" i="120"/>
  <c r="M86" i="120"/>
  <c r="M79" i="120"/>
  <c r="M41" i="120"/>
  <c r="M11" i="120"/>
  <c r="M52" i="120"/>
  <c r="M100" i="120"/>
  <c r="M81" i="120"/>
  <c r="M42" i="120"/>
  <c r="M90" i="120"/>
  <c r="M91" i="120"/>
  <c r="M63" i="120"/>
  <c r="M93" i="120"/>
  <c r="M9" i="120"/>
  <c r="M22" i="120"/>
  <c r="M4" i="120"/>
  <c r="M56" i="120"/>
  <c r="M104" i="120"/>
  <c r="M97" i="120"/>
  <c r="M46" i="120"/>
  <c r="M94" i="120"/>
  <c r="M95" i="120"/>
  <c r="M5" i="120"/>
  <c r="M8" i="120"/>
  <c r="M60" i="120"/>
  <c r="M50" i="120"/>
  <c r="M98" i="120"/>
  <c r="M45" i="120"/>
  <c r="M12" i="120"/>
  <c r="M64" i="120"/>
  <c r="M13" i="120"/>
  <c r="M2" i="120"/>
  <c r="M54" i="120"/>
  <c r="M102" i="120"/>
  <c r="M87" i="120"/>
  <c r="M33" i="120"/>
  <c r="M71" i="120"/>
  <c r="M16" i="120"/>
  <c r="M68" i="120"/>
  <c r="M17" i="120"/>
  <c r="M6" i="120"/>
  <c r="M58" i="120"/>
  <c r="M37" i="120"/>
  <c r="M85" i="120"/>
  <c r="M99" i="120"/>
  <c r="M20" i="120"/>
  <c r="M72" i="120"/>
  <c r="M21" i="120"/>
  <c r="M10" i="120"/>
  <c r="M62" i="120"/>
  <c r="M3" i="120"/>
  <c r="M89" i="120"/>
  <c r="M7" i="120"/>
  <c r="M65" i="120"/>
  <c r="M24" i="120"/>
  <c r="M76" i="120"/>
  <c r="M25" i="120"/>
  <c r="M14" i="120"/>
  <c r="M66" i="120"/>
  <c r="M15" i="120"/>
  <c r="M51" i="120"/>
  <c r="M53" i="120"/>
  <c r="M57" i="120"/>
  <c r="M35" i="120"/>
  <c r="M36" i="120"/>
  <c r="M84" i="120"/>
  <c r="M49" i="120"/>
  <c r="M26" i="120"/>
  <c r="M74" i="120"/>
  <c r="M39" i="120"/>
  <c r="BL194" i="117"/>
  <c r="N90" i="120"/>
  <c r="O90" i="120" s="1"/>
  <c r="N29" i="120"/>
  <c r="O29" i="120" s="1"/>
  <c r="E69" i="116"/>
  <c r="E70" i="116" s="1"/>
  <c r="N54" i="116"/>
  <c r="L54" i="116"/>
  <c r="J54" i="116"/>
  <c r="H54" i="116"/>
  <c r="F54" i="116"/>
  <c r="G69" i="116"/>
  <c r="G70" i="116" s="1"/>
  <c r="BK194" i="52"/>
  <c r="BJ195" i="52"/>
  <c r="N24" i="120"/>
  <c r="O24" i="120" s="1"/>
  <c r="U42" i="117"/>
  <c r="AS43" i="117" s="1"/>
  <c r="D63" i="117"/>
  <c r="F29" i="116"/>
  <c r="AX169" i="52"/>
  <c r="BJ194" i="52"/>
  <c r="BG61" i="117"/>
  <c r="N16" i="120"/>
  <c r="O16" i="120" s="1"/>
  <c r="N49" i="120"/>
  <c r="O49" i="120" s="1"/>
  <c r="N102" i="120"/>
  <c r="O102" i="120" s="1"/>
  <c r="N77" i="120"/>
  <c r="O77" i="120" s="1"/>
  <c r="AO190" i="59"/>
  <c r="AO197" i="55"/>
  <c r="AP197" i="55" s="1"/>
  <c r="D197" i="55" s="1"/>
  <c r="N13" i="120"/>
  <c r="O13" i="120" s="1"/>
  <c r="N83" i="120"/>
  <c r="O83" i="120" s="1"/>
  <c r="N82" i="120"/>
  <c r="O82" i="120" s="1"/>
  <c r="AP116" i="117"/>
  <c r="D116" i="117" s="1"/>
  <c r="N92" i="120"/>
  <c r="O92" i="120" s="1"/>
  <c r="N91" i="120"/>
  <c r="O91" i="120" s="1"/>
  <c r="N78" i="120"/>
  <c r="O78" i="120" s="1"/>
  <c r="N53" i="120"/>
  <c r="O53" i="120" s="1"/>
  <c r="N101" i="120"/>
  <c r="O101" i="120" s="1"/>
  <c r="N86" i="120"/>
  <c r="O86" i="120" s="1"/>
  <c r="BL164" i="117"/>
  <c r="N6" i="120"/>
  <c r="O6" i="120" s="1"/>
  <c r="N71" i="120"/>
  <c r="O71" i="120" s="1"/>
  <c r="N70" i="120"/>
  <c r="O70" i="120" s="1"/>
  <c r="N9" i="120"/>
  <c r="O9" i="120" s="1"/>
  <c r="N93" i="120"/>
  <c r="O93" i="120" s="1"/>
  <c r="N80" i="120"/>
  <c r="O80" i="120" s="1"/>
  <c r="N79" i="120"/>
  <c r="O79" i="120" s="1"/>
  <c r="N66" i="120"/>
  <c r="O66" i="120" s="1"/>
  <c r="AP65" i="117"/>
  <c r="D65" i="117" s="1"/>
  <c r="N41" i="120"/>
  <c r="O41" i="120" s="1"/>
  <c r="N73" i="120"/>
  <c r="O73" i="120" s="1"/>
  <c r="N3" i="120"/>
  <c r="O3" i="120" s="1"/>
  <c r="N36" i="120"/>
  <c r="O36" i="120" s="1"/>
  <c r="N74" i="120"/>
  <c r="O74" i="120" s="1"/>
  <c r="N59" i="120"/>
  <c r="O59" i="120" s="1"/>
  <c r="N58" i="120"/>
  <c r="O58" i="120" s="1"/>
  <c r="N57" i="120"/>
  <c r="O57" i="120" s="1"/>
  <c r="N68" i="120"/>
  <c r="O68" i="120" s="1"/>
  <c r="N67" i="120"/>
  <c r="O67" i="120" s="1"/>
  <c r="N54" i="120"/>
  <c r="O54" i="120" s="1"/>
  <c r="AP170" i="57"/>
  <c r="D170" i="57" s="1"/>
  <c r="N62" i="120"/>
  <c r="O62" i="120" s="1"/>
  <c r="AP62" i="117"/>
  <c r="D62" i="117" s="1"/>
  <c r="E52" i="116"/>
  <c r="AX168" i="52"/>
  <c r="BK169" i="52"/>
  <c r="BJ171" i="52"/>
  <c r="AX195" i="52"/>
  <c r="BJ197" i="52"/>
  <c r="D190" i="58"/>
  <c r="R190" i="58" s="1"/>
  <c r="AP167" i="59"/>
  <c r="U120" i="117"/>
  <c r="AS121" i="117" s="1"/>
  <c r="U68" i="117"/>
  <c r="AS69" i="117" s="1"/>
  <c r="N100" i="120"/>
  <c r="O100" i="120" s="1"/>
  <c r="N47" i="120"/>
  <c r="O47" i="120" s="1"/>
  <c r="N46" i="120"/>
  <c r="O46" i="120" s="1"/>
  <c r="N81" i="120"/>
  <c r="O81" i="120" s="1"/>
  <c r="AO118" i="117"/>
  <c r="AP118" i="117" s="1"/>
  <c r="D118" i="117" s="1"/>
  <c r="N56" i="120"/>
  <c r="O56" i="120" s="1"/>
  <c r="N55" i="120"/>
  <c r="O55" i="120" s="1"/>
  <c r="N42" i="120"/>
  <c r="O42" i="120" s="1"/>
  <c r="N17" i="120"/>
  <c r="O17" i="120" s="1"/>
  <c r="N87" i="120"/>
  <c r="O87" i="120" s="1"/>
  <c r="N50" i="120"/>
  <c r="O50" i="120" s="1"/>
  <c r="D168" i="57"/>
  <c r="E77" i="116"/>
  <c r="E44" i="116"/>
  <c r="E45" i="116" s="1"/>
  <c r="AX167" i="52"/>
  <c r="BK168" i="52"/>
  <c r="BF171" i="52"/>
  <c r="AL191" i="52"/>
  <c r="D194" i="59"/>
  <c r="AW147" i="117"/>
  <c r="AO165" i="117"/>
  <c r="AP165" i="117" s="1"/>
  <c r="D165" i="117" s="1"/>
  <c r="AW69" i="117"/>
  <c r="N28" i="120"/>
  <c r="O28" i="120" s="1"/>
  <c r="N88" i="120"/>
  <c r="O88" i="120" s="1"/>
  <c r="AP93" i="117"/>
  <c r="D93" i="117" s="1"/>
  <c r="N35" i="120"/>
  <c r="O35" i="120" s="1"/>
  <c r="N34" i="120"/>
  <c r="O34" i="120" s="1"/>
  <c r="N69" i="120"/>
  <c r="O69" i="120" s="1"/>
  <c r="N33" i="120"/>
  <c r="O33" i="120" s="1"/>
  <c r="N44" i="120"/>
  <c r="O44" i="120" s="1"/>
  <c r="N43" i="120"/>
  <c r="O43" i="120" s="1"/>
  <c r="N30" i="120"/>
  <c r="O30" i="120" s="1"/>
  <c r="N75" i="120"/>
  <c r="O75" i="120" s="1"/>
  <c r="N38" i="120"/>
  <c r="O38" i="120" s="1"/>
  <c r="AO67" i="117"/>
  <c r="AP67" i="117" s="1"/>
  <c r="D67" i="117" s="1"/>
  <c r="E102" i="116"/>
  <c r="G44" i="116"/>
  <c r="G45" i="116" s="1"/>
  <c r="AX165" i="52"/>
  <c r="AM166" i="52"/>
  <c r="AL169" i="52"/>
  <c r="AW190" i="52"/>
  <c r="AN190" i="52" s="1"/>
  <c r="BF193" i="52"/>
  <c r="AL194" i="52"/>
  <c r="AX196" i="52"/>
  <c r="E175" i="52"/>
  <c r="E176" i="52" s="1"/>
  <c r="N175" i="52"/>
  <c r="N176" i="52" s="1"/>
  <c r="K175" i="52"/>
  <c r="K176" i="52" s="1"/>
  <c r="H175" i="52"/>
  <c r="H176" i="52" s="1"/>
  <c r="Q175" i="52"/>
  <c r="Q176" i="52" s="1"/>
  <c r="AP194" i="58"/>
  <c r="D194" i="58" s="1"/>
  <c r="BG192" i="117"/>
  <c r="N76" i="120"/>
  <c r="O76" i="120" s="1"/>
  <c r="N23" i="120"/>
  <c r="O23" i="120" s="1"/>
  <c r="N21" i="120"/>
  <c r="O21" i="120" s="1"/>
  <c r="N32" i="120"/>
  <c r="O32" i="120" s="1"/>
  <c r="N31" i="120"/>
  <c r="O31" i="120" s="1"/>
  <c r="N18" i="120"/>
  <c r="O18" i="120" s="1"/>
  <c r="N5" i="120"/>
  <c r="O5" i="120" s="1"/>
  <c r="AP166" i="59"/>
  <c r="D166" i="59" s="1"/>
  <c r="AO7" i="117"/>
  <c r="AP7" i="117" s="1"/>
  <c r="D7" i="117" s="1"/>
  <c r="N26" i="120"/>
  <c r="O26" i="120" s="1"/>
  <c r="N85" i="120"/>
  <c r="O85" i="120" s="1"/>
  <c r="I44" i="116"/>
  <c r="I45" i="116" s="1"/>
  <c r="BJ191" i="52"/>
  <c r="AL192" i="52"/>
  <c r="BK193" i="52"/>
  <c r="AM194" i="52"/>
  <c r="Q201" i="52"/>
  <c r="Q202" i="52" s="1"/>
  <c r="N201" i="52"/>
  <c r="N202" i="52" s="1"/>
  <c r="K201" i="52"/>
  <c r="K202" i="52" s="1"/>
  <c r="H201" i="52"/>
  <c r="H202" i="52" s="1"/>
  <c r="E201" i="52"/>
  <c r="E202" i="52" s="1"/>
  <c r="AP167" i="55"/>
  <c r="D167" i="55" s="1"/>
  <c r="AP193" i="59"/>
  <c r="D193" i="59" s="1"/>
  <c r="AO191" i="117"/>
  <c r="AP191" i="117" s="1"/>
  <c r="D191" i="117" s="1"/>
  <c r="AW95" i="117"/>
  <c r="D38" i="117"/>
  <c r="BG65" i="117"/>
  <c r="D40" i="117"/>
  <c r="N64" i="120"/>
  <c r="O64" i="120" s="1"/>
  <c r="N11" i="120"/>
  <c r="O11" i="120" s="1"/>
  <c r="N10" i="120"/>
  <c r="O10" i="120" s="1"/>
  <c r="N20" i="120"/>
  <c r="O20" i="120" s="1"/>
  <c r="N19" i="120"/>
  <c r="O19" i="120" s="1"/>
  <c r="N63" i="120"/>
  <c r="O63" i="120" s="1"/>
  <c r="AP111" i="117"/>
  <c r="D111" i="117" s="1"/>
  <c r="N72" i="120"/>
  <c r="O72" i="120" s="1"/>
  <c r="N2" i="120"/>
  <c r="O2" i="120" s="1"/>
  <c r="N37" i="120"/>
  <c r="O37" i="120" s="1"/>
  <c r="D170" i="58"/>
  <c r="G158" i="59"/>
  <c r="G184" i="59"/>
  <c r="E152" i="87"/>
  <c r="E177" i="87"/>
  <c r="K44" i="116"/>
  <c r="K45" i="116" s="1"/>
  <c r="T172" i="52"/>
  <c r="AR173" i="52" s="1"/>
  <c r="N52" i="120"/>
  <c r="O52" i="120" s="1"/>
  <c r="N99" i="120"/>
  <c r="O99" i="120" s="1"/>
  <c r="AP89" i="117"/>
  <c r="D89" i="117" s="1"/>
  <c r="N8" i="120"/>
  <c r="O8" i="120" s="1"/>
  <c r="N7" i="120"/>
  <c r="O7" i="120" s="1"/>
  <c r="AP193" i="117"/>
  <c r="D193" i="117" s="1"/>
  <c r="N51" i="120"/>
  <c r="O51" i="120" s="1"/>
  <c r="AP192" i="117"/>
  <c r="D192" i="117" s="1"/>
  <c r="N96" i="120"/>
  <c r="O96" i="120" s="1"/>
  <c r="AP142" i="117"/>
  <c r="D142" i="117" s="1"/>
  <c r="G132" i="117"/>
  <c r="G28" i="117"/>
  <c r="G2" i="117"/>
  <c r="A3" i="118" s="1"/>
  <c r="G54" i="117"/>
  <c r="G158" i="117"/>
  <c r="G106" i="117"/>
  <c r="E177" i="116"/>
  <c r="G184" i="117"/>
  <c r="E152" i="116"/>
  <c r="G80" i="117"/>
  <c r="M44" i="116"/>
  <c r="M45" i="116" s="1"/>
  <c r="BF163" i="52"/>
  <c r="AL164" i="52"/>
  <c r="T198" i="52"/>
  <c r="AR199" i="52" s="1"/>
  <c r="AW199" i="53"/>
  <c r="BL168" i="117"/>
  <c r="BG196" i="117"/>
  <c r="BL91" i="117"/>
  <c r="N40" i="120"/>
  <c r="O40" i="120" s="1"/>
  <c r="N97" i="120"/>
  <c r="O97" i="120" s="1"/>
  <c r="AP60" i="117"/>
  <c r="D60" i="117" s="1"/>
  <c r="AP192" i="58"/>
  <c r="D192" i="58" s="1"/>
  <c r="F192" i="58" s="1"/>
  <c r="U192" i="58" s="1"/>
  <c r="AP90" i="117"/>
  <c r="D90" i="117" s="1"/>
  <c r="AP11" i="117"/>
  <c r="D11" i="117" s="1"/>
  <c r="N45" i="120"/>
  <c r="O45" i="120" s="1"/>
  <c r="N39" i="120"/>
  <c r="O39" i="120" s="1"/>
  <c r="N60" i="120"/>
  <c r="O60" i="120" s="1"/>
  <c r="N84" i="120"/>
  <c r="O84" i="120" s="1"/>
  <c r="AN164" i="52"/>
  <c r="AO164" i="52" s="1"/>
  <c r="BK166" i="52"/>
  <c r="AX194" i="52"/>
  <c r="AO169" i="53"/>
  <c r="AP169" i="53" s="1"/>
  <c r="D169" i="53" s="1"/>
  <c r="R169" i="53" s="1"/>
  <c r="N61" i="120"/>
  <c r="O61" i="120" s="1"/>
  <c r="AP15" i="117"/>
  <c r="D15" i="117" s="1"/>
  <c r="N89" i="120"/>
  <c r="O89" i="120" s="1"/>
  <c r="AP139" i="117"/>
  <c r="N27" i="120"/>
  <c r="O27" i="120" s="1"/>
  <c r="AP190" i="59"/>
  <c r="D190" i="59" s="1"/>
  <c r="N12" i="120"/>
  <c r="O12" i="120" s="1"/>
  <c r="N48" i="120"/>
  <c r="O48" i="120" s="1"/>
  <c r="AP115" i="117"/>
  <c r="D115" i="117" s="1"/>
  <c r="U198" i="59"/>
  <c r="AS199" i="59" s="1"/>
  <c r="AP197" i="59"/>
  <c r="D197" i="59" s="1"/>
  <c r="AP171" i="59"/>
  <c r="D171" i="59" s="1"/>
  <c r="AP168" i="58"/>
  <c r="D168" i="58" s="1"/>
  <c r="AP163" i="58"/>
  <c r="D163" i="58" s="1"/>
  <c r="R163" i="58" s="1"/>
  <c r="R172" i="58" s="1"/>
  <c r="AP189" i="58"/>
  <c r="D189" i="58" s="1"/>
  <c r="L189" i="58" s="1"/>
  <c r="AP164" i="58"/>
  <c r="D164" i="58" s="1"/>
  <c r="AP194" i="57"/>
  <c r="D194" i="57" s="1"/>
  <c r="AP171" i="55"/>
  <c r="D171" i="55" s="1"/>
  <c r="AP194" i="55"/>
  <c r="D194" i="55" s="1"/>
  <c r="AP194" i="53"/>
  <c r="D194" i="53" s="1"/>
  <c r="AP168" i="55"/>
  <c r="D168" i="55" s="1"/>
  <c r="AO193" i="53"/>
  <c r="AP193" i="53" s="1"/>
  <c r="D193" i="53" s="1"/>
  <c r="R193" i="53" s="1"/>
  <c r="AP196" i="53"/>
  <c r="D196" i="53" s="1"/>
  <c r="AP170" i="53"/>
  <c r="D170" i="53" s="1"/>
  <c r="AP165" i="53"/>
  <c r="D165" i="53" s="1"/>
  <c r="AP167" i="53"/>
  <c r="D167" i="53" s="1"/>
  <c r="AM163" i="52"/>
  <c r="U146" i="117"/>
  <c r="AS147" i="117" s="1"/>
  <c r="AO163" i="55"/>
  <c r="AP163" i="55" s="1"/>
  <c r="AO195" i="53"/>
  <c r="V117" i="117"/>
  <c r="BL193" i="117"/>
  <c r="Q207" i="117"/>
  <c r="S198" i="117" s="1"/>
  <c r="S189" i="117"/>
  <c r="BG119" i="117"/>
  <c r="BG193" i="117"/>
  <c r="N181" i="117"/>
  <c r="P172" i="117" s="1"/>
  <c r="P163" i="117"/>
  <c r="M163" i="117"/>
  <c r="K181" i="117"/>
  <c r="M172" i="117" s="1"/>
  <c r="BG171" i="117"/>
  <c r="V166" i="117"/>
  <c r="BG112" i="117"/>
  <c r="BL137" i="117"/>
  <c r="BG89" i="117"/>
  <c r="Q155" i="117"/>
  <c r="S146" i="117" s="1"/>
  <c r="S137" i="117"/>
  <c r="N155" i="117"/>
  <c r="P146" i="117" s="1"/>
  <c r="P137" i="117"/>
  <c r="J163" i="117"/>
  <c r="H181" i="117"/>
  <c r="J172" i="117" s="1"/>
  <c r="D139" i="117"/>
  <c r="BG142" i="117"/>
  <c r="BL116" i="117"/>
  <c r="AO137" i="117"/>
  <c r="BL111" i="117"/>
  <c r="BG90" i="117"/>
  <c r="G33" i="117"/>
  <c r="E51" i="117"/>
  <c r="G42" i="117" s="1"/>
  <c r="BG138" i="117"/>
  <c r="BG88" i="117"/>
  <c r="BG13" i="117"/>
  <c r="J85" i="117"/>
  <c r="H103" i="117"/>
  <c r="J94" i="117" s="1"/>
  <c r="BL144" i="117"/>
  <c r="BG118" i="117"/>
  <c r="BG62" i="117"/>
  <c r="BG37" i="117"/>
  <c r="AO10" i="117"/>
  <c r="BG11" i="117"/>
  <c r="BL196" i="117"/>
  <c r="V169" i="117"/>
  <c r="D195" i="117"/>
  <c r="BG166" i="117"/>
  <c r="BG141" i="117"/>
  <c r="Q103" i="117"/>
  <c r="S94" i="117" s="1"/>
  <c r="S85" i="117"/>
  <c r="Q129" i="117"/>
  <c r="S120" i="117" s="1"/>
  <c r="S111" i="117"/>
  <c r="V195" i="117"/>
  <c r="K129" i="117"/>
  <c r="M120" i="117" s="1"/>
  <c r="M111" i="117"/>
  <c r="J111" i="117"/>
  <c r="H129" i="117"/>
  <c r="J120" i="117" s="1"/>
  <c r="BL112" i="117"/>
  <c r="BG87" i="117"/>
  <c r="BL140" i="117"/>
  <c r="BG115" i="117"/>
  <c r="BG92" i="117"/>
  <c r="BG145" i="117"/>
  <c r="BG111" i="117"/>
  <c r="J33" i="117"/>
  <c r="H51" i="117"/>
  <c r="J42" i="117" s="1"/>
  <c r="BG85" i="117"/>
  <c r="BL12" i="117"/>
  <c r="BL41" i="117"/>
  <c r="BL8" i="117"/>
  <c r="BG67" i="117"/>
  <c r="BG10" i="117"/>
  <c r="BL9" i="117"/>
  <c r="BG63" i="117"/>
  <c r="BG39" i="117"/>
  <c r="U198" i="117"/>
  <c r="AS199" i="117" s="1"/>
  <c r="BL191" i="117"/>
  <c r="BL192" i="117"/>
  <c r="AO170" i="117"/>
  <c r="AP170" i="117" s="1"/>
  <c r="BL197" i="117"/>
  <c r="BG167" i="117"/>
  <c r="BG194" i="117"/>
  <c r="BG169" i="117"/>
  <c r="BL117" i="117"/>
  <c r="P111" i="117"/>
  <c r="N129" i="117"/>
  <c r="P120" i="117" s="1"/>
  <c r="G189" i="117"/>
  <c r="E207" i="117"/>
  <c r="G198" i="117" s="1"/>
  <c r="BL65" i="117"/>
  <c r="BG40" i="117"/>
  <c r="V88" i="117"/>
  <c r="V39" i="117"/>
  <c r="BG66" i="117"/>
  <c r="BG12" i="117"/>
  <c r="M85" i="117"/>
  <c r="K103" i="117"/>
  <c r="M94" i="117" s="1"/>
  <c r="N25" i="117"/>
  <c r="P16" i="117" s="1"/>
  <c r="P7" i="117"/>
  <c r="BL38" i="117"/>
  <c r="BL40" i="117"/>
  <c r="BG86" i="117"/>
  <c r="BL145" i="117"/>
  <c r="U16" i="117"/>
  <c r="AS17" i="117" s="1"/>
  <c r="BG41" i="117"/>
  <c r="BG189" i="117"/>
  <c r="BL167" i="117"/>
  <c r="BG163" i="117"/>
  <c r="BG165" i="117"/>
  <c r="BG140" i="117"/>
  <c r="D85" i="117"/>
  <c r="BL88" i="117"/>
  <c r="BL163" i="117"/>
  <c r="BL118" i="117"/>
  <c r="E181" i="117"/>
  <c r="G172" i="117" s="1"/>
  <c r="G163" i="117"/>
  <c r="BL190" i="117"/>
  <c r="M189" i="117"/>
  <c r="K207" i="117"/>
  <c r="M198" i="117" s="1"/>
  <c r="BL87" i="117"/>
  <c r="BL10" i="117"/>
  <c r="V91" i="117"/>
  <c r="BL89" i="117"/>
  <c r="BL61" i="117"/>
  <c r="BG144" i="117"/>
  <c r="BL67" i="117"/>
  <c r="BL34" i="117"/>
  <c r="BG33" i="117"/>
  <c r="V140" i="117"/>
  <c r="BL14" i="117"/>
  <c r="Q181" i="117"/>
  <c r="S172" i="117" s="1"/>
  <c r="S163" i="117"/>
  <c r="N207" i="117"/>
  <c r="P198" i="117" s="1"/>
  <c r="P189" i="117"/>
  <c r="AO190" i="117"/>
  <c r="BG164" i="117"/>
  <c r="D170" i="117"/>
  <c r="AW199" i="117"/>
  <c r="BL166" i="117"/>
  <c r="AW173" i="117"/>
  <c r="AO140" i="117"/>
  <c r="AW121" i="117"/>
  <c r="V114" i="117"/>
  <c r="K155" i="117"/>
  <c r="M146" i="117" s="1"/>
  <c r="M137" i="117"/>
  <c r="BL165" i="117"/>
  <c r="BG117" i="117"/>
  <c r="E155" i="117"/>
  <c r="G146" i="117" s="1"/>
  <c r="G137" i="117"/>
  <c r="BL85" i="117"/>
  <c r="BG93" i="117"/>
  <c r="BL115" i="117"/>
  <c r="V36" i="117"/>
  <c r="BL63" i="117"/>
  <c r="BG36" i="117"/>
  <c r="BL60" i="117"/>
  <c r="AW17" i="117"/>
  <c r="N51" i="117"/>
  <c r="P42" i="117" s="1"/>
  <c r="P33" i="117"/>
  <c r="BG38" i="117"/>
  <c r="BL195" i="117"/>
  <c r="BL119" i="117"/>
  <c r="V192" i="117"/>
  <c r="V143" i="117"/>
  <c r="BG114" i="117"/>
  <c r="BG64" i="117"/>
  <c r="BL66" i="117"/>
  <c r="Q77" i="117"/>
  <c r="S68" i="117" s="1"/>
  <c r="S59" i="117"/>
  <c r="BL33" i="117"/>
  <c r="BG14" i="117"/>
  <c r="BL93" i="117"/>
  <c r="BL35" i="117"/>
  <c r="AW43" i="117"/>
  <c r="BL170" i="117"/>
  <c r="BL143" i="117"/>
  <c r="BL7" i="117"/>
  <c r="H25" i="117"/>
  <c r="J16" i="117" s="1"/>
  <c r="J7" i="117"/>
  <c r="K51" i="117"/>
  <c r="M42" i="117" s="1"/>
  <c r="M33" i="117"/>
  <c r="V13" i="117"/>
  <c r="BG8" i="117"/>
  <c r="BG34" i="117"/>
  <c r="BG7" i="117"/>
  <c r="BL64" i="117"/>
  <c r="AO196" i="117"/>
  <c r="BG168" i="117"/>
  <c r="BG191" i="117"/>
  <c r="BG197" i="117"/>
  <c r="BL169" i="117"/>
  <c r="BG170" i="117"/>
  <c r="BG139" i="117"/>
  <c r="BL113" i="117"/>
  <c r="K77" i="117"/>
  <c r="M68" i="117" s="1"/>
  <c r="M59" i="117"/>
  <c r="J189" i="117"/>
  <c r="H207" i="117"/>
  <c r="J198" i="117" s="1"/>
  <c r="BG143" i="117"/>
  <c r="BL114" i="117"/>
  <c r="J137" i="117"/>
  <c r="H155" i="117"/>
  <c r="J146" i="117" s="1"/>
  <c r="BG91" i="117"/>
  <c r="BL142" i="117"/>
  <c r="E129" i="117"/>
  <c r="G120" i="117" s="1"/>
  <c r="G111" i="117"/>
  <c r="G85" i="117"/>
  <c r="E103" i="117"/>
  <c r="G94" i="117" s="1"/>
  <c r="BG195" i="117"/>
  <c r="BL138" i="117"/>
  <c r="BG113" i="117"/>
  <c r="N77" i="117"/>
  <c r="P68" i="117" s="1"/>
  <c r="P59" i="117"/>
  <c r="BG116" i="117"/>
  <c r="BL15" i="117"/>
  <c r="BG9" i="117"/>
  <c r="V62" i="117"/>
  <c r="BG59" i="117"/>
  <c r="V10" i="117"/>
  <c r="BL11" i="117"/>
  <c r="H77" i="117"/>
  <c r="J68" i="117" s="1"/>
  <c r="J59" i="117"/>
  <c r="BG60" i="117"/>
  <c r="K25" i="117"/>
  <c r="M16" i="117" s="1"/>
  <c r="M7" i="117"/>
  <c r="E25" i="117"/>
  <c r="G16" i="117" s="1"/>
  <c r="G7" i="117"/>
  <c r="BL59" i="117"/>
  <c r="U172" i="117"/>
  <c r="AS173" i="117" s="1"/>
  <c r="N103" i="117"/>
  <c r="P94" i="117" s="1"/>
  <c r="P85" i="117"/>
  <c r="BL189" i="117"/>
  <c r="BG137" i="117"/>
  <c r="BL141" i="117"/>
  <c r="BL90" i="117"/>
  <c r="U94" i="117"/>
  <c r="AS95" i="117" s="1"/>
  <c r="BG190" i="117"/>
  <c r="BL86" i="117"/>
  <c r="BL92" i="117"/>
  <c r="E77" i="117"/>
  <c r="G68" i="117" s="1"/>
  <c r="G59" i="117"/>
  <c r="Q25" i="117"/>
  <c r="S16" i="117" s="1"/>
  <c r="S7" i="117"/>
  <c r="V65" i="117"/>
  <c r="BG35" i="117"/>
  <c r="S33" i="117"/>
  <c r="Q51" i="117"/>
  <c r="S42" i="117" s="1"/>
  <c r="BL139" i="117"/>
  <c r="BL62" i="117"/>
  <c r="BL37" i="117"/>
  <c r="BL13" i="117"/>
  <c r="BL39" i="117"/>
  <c r="BG15" i="117"/>
  <c r="BL36" i="117"/>
  <c r="D192" i="59"/>
  <c r="AW199" i="59"/>
  <c r="D167" i="59"/>
  <c r="AW173" i="59"/>
  <c r="D193" i="58"/>
  <c r="AW173" i="58"/>
  <c r="AW199" i="57"/>
  <c r="AO191" i="57"/>
  <c r="AW173" i="57"/>
  <c r="AO191" i="55"/>
  <c r="AW199" i="55"/>
  <c r="AW173" i="55"/>
  <c r="AO191" i="53"/>
  <c r="AW173" i="53"/>
  <c r="AW163" i="52"/>
  <c r="AN163" i="52" s="1"/>
  <c r="U171" i="52"/>
  <c r="U167" i="52"/>
  <c r="AO194" i="52"/>
  <c r="U194" i="52"/>
  <c r="AM189" i="52"/>
  <c r="AO170" i="52"/>
  <c r="U170" i="52"/>
  <c r="AO165" i="52"/>
  <c r="U164" i="52"/>
  <c r="U165" i="52"/>
  <c r="U168" i="52"/>
  <c r="AW196" i="52"/>
  <c r="AL197" i="52"/>
  <c r="BJ192" i="52"/>
  <c r="AW195" i="52"/>
  <c r="AL196" i="52"/>
  <c r="AW189" i="52"/>
  <c r="AL190" i="52"/>
  <c r="AX190" i="52"/>
  <c r="AM191" i="52"/>
  <c r="BF194" i="52"/>
  <c r="AM195" i="52"/>
  <c r="BJ196" i="52"/>
  <c r="BK197" i="52"/>
  <c r="BF191" i="52"/>
  <c r="BJ193" i="52"/>
  <c r="AX189" i="52"/>
  <c r="AW194" i="52"/>
  <c r="BK196" i="52"/>
  <c r="BJ190" i="52"/>
  <c r="BK191" i="52"/>
  <c r="BK195" i="52"/>
  <c r="BJ189" i="52"/>
  <c r="BK190" i="52"/>
  <c r="AW192" i="52"/>
  <c r="AX193" i="52"/>
  <c r="BF197" i="52"/>
  <c r="BK189" i="52"/>
  <c r="AX192" i="52"/>
  <c r="AW197" i="52"/>
  <c r="AW191" i="52"/>
  <c r="BF195" i="52"/>
  <c r="BF190" i="52"/>
  <c r="AM197" i="52"/>
  <c r="AO168" i="52"/>
  <c r="BK171" i="52"/>
  <c r="AX163" i="52"/>
  <c r="BJ165" i="52"/>
  <c r="AW168" i="52"/>
  <c r="BJ169" i="52"/>
  <c r="BK170" i="52"/>
  <c r="BJ163" i="52"/>
  <c r="BK164" i="52"/>
  <c r="AL167" i="52"/>
  <c r="BK165" i="52"/>
  <c r="BK163" i="52"/>
  <c r="AX166" i="52"/>
  <c r="AM167" i="52"/>
  <c r="AO167" i="52" s="1"/>
  <c r="BJ168" i="52"/>
  <c r="BF170" i="52"/>
  <c r="BF165" i="52"/>
  <c r="BJ167" i="52"/>
  <c r="BF169" i="52"/>
  <c r="AW170" i="52"/>
  <c r="AL171" i="52"/>
  <c r="AX171" i="52"/>
  <c r="BF164" i="52"/>
  <c r="AW165" i="52"/>
  <c r="BJ166" i="52"/>
  <c r="AW169" i="52"/>
  <c r="AN169" i="52" s="1"/>
  <c r="AL170" i="52"/>
  <c r="AM171" i="52"/>
  <c r="AO171" i="52" s="1"/>
  <c r="M1" i="116"/>
  <c r="Q6" i="115" s="1"/>
  <c r="B53" i="116"/>
  <c r="K70" i="116"/>
  <c r="M70" i="116"/>
  <c r="B77" i="116"/>
  <c r="EL5" i="16"/>
  <c r="EL6" i="16"/>
  <c r="EL22" i="16"/>
  <c r="EG13" i="16"/>
  <c r="EC13" i="16"/>
  <c r="EE13" i="16"/>
  <c r="EF13" i="16"/>
  <c r="ED13" i="16"/>
  <c r="C1" i="106"/>
  <c r="B163" i="52"/>
  <c r="B189" i="52"/>
  <c r="D140" i="87"/>
  <c r="D139" i="87"/>
  <c r="D138" i="87"/>
  <c r="D137" i="87"/>
  <c r="D136" i="87"/>
  <c r="D135" i="87"/>
  <c r="D134" i="87"/>
  <c r="D133" i="87"/>
  <c r="D132" i="87"/>
  <c r="D115" i="87"/>
  <c r="D114" i="87"/>
  <c r="D113" i="87"/>
  <c r="D112" i="87"/>
  <c r="D111" i="87"/>
  <c r="D110" i="87"/>
  <c r="D109" i="87"/>
  <c r="D108" i="87"/>
  <c r="D107" i="87"/>
  <c r="D90" i="87"/>
  <c r="D89" i="87"/>
  <c r="D88" i="87"/>
  <c r="D87" i="87"/>
  <c r="D86" i="87"/>
  <c r="D85" i="87"/>
  <c r="D84" i="87"/>
  <c r="D83" i="87"/>
  <c r="D82" i="87"/>
  <c r="D65" i="87"/>
  <c r="D64" i="87"/>
  <c r="D63" i="87"/>
  <c r="D62" i="87"/>
  <c r="D61" i="87"/>
  <c r="D60" i="87"/>
  <c r="D59" i="87"/>
  <c r="D58" i="87"/>
  <c r="D57" i="87"/>
  <c r="D40" i="87"/>
  <c r="D39" i="87"/>
  <c r="D38" i="87"/>
  <c r="D37" i="87"/>
  <c r="D36" i="87"/>
  <c r="D35" i="87"/>
  <c r="D34" i="87"/>
  <c r="D33" i="87"/>
  <c r="D32" i="87"/>
  <c r="D15" i="87"/>
  <c r="D14" i="87"/>
  <c r="D13" i="87"/>
  <c r="D12" i="87"/>
  <c r="D11" i="87"/>
  <c r="D10" i="87"/>
  <c r="D9" i="87"/>
  <c r="D8" i="87"/>
  <c r="D7" i="87"/>
  <c r="D140" i="86"/>
  <c r="D139" i="86"/>
  <c r="D138" i="86"/>
  <c r="D137" i="86"/>
  <c r="D136" i="86"/>
  <c r="D135" i="86"/>
  <c r="D134" i="86"/>
  <c r="D133" i="86"/>
  <c r="D132" i="86"/>
  <c r="D115" i="86"/>
  <c r="D114" i="86"/>
  <c r="D113" i="86"/>
  <c r="D112" i="86"/>
  <c r="D111" i="86"/>
  <c r="D110" i="86"/>
  <c r="D109" i="86"/>
  <c r="D108" i="86"/>
  <c r="D107" i="86"/>
  <c r="D90" i="86"/>
  <c r="D89" i="86"/>
  <c r="D88" i="86"/>
  <c r="D87" i="86"/>
  <c r="D86" i="86"/>
  <c r="D85" i="86"/>
  <c r="D84" i="86"/>
  <c r="D83" i="86"/>
  <c r="D82" i="86"/>
  <c r="D65" i="86"/>
  <c r="D64" i="86"/>
  <c r="D63" i="86"/>
  <c r="D62" i="86"/>
  <c r="D61" i="86"/>
  <c r="D60" i="86"/>
  <c r="D59" i="86"/>
  <c r="D58" i="86"/>
  <c r="D57" i="86"/>
  <c r="D40" i="86"/>
  <c r="D39" i="86"/>
  <c r="D38" i="86"/>
  <c r="D37" i="86"/>
  <c r="D36" i="86"/>
  <c r="D35" i="86"/>
  <c r="D34" i="86"/>
  <c r="D33" i="86"/>
  <c r="D32" i="86"/>
  <c r="D15" i="86"/>
  <c r="D14" i="86"/>
  <c r="D13" i="86"/>
  <c r="D12" i="86"/>
  <c r="D11" i="86"/>
  <c r="D10" i="86"/>
  <c r="D9" i="86"/>
  <c r="D8" i="86"/>
  <c r="D7" i="86"/>
  <c r="D140" i="85"/>
  <c r="D139" i="85"/>
  <c r="D138" i="85"/>
  <c r="D137" i="85"/>
  <c r="D136" i="85"/>
  <c r="D135" i="85"/>
  <c r="D134" i="85"/>
  <c r="D133" i="85"/>
  <c r="D132" i="85"/>
  <c r="D115" i="85"/>
  <c r="D114" i="85"/>
  <c r="D113" i="85"/>
  <c r="D112" i="85"/>
  <c r="D111" i="85"/>
  <c r="D110" i="85"/>
  <c r="D109" i="85"/>
  <c r="D108" i="85"/>
  <c r="D107" i="85"/>
  <c r="D90" i="85"/>
  <c r="D89" i="85"/>
  <c r="D88" i="85"/>
  <c r="D87" i="85"/>
  <c r="D86" i="85"/>
  <c r="D85" i="85"/>
  <c r="D84" i="85"/>
  <c r="D83" i="85"/>
  <c r="D82" i="85"/>
  <c r="D65" i="85"/>
  <c r="D64" i="85"/>
  <c r="D63" i="85"/>
  <c r="D62" i="85"/>
  <c r="D61" i="85"/>
  <c r="D60" i="85"/>
  <c r="D59" i="85"/>
  <c r="D58" i="85"/>
  <c r="D57" i="85"/>
  <c r="D40" i="85"/>
  <c r="D39" i="85"/>
  <c r="D38" i="85"/>
  <c r="D37" i="85"/>
  <c r="D36" i="85"/>
  <c r="D35" i="85"/>
  <c r="D34" i="85"/>
  <c r="D33" i="85"/>
  <c r="D32" i="85"/>
  <c r="D15" i="85"/>
  <c r="D14" i="85"/>
  <c r="D13" i="85"/>
  <c r="D12" i="85"/>
  <c r="D11" i="85"/>
  <c r="D10" i="85"/>
  <c r="D9" i="85"/>
  <c r="D8" i="85"/>
  <c r="D7" i="85"/>
  <c r="D140" i="84"/>
  <c r="D139" i="84"/>
  <c r="D138" i="84"/>
  <c r="D137" i="84"/>
  <c r="D136" i="84"/>
  <c r="D135" i="84"/>
  <c r="D134" i="84"/>
  <c r="D133" i="84"/>
  <c r="D132" i="84"/>
  <c r="D115" i="84"/>
  <c r="D114" i="84"/>
  <c r="D113" i="84"/>
  <c r="D112" i="84"/>
  <c r="D111" i="84"/>
  <c r="D110" i="84"/>
  <c r="D109" i="84"/>
  <c r="D108" i="84"/>
  <c r="D107" i="84"/>
  <c r="D90" i="84"/>
  <c r="D89" i="84"/>
  <c r="D88" i="84"/>
  <c r="D87" i="84"/>
  <c r="D86" i="84"/>
  <c r="D85" i="84"/>
  <c r="D84" i="84"/>
  <c r="D83" i="84"/>
  <c r="D82" i="84"/>
  <c r="D65" i="84"/>
  <c r="D64" i="84"/>
  <c r="D63" i="84"/>
  <c r="D62" i="84"/>
  <c r="D61" i="84"/>
  <c r="D60" i="84"/>
  <c r="D59" i="84"/>
  <c r="D58" i="84"/>
  <c r="D57" i="84"/>
  <c r="D40" i="84"/>
  <c r="D39" i="84"/>
  <c r="D38" i="84"/>
  <c r="D37" i="84"/>
  <c r="D36" i="84"/>
  <c r="D35" i="84"/>
  <c r="D34" i="84"/>
  <c r="D33" i="84"/>
  <c r="D32" i="84"/>
  <c r="D15" i="84"/>
  <c r="D14" i="84"/>
  <c r="D13" i="84"/>
  <c r="D12" i="84"/>
  <c r="D11" i="84"/>
  <c r="D10" i="84"/>
  <c r="D9" i="84"/>
  <c r="D8" i="84"/>
  <c r="D7" i="84"/>
  <c r="D140" i="45"/>
  <c r="D139" i="45"/>
  <c r="D138" i="45"/>
  <c r="D137" i="45"/>
  <c r="D136" i="45"/>
  <c r="D135" i="45"/>
  <c r="D134" i="45"/>
  <c r="D133" i="45"/>
  <c r="D132" i="45"/>
  <c r="D115" i="45"/>
  <c r="D114" i="45"/>
  <c r="D113" i="45"/>
  <c r="D112" i="45"/>
  <c r="D111" i="45"/>
  <c r="D110" i="45"/>
  <c r="D109" i="45"/>
  <c r="D108" i="45"/>
  <c r="D107" i="45"/>
  <c r="D90" i="45"/>
  <c r="D89" i="45"/>
  <c r="D88" i="45"/>
  <c r="D87" i="45"/>
  <c r="D86" i="45"/>
  <c r="D85" i="45"/>
  <c r="D84" i="45"/>
  <c r="D83" i="45"/>
  <c r="D82" i="45"/>
  <c r="D65" i="45"/>
  <c r="D64" i="45"/>
  <c r="D63" i="45"/>
  <c r="D62" i="45"/>
  <c r="D61" i="45"/>
  <c r="D60" i="45"/>
  <c r="D59" i="45"/>
  <c r="D58" i="45"/>
  <c r="D57" i="45"/>
  <c r="D40" i="45"/>
  <c r="D39" i="45"/>
  <c r="D38" i="45"/>
  <c r="D37" i="45"/>
  <c r="D36" i="45"/>
  <c r="D35" i="45"/>
  <c r="D34" i="45"/>
  <c r="D33" i="45"/>
  <c r="D32" i="45"/>
  <c r="D15" i="45"/>
  <c r="D14" i="45"/>
  <c r="D13" i="45"/>
  <c r="D12" i="45"/>
  <c r="D11" i="45"/>
  <c r="D10" i="45"/>
  <c r="D9" i="45"/>
  <c r="D8" i="45"/>
  <c r="D7" i="45"/>
  <c r="D140" i="41"/>
  <c r="D139" i="41"/>
  <c r="D138" i="41"/>
  <c r="D137" i="41"/>
  <c r="D136" i="41"/>
  <c r="D135" i="41"/>
  <c r="D134" i="41"/>
  <c r="D133" i="41"/>
  <c r="D132" i="41"/>
  <c r="D115" i="41"/>
  <c r="D114" i="41"/>
  <c r="D113" i="41"/>
  <c r="D112" i="41"/>
  <c r="D111" i="41"/>
  <c r="D110" i="41"/>
  <c r="D109" i="41"/>
  <c r="D108" i="41"/>
  <c r="D107" i="41"/>
  <c r="D90" i="41"/>
  <c r="D89" i="41"/>
  <c r="D88" i="41"/>
  <c r="D87" i="41"/>
  <c r="D86" i="41"/>
  <c r="D85" i="41"/>
  <c r="D84" i="41"/>
  <c r="D83" i="41"/>
  <c r="D82" i="41"/>
  <c r="D65" i="41"/>
  <c r="D64" i="41"/>
  <c r="D63" i="41"/>
  <c r="D62" i="41"/>
  <c r="D61" i="41"/>
  <c r="D60" i="41"/>
  <c r="D59" i="41"/>
  <c r="D58" i="41"/>
  <c r="D57" i="41"/>
  <c r="D40" i="41"/>
  <c r="D39" i="41"/>
  <c r="D38" i="41"/>
  <c r="D37" i="41"/>
  <c r="D36" i="41"/>
  <c r="D35" i="41"/>
  <c r="D34" i="41"/>
  <c r="D33" i="41"/>
  <c r="D32" i="41"/>
  <c r="D15" i="41"/>
  <c r="D14" i="41"/>
  <c r="D13" i="41"/>
  <c r="D12" i="41"/>
  <c r="D11" i="41"/>
  <c r="D10" i="41"/>
  <c r="D9" i="41"/>
  <c r="D8" i="41"/>
  <c r="D7" i="41"/>
  <c r="AT147" i="55"/>
  <c r="BC145" i="55"/>
  <c r="BB145" i="55"/>
  <c r="BA145" i="55"/>
  <c r="AZ145" i="55"/>
  <c r="AY145" i="55"/>
  <c r="AU145" i="55"/>
  <c r="AL145" i="55" s="1"/>
  <c r="BC144" i="55"/>
  <c r="BB144" i="55"/>
  <c r="BA144" i="55"/>
  <c r="AZ144" i="55"/>
  <c r="AY144" i="55"/>
  <c r="AU144" i="55"/>
  <c r="AL144" i="55" s="1"/>
  <c r="BC143" i="55"/>
  <c r="BB143" i="55"/>
  <c r="BA143" i="55"/>
  <c r="AZ143" i="55"/>
  <c r="AY143" i="55"/>
  <c r="AU143" i="55"/>
  <c r="AL143" i="55" s="1"/>
  <c r="BC142" i="55"/>
  <c r="BB142" i="55"/>
  <c r="BA142" i="55"/>
  <c r="AZ142" i="55"/>
  <c r="AY142" i="55"/>
  <c r="AU142" i="55"/>
  <c r="AN142" i="55" s="1"/>
  <c r="BC141" i="55"/>
  <c r="BB141" i="55"/>
  <c r="BA141" i="55"/>
  <c r="AZ141" i="55"/>
  <c r="AY141" i="55"/>
  <c r="AU141" i="55"/>
  <c r="AL141" i="55" s="1"/>
  <c r="BC140" i="55"/>
  <c r="BB140" i="55"/>
  <c r="BA140" i="55"/>
  <c r="AZ140" i="55"/>
  <c r="AY140" i="55"/>
  <c r="AU140" i="55"/>
  <c r="AL140" i="55" s="1"/>
  <c r="BC139" i="55"/>
  <c r="BB139" i="55"/>
  <c r="BA139" i="55"/>
  <c r="AZ139" i="55"/>
  <c r="AY139" i="55"/>
  <c r="AU139" i="55"/>
  <c r="AL139" i="55" s="1"/>
  <c r="BC138" i="55"/>
  <c r="BB138" i="55"/>
  <c r="BA138" i="55"/>
  <c r="AZ138" i="55"/>
  <c r="AY138" i="55"/>
  <c r="AU138" i="55"/>
  <c r="AL138" i="55" s="1"/>
  <c r="BC137" i="55"/>
  <c r="BB137" i="55"/>
  <c r="BA137" i="55"/>
  <c r="AZ137" i="55"/>
  <c r="AY137" i="55"/>
  <c r="AU137" i="55"/>
  <c r="AT147" i="57"/>
  <c r="BC145" i="57"/>
  <c r="BB145" i="57"/>
  <c r="BA145" i="57"/>
  <c r="AZ145" i="57"/>
  <c r="AY145" i="57"/>
  <c r="AU145" i="57"/>
  <c r="AL145" i="57" s="1"/>
  <c r="BC144" i="57"/>
  <c r="BB144" i="57"/>
  <c r="BA144" i="57"/>
  <c r="AZ144" i="57"/>
  <c r="AY144" i="57"/>
  <c r="AU144" i="57"/>
  <c r="AL144" i="57" s="1"/>
  <c r="BC143" i="57"/>
  <c r="BB143" i="57"/>
  <c r="BA143" i="57"/>
  <c r="AZ143" i="57"/>
  <c r="AY143" i="57"/>
  <c r="AU143" i="57"/>
  <c r="AL143" i="57" s="1"/>
  <c r="BC142" i="57"/>
  <c r="BB142" i="57"/>
  <c r="BA142" i="57"/>
  <c r="AZ142" i="57"/>
  <c r="AY142" i="57"/>
  <c r="AU142" i="57"/>
  <c r="AL142" i="57" s="1"/>
  <c r="BC141" i="57"/>
  <c r="BB141" i="57"/>
  <c r="BA141" i="57"/>
  <c r="AZ141" i="57"/>
  <c r="AY141" i="57"/>
  <c r="AU141" i="57"/>
  <c r="AL141" i="57" s="1"/>
  <c r="BC140" i="57"/>
  <c r="BB140" i="57"/>
  <c r="BA140" i="57"/>
  <c r="AZ140" i="57"/>
  <c r="AY140" i="57"/>
  <c r="AU140" i="57"/>
  <c r="AL140" i="57" s="1"/>
  <c r="BC139" i="57"/>
  <c r="BB139" i="57"/>
  <c r="BA139" i="57"/>
  <c r="AZ139" i="57"/>
  <c r="AY139" i="57"/>
  <c r="AU139" i="57"/>
  <c r="AL139" i="57" s="1"/>
  <c r="BC138" i="57"/>
  <c r="BB138" i="57"/>
  <c r="BA138" i="57"/>
  <c r="AZ138" i="57"/>
  <c r="AY138" i="57"/>
  <c r="AU138" i="57"/>
  <c r="AL138" i="57" s="1"/>
  <c r="BC137" i="57"/>
  <c r="BB137" i="57"/>
  <c r="BA137" i="57"/>
  <c r="AZ137" i="57"/>
  <c r="AY137" i="57"/>
  <c r="AU137" i="57"/>
  <c r="AL137" i="57" s="1"/>
  <c r="AT147" i="58"/>
  <c r="BC145" i="58"/>
  <c r="BB145" i="58"/>
  <c r="BA145" i="58"/>
  <c r="AZ145" i="58"/>
  <c r="AY145" i="58"/>
  <c r="AU145" i="58"/>
  <c r="AL145" i="58" s="1"/>
  <c r="BC144" i="58"/>
  <c r="BB144" i="58"/>
  <c r="BA144" i="58"/>
  <c r="AZ144" i="58"/>
  <c r="AY144" i="58"/>
  <c r="AU144" i="58"/>
  <c r="AL144" i="58" s="1"/>
  <c r="BC143" i="58"/>
  <c r="BB143" i="58"/>
  <c r="BA143" i="58"/>
  <c r="AZ143" i="58"/>
  <c r="AY143" i="58"/>
  <c r="AU143" i="58"/>
  <c r="AL143" i="58" s="1"/>
  <c r="BC142" i="58"/>
  <c r="BB142" i="58"/>
  <c r="BA142" i="58"/>
  <c r="AZ142" i="58"/>
  <c r="AY142" i="58"/>
  <c r="AU142" i="58"/>
  <c r="AL142" i="58" s="1"/>
  <c r="BC141" i="58"/>
  <c r="BB141" i="58"/>
  <c r="BA141" i="58"/>
  <c r="AZ141" i="58"/>
  <c r="AY141" i="58"/>
  <c r="AU141" i="58"/>
  <c r="AL141" i="58" s="1"/>
  <c r="BC140" i="58"/>
  <c r="BB140" i="58"/>
  <c r="BA140" i="58"/>
  <c r="AZ140" i="58"/>
  <c r="AY140" i="58"/>
  <c r="AU140" i="58"/>
  <c r="AL140" i="58" s="1"/>
  <c r="BC139" i="58"/>
  <c r="BB139" i="58"/>
  <c r="BA139" i="58"/>
  <c r="AZ139" i="58"/>
  <c r="AY139" i="58"/>
  <c r="AU139" i="58"/>
  <c r="AL139" i="58" s="1"/>
  <c r="BC138" i="58"/>
  <c r="BB138" i="58"/>
  <c r="BA138" i="58"/>
  <c r="AZ138" i="58"/>
  <c r="AY138" i="58"/>
  <c r="AU138" i="58"/>
  <c r="AL138" i="58" s="1"/>
  <c r="BC137" i="58"/>
  <c r="BB137" i="58"/>
  <c r="BA137" i="58"/>
  <c r="AZ137" i="58"/>
  <c r="AY137" i="58"/>
  <c r="AU137" i="58"/>
  <c r="AL137" i="58" s="1"/>
  <c r="AT147" i="59"/>
  <c r="BC145" i="59"/>
  <c r="BB145" i="59"/>
  <c r="BA145" i="59"/>
  <c r="AZ145" i="59"/>
  <c r="AY145" i="59"/>
  <c r="AW145" i="59" s="1"/>
  <c r="AU145" i="59"/>
  <c r="AL145" i="59" s="1"/>
  <c r="BC144" i="59"/>
  <c r="BB144" i="59"/>
  <c r="BA144" i="59"/>
  <c r="AZ144" i="59"/>
  <c r="AY144" i="59"/>
  <c r="AU144" i="59"/>
  <c r="AL144" i="59" s="1"/>
  <c r="BC143" i="59"/>
  <c r="BB143" i="59"/>
  <c r="BA143" i="59"/>
  <c r="AZ143" i="59"/>
  <c r="AY143" i="59"/>
  <c r="AU143" i="59"/>
  <c r="AL143" i="59" s="1"/>
  <c r="BC142" i="59"/>
  <c r="BB142" i="59"/>
  <c r="BA142" i="59"/>
  <c r="AZ142" i="59"/>
  <c r="AY142" i="59"/>
  <c r="AU142" i="59"/>
  <c r="AL142" i="59" s="1"/>
  <c r="BC141" i="59"/>
  <c r="BB141" i="59"/>
  <c r="BA141" i="59"/>
  <c r="AZ141" i="59"/>
  <c r="AY141" i="59"/>
  <c r="AU141" i="59"/>
  <c r="AL141" i="59" s="1"/>
  <c r="BC140" i="59"/>
  <c r="BB140" i="59"/>
  <c r="BA140" i="59"/>
  <c r="AZ140" i="59"/>
  <c r="AY140" i="59"/>
  <c r="AU140" i="59"/>
  <c r="AL140" i="59" s="1"/>
  <c r="BC139" i="59"/>
  <c r="BB139" i="59"/>
  <c r="BA139" i="59"/>
  <c r="AZ139" i="59"/>
  <c r="AY139" i="59"/>
  <c r="AU139" i="59"/>
  <c r="AL139" i="59" s="1"/>
  <c r="BC138" i="59"/>
  <c r="BB138" i="59"/>
  <c r="BA138" i="59"/>
  <c r="AZ138" i="59"/>
  <c r="AY138" i="59"/>
  <c r="AU138" i="59"/>
  <c r="AL138" i="59" s="1"/>
  <c r="BC137" i="59"/>
  <c r="BB137" i="59"/>
  <c r="BA137" i="59"/>
  <c r="AZ137" i="59"/>
  <c r="AY137" i="59"/>
  <c r="AU137" i="59"/>
  <c r="AL137" i="59" s="1"/>
  <c r="AT147" i="53"/>
  <c r="BC145" i="53"/>
  <c r="BB145" i="53"/>
  <c r="BA145" i="53"/>
  <c r="AZ145" i="53"/>
  <c r="AY145" i="53"/>
  <c r="AU145" i="53"/>
  <c r="AL145" i="53" s="1"/>
  <c r="BC144" i="53"/>
  <c r="BB144" i="53"/>
  <c r="BA144" i="53"/>
  <c r="AZ144" i="53"/>
  <c r="AY144" i="53"/>
  <c r="AU144" i="53"/>
  <c r="AL144" i="53" s="1"/>
  <c r="BC143" i="53"/>
  <c r="BB143" i="53"/>
  <c r="BA143" i="53"/>
  <c r="AZ143" i="53"/>
  <c r="AY143" i="53"/>
  <c r="AU143" i="53"/>
  <c r="AL143" i="53" s="1"/>
  <c r="BC142" i="53"/>
  <c r="BB142" i="53"/>
  <c r="BA142" i="53"/>
  <c r="AZ142" i="53"/>
  <c r="AY142" i="53"/>
  <c r="AU142" i="53"/>
  <c r="AL142" i="53" s="1"/>
  <c r="BC141" i="53"/>
  <c r="BB141" i="53"/>
  <c r="BA141" i="53"/>
  <c r="AZ141" i="53"/>
  <c r="AY141" i="53"/>
  <c r="AU141" i="53"/>
  <c r="AL141" i="53" s="1"/>
  <c r="BC140" i="53"/>
  <c r="BB140" i="53"/>
  <c r="BA140" i="53"/>
  <c r="AZ140" i="53"/>
  <c r="AY140" i="53"/>
  <c r="AU140" i="53"/>
  <c r="AL140" i="53" s="1"/>
  <c r="BC139" i="53"/>
  <c r="BB139" i="53"/>
  <c r="BA139" i="53"/>
  <c r="AZ139" i="53"/>
  <c r="AY139" i="53"/>
  <c r="AU139" i="53"/>
  <c r="AL139" i="53" s="1"/>
  <c r="BC138" i="53"/>
  <c r="BB138" i="53"/>
  <c r="BA138" i="53"/>
  <c r="AZ138" i="53"/>
  <c r="AY138" i="53"/>
  <c r="AU138" i="53"/>
  <c r="AL138" i="53" s="1"/>
  <c r="BC137" i="53"/>
  <c r="BB137" i="53"/>
  <c r="BA137" i="53"/>
  <c r="AZ137" i="53"/>
  <c r="AY137" i="53"/>
  <c r="AU137" i="53"/>
  <c r="AL137" i="53" s="1"/>
  <c r="AT147" i="52"/>
  <c r="BC145" i="52"/>
  <c r="BB145" i="52"/>
  <c r="BA145" i="52"/>
  <c r="AZ145" i="52"/>
  <c r="AY145" i="52"/>
  <c r="AU145" i="52"/>
  <c r="AL145" i="52" s="1"/>
  <c r="BC144" i="52"/>
  <c r="BB144" i="52"/>
  <c r="BA144" i="52"/>
  <c r="AZ144" i="52"/>
  <c r="AY144" i="52"/>
  <c r="AU144" i="52"/>
  <c r="AN144" i="52" s="1"/>
  <c r="BC143" i="52"/>
  <c r="BB143" i="52"/>
  <c r="BA143" i="52"/>
  <c r="AZ143" i="52"/>
  <c r="AY143" i="52"/>
  <c r="AU143" i="52"/>
  <c r="BC142" i="52"/>
  <c r="BB142" i="52"/>
  <c r="BA142" i="52"/>
  <c r="AZ142" i="52"/>
  <c r="AY142" i="52"/>
  <c r="AU142" i="52"/>
  <c r="AL142" i="52" s="1"/>
  <c r="BC141" i="52"/>
  <c r="BB141" i="52"/>
  <c r="BA141" i="52"/>
  <c r="AZ141" i="52"/>
  <c r="AY141" i="52"/>
  <c r="AU141" i="52"/>
  <c r="AL141" i="52" s="1"/>
  <c r="BC140" i="52"/>
  <c r="BB140" i="52"/>
  <c r="BA140" i="52"/>
  <c r="AZ140" i="52"/>
  <c r="AY140" i="52"/>
  <c r="AU140" i="52"/>
  <c r="AL140" i="52" s="1"/>
  <c r="BC139" i="52"/>
  <c r="BB139" i="52"/>
  <c r="BA139" i="52"/>
  <c r="AZ139" i="52"/>
  <c r="AY139" i="52"/>
  <c r="AU139" i="52"/>
  <c r="AL139" i="52" s="1"/>
  <c r="BC138" i="52"/>
  <c r="BB138" i="52"/>
  <c r="BA138" i="52"/>
  <c r="AZ138" i="52"/>
  <c r="AY138" i="52"/>
  <c r="AU138" i="52"/>
  <c r="AL138" i="52" s="1"/>
  <c r="BC137" i="52"/>
  <c r="BB137" i="52"/>
  <c r="BA137" i="52"/>
  <c r="AZ137" i="52"/>
  <c r="AY137" i="52"/>
  <c r="AU137" i="52"/>
  <c r="AL137" i="52" s="1"/>
  <c r="AT121" i="55"/>
  <c r="BC119" i="55"/>
  <c r="BB119" i="55"/>
  <c r="BA119" i="55"/>
  <c r="AZ119" i="55"/>
  <c r="AY119" i="55"/>
  <c r="AU119" i="55"/>
  <c r="AL119" i="55" s="1"/>
  <c r="BC118" i="55"/>
  <c r="BB118" i="55"/>
  <c r="BA118" i="55"/>
  <c r="AZ118" i="55"/>
  <c r="AY118" i="55"/>
  <c r="AU118" i="55"/>
  <c r="AL118" i="55" s="1"/>
  <c r="BC117" i="55"/>
  <c r="BB117" i="55"/>
  <c r="BA117" i="55"/>
  <c r="AZ117" i="55"/>
  <c r="AY117" i="55"/>
  <c r="AU117" i="55"/>
  <c r="AL117" i="55" s="1"/>
  <c r="BC116" i="55"/>
  <c r="BB116" i="55"/>
  <c r="BA116" i="55"/>
  <c r="AZ116" i="55"/>
  <c r="AY116" i="55"/>
  <c r="AU116" i="55"/>
  <c r="AL116" i="55" s="1"/>
  <c r="BC115" i="55"/>
  <c r="BB115" i="55"/>
  <c r="BA115" i="55"/>
  <c r="AZ115" i="55"/>
  <c r="AY115" i="55"/>
  <c r="AU115" i="55"/>
  <c r="AL115" i="55" s="1"/>
  <c r="BC114" i="55"/>
  <c r="BB114" i="55"/>
  <c r="BA114" i="55"/>
  <c r="AZ114" i="55"/>
  <c r="AY114" i="55"/>
  <c r="AU114" i="55"/>
  <c r="AL114" i="55" s="1"/>
  <c r="BC113" i="55"/>
  <c r="BB113" i="55"/>
  <c r="BA113" i="55"/>
  <c r="AZ113" i="55"/>
  <c r="AY113" i="55"/>
  <c r="AU113" i="55"/>
  <c r="AL113" i="55" s="1"/>
  <c r="BC112" i="55"/>
  <c r="BB112" i="55"/>
  <c r="BA112" i="55"/>
  <c r="AZ112" i="55"/>
  <c r="AY112" i="55"/>
  <c r="BF112" i="55" s="1"/>
  <c r="AU112" i="55"/>
  <c r="AL112" i="55" s="1"/>
  <c r="BC111" i="55"/>
  <c r="BB111" i="55"/>
  <c r="BA111" i="55"/>
  <c r="AZ111" i="55"/>
  <c r="AY111" i="55"/>
  <c r="AU111" i="55"/>
  <c r="AL111" i="55" s="1"/>
  <c r="AT121" i="57"/>
  <c r="BC119" i="57"/>
  <c r="BB119" i="57"/>
  <c r="BA119" i="57"/>
  <c r="AZ119" i="57"/>
  <c r="AY119" i="57"/>
  <c r="AU119" i="57"/>
  <c r="AL119" i="57" s="1"/>
  <c r="BC118" i="57"/>
  <c r="BB118" i="57"/>
  <c r="BA118" i="57"/>
  <c r="AZ118" i="57"/>
  <c r="AY118" i="57"/>
  <c r="AU118" i="57"/>
  <c r="AL118" i="57" s="1"/>
  <c r="BC117" i="57"/>
  <c r="BB117" i="57"/>
  <c r="BA117" i="57"/>
  <c r="AZ117" i="57"/>
  <c r="AY117" i="57"/>
  <c r="AU117" i="57"/>
  <c r="AL117" i="57" s="1"/>
  <c r="BC116" i="57"/>
  <c r="BB116" i="57"/>
  <c r="BA116" i="57"/>
  <c r="AZ116" i="57"/>
  <c r="AY116" i="57"/>
  <c r="AU116" i="57"/>
  <c r="AL116" i="57" s="1"/>
  <c r="BC115" i="57"/>
  <c r="BB115" i="57"/>
  <c r="BA115" i="57"/>
  <c r="AZ115" i="57"/>
  <c r="AY115" i="57"/>
  <c r="AU115" i="57"/>
  <c r="AL115" i="57" s="1"/>
  <c r="BC114" i="57"/>
  <c r="BB114" i="57"/>
  <c r="BA114" i="57"/>
  <c r="AZ114" i="57"/>
  <c r="AY114" i="57"/>
  <c r="AU114" i="57"/>
  <c r="AL114" i="57" s="1"/>
  <c r="BC113" i="57"/>
  <c r="BB113" i="57"/>
  <c r="BA113" i="57"/>
  <c r="AZ113" i="57"/>
  <c r="AY113" i="57"/>
  <c r="AX113" i="57" s="1"/>
  <c r="AU113" i="57"/>
  <c r="AL113" i="57" s="1"/>
  <c r="BC112" i="57"/>
  <c r="BB112" i="57"/>
  <c r="BA112" i="57"/>
  <c r="AZ112" i="57"/>
  <c r="AY112" i="57"/>
  <c r="AU112" i="57"/>
  <c r="BC111" i="57"/>
  <c r="BB111" i="57"/>
  <c r="BA111" i="57"/>
  <c r="AZ111" i="57"/>
  <c r="AY111" i="57"/>
  <c r="BJ111" i="57" s="1"/>
  <c r="AU111" i="57"/>
  <c r="AL111" i="57" s="1"/>
  <c r="AT121" i="58"/>
  <c r="BC119" i="58"/>
  <c r="BB119" i="58"/>
  <c r="BA119" i="58"/>
  <c r="AZ119" i="58"/>
  <c r="AY119" i="58"/>
  <c r="AU119" i="58"/>
  <c r="AL119" i="58" s="1"/>
  <c r="BC118" i="58"/>
  <c r="BB118" i="58"/>
  <c r="BA118" i="58"/>
  <c r="AZ118" i="58"/>
  <c r="AY118" i="58"/>
  <c r="AU118" i="58"/>
  <c r="AL118" i="58" s="1"/>
  <c r="BC117" i="58"/>
  <c r="BB117" i="58"/>
  <c r="BA117" i="58"/>
  <c r="AZ117" i="58"/>
  <c r="AY117" i="58"/>
  <c r="AU117" i="58"/>
  <c r="AL117" i="58" s="1"/>
  <c r="BC116" i="58"/>
  <c r="BB116" i="58"/>
  <c r="BA116" i="58"/>
  <c r="AZ116" i="58"/>
  <c r="AY116" i="58"/>
  <c r="AU116" i="58"/>
  <c r="AL116" i="58" s="1"/>
  <c r="BC115" i="58"/>
  <c r="BB115" i="58"/>
  <c r="BA115" i="58"/>
  <c r="AZ115" i="58"/>
  <c r="AY115" i="58"/>
  <c r="AU115" i="58"/>
  <c r="AL115" i="58" s="1"/>
  <c r="BC114" i="58"/>
  <c r="BB114" i="58"/>
  <c r="BA114" i="58"/>
  <c r="AZ114" i="58"/>
  <c r="AY114" i="58"/>
  <c r="AU114" i="58"/>
  <c r="AL114" i="58" s="1"/>
  <c r="BC113" i="58"/>
  <c r="BB113" i="58"/>
  <c r="BA113" i="58"/>
  <c r="AZ113" i="58"/>
  <c r="AY113" i="58"/>
  <c r="AU113" i="58"/>
  <c r="AL113" i="58" s="1"/>
  <c r="BC112" i="58"/>
  <c r="BB112" i="58"/>
  <c r="BA112" i="58"/>
  <c r="AZ112" i="58"/>
  <c r="AY112" i="58"/>
  <c r="AU112" i="58"/>
  <c r="AL112" i="58" s="1"/>
  <c r="BC111" i="58"/>
  <c r="BB111" i="58"/>
  <c r="BA111" i="58"/>
  <c r="AZ111" i="58"/>
  <c r="AY111" i="58"/>
  <c r="AU111" i="58"/>
  <c r="AL111" i="58" s="1"/>
  <c r="AT121" i="59"/>
  <c r="BC119" i="59"/>
  <c r="BB119" i="59"/>
  <c r="BA119" i="59"/>
  <c r="AZ119" i="59"/>
  <c r="AY119" i="59"/>
  <c r="AU119" i="59"/>
  <c r="AL119" i="59" s="1"/>
  <c r="BC118" i="59"/>
  <c r="BB118" i="59"/>
  <c r="BA118" i="59"/>
  <c r="AZ118" i="59"/>
  <c r="AY118" i="59"/>
  <c r="AU118" i="59"/>
  <c r="AL118" i="59" s="1"/>
  <c r="BC117" i="59"/>
  <c r="BB117" i="59"/>
  <c r="BA117" i="59"/>
  <c r="AZ117" i="59"/>
  <c r="AY117" i="59"/>
  <c r="AU117" i="59"/>
  <c r="AL117" i="59" s="1"/>
  <c r="BC116" i="59"/>
  <c r="BB116" i="59"/>
  <c r="BA116" i="59"/>
  <c r="AZ116" i="59"/>
  <c r="AY116" i="59"/>
  <c r="AU116" i="59"/>
  <c r="AL116" i="59" s="1"/>
  <c r="BC115" i="59"/>
  <c r="BB115" i="59"/>
  <c r="BA115" i="59"/>
  <c r="AZ115" i="59"/>
  <c r="AY115" i="59"/>
  <c r="AU115" i="59"/>
  <c r="AN115" i="59" s="1"/>
  <c r="BC114" i="59"/>
  <c r="BB114" i="59"/>
  <c r="BA114" i="59"/>
  <c r="AZ114" i="59"/>
  <c r="AY114" i="59"/>
  <c r="AU114" i="59"/>
  <c r="AL114" i="59" s="1"/>
  <c r="BC113" i="59"/>
  <c r="BB113" i="59"/>
  <c r="BA113" i="59"/>
  <c r="AZ113" i="59"/>
  <c r="AY113" i="59"/>
  <c r="AU113" i="59"/>
  <c r="AL113" i="59" s="1"/>
  <c r="BC112" i="59"/>
  <c r="BB112" i="59"/>
  <c r="BA112" i="59"/>
  <c r="AZ112" i="59"/>
  <c r="AY112" i="59"/>
  <c r="AU112" i="59"/>
  <c r="AL112" i="59" s="1"/>
  <c r="BC111" i="59"/>
  <c r="BB111" i="59"/>
  <c r="BA111" i="59"/>
  <c r="AZ111" i="59"/>
  <c r="AY111" i="59"/>
  <c r="AU111" i="59"/>
  <c r="AL111" i="59" s="1"/>
  <c r="AT121" i="53"/>
  <c r="BC119" i="53"/>
  <c r="BB119" i="53"/>
  <c r="BA119" i="53"/>
  <c r="AZ119" i="53"/>
  <c r="AY119" i="53"/>
  <c r="AU119" i="53"/>
  <c r="AL119" i="53" s="1"/>
  <c r="BC118" i="53"/>
  <c r="BB118" i="53"/>
  <c r="BA118" i="53"/>
  <c r="AZ118" i="53"/>
  <c r="AY118" i="53"/>
  <c r="AU118" i="53"/>
  <c r="AL118" i="53" s="1"/>
  <c r="BC117" i="53"/>
  <c r="BB117" i="53"/>
  <c r="BA117" i="53"/>
  <c r="AZ117" i="53"/>
  <c r="AY117" i="53"/>
  <c r="AU117" i="53"/>
  <c r="AL117" i="53" s="1"/>
  <c r="BC116" i="53"/>
  <c r="BB116" i="53"/>
  <c r="BA116" i="53"/>
  <c r="AZ116" i="53"/>
  <c r="AY116" i="53"/>
  <c r="AU116" i="53"/>
  <c r="AL116" i="53" s="1"/>
  <c r="BC115" i="53"/>
  <c r="BB115" i="53"/>
  <c r="BA115" i="53"/>
  <c r="AZ115" i="53"/>
  <c r="AY115" i="53"/>
  <c r="AU115" i="53"/>
  <c r="AL115" i="53" s="1"/>
  <c r="BC114" i="53"/>
  <c r="BB114" i="53"/>
  <c r="BA114" i="53"/>
  <c r="AZ114" i="53"/>
  <c r="AY114" i="53"/>
  <c r="AU114" i="53"/>
  <c r="AL114" i="53" s="1"/>
  <c r="BC113" i="53"/>
  <c r="BB113" i="53"/>
  <c r="BA113" i="53"/>
  <c r="AZ113" i="53"/>
  <c r="AY113" i="53"/>
  <c r="AU113" i="53"/>
  <c r="AL113" i="53" s="1"/>
  <c r="BC112" i="53"/>
  <c r="BB112" i="53"/>
  <c r="BA112" i="53"/>
  <c r="AZ112" i="53"/>
  <c r="AY112" i="53"/>
  <c r="AU112" i="53"/>
  <c r="AL112" i="53" s="1"/>
  <c r="BC111" i="53"/>
  <c r="BB111" i="53"/>
  <c r="BA111" i="53"/>
  <c r="AZ111" i="53"/>
  <c r="AY111" i="53"/>
  <c r="AU111" i="53"/>
  <c r="AL111" i="53" s="1"/>
  <c r="BC119" i="52"/>
  <c r="BB119" i="52"/>
  <c r="BA119" i="52"/>
  <c r="AZ119" i="52"/>
  <c r="AY119" i="52"/>
  <c r="AU119" i="52"/>
  <c r="AL119" i="52" s="1"/>
  <c r="BC118" i="52"/>
  <c r="BB118" i="52"/>
  <c r="BA118" i="52"/>
  <c r="AZ118" i="52"/>
  <c r="AY118" i="52"/>
  <c r="AU118" i="52"/>
  <c r="AL118" i="52" s="1"/>
  <c r="BC117" i="52"/>
  <c r="BB117" i="52"/>
  <c r="BA117" i="52"/>
  <c r="AZ117" i="52"/>
  <c r="AY117" i="52"/>
  <c r="AU117" i="52"/>
  <c r="AL117" i="52" s="1"/>
  <c r="BC116" i="52"/>
  <c r="BB116" i="52"/>
  <c r="BA116" i="52"/>
  <c r="AZ116" i="52"/>
  <c r="AY116" i="52"/>
  <c r="AU116" i="52"/>
  <c r="BC115" i="52"/>
  <c r="BB115" i="52"/>
  <c r="BA115" i="52"/>
  <c r="AZ115" i="52"/>
  <c r="AY115" i="52"/>
  <c r="AU115" i="52"/>
  <c r="AL115" i="52"/>
  <c r="BC114" i="52"/>
  <c r="BB114" i="52"/>
  <c r="BA114" i="52"/>
  <c r="AZ114" i="52"/>
  <c r="AY114" i="52"/>
  <c r="AU114" i="52"/>
  <c r="AL114" i="52" s="1"/>
  <c r="BC113" i="52"/>
  <c r="BB113" i="52"/>
  <c r="BA113" i="52"/>
  <c r="AZ113" i="52"/>
  <c r="AY113" i="52"/>
  <c r="AU113" i="52"/>
  <c r="AL113" i="52" s="1"/>
  <c r="BC112" i="52"/>
  <c r="BB112" i="52"/>
  <c r="BA112" i="52"/>
  <c r="AZ112" i="52"/>
  <c r="AY112" i="52"/>
  <c r="AU112" i="52"/>
  <c r="AL112" i="52" s="1"/>
  <c r="BC111" i="52"/>
  <c r="BB111" i="52"/>
  <c r="BA111" i="52"/>
  <c r="AZ111" i="52"/>
  <c r="AY111" i="52"/>
  <c r="AU111" i="52"/>
  <c r="AL111" i="52" s="1"/>
  <c r="AT95" i="55"/>
  <c r="BC93" i="55"/>
  <c r="BB93" i="55"/>
  <c r="BA93" i="55"/>
  <c r="AZ93" i="55"/>
  <c r="AY93" i="55"/>
  <c r="AU93" i="55"/>
  <c r="AL93" i="55" s="1"/>
  <c r="BC92" i="55"/>
  <c r="BB92" i="55"/>
  <c r="BA92" i="55"/>
  <c r="AZ92" i="55"/>
  <c r="AY92" i="55"/>
  <c r="AU92" i="55"/>
  <c r="AL92" i="55" s="1"/>
  <c r="BC91" i="55"/>
  <c r="BB91" i="55"/>
  <c r="BA91" i="55"/>
  <c r="AZ91" i="55"/>
  <c r="AY91" i="55"/>
  <c r="AU91" i="55"/>
  <c r="AL91" i="55" s="1"/>
  <c r="BC90" i="55"/>
  <c r="BB90" i="55"/>
  <c r="BA90" i="55"/>
  <c r="AZ90" i="55"/>
  <c r="AY90" i="55"/>
  <c r="AU90" i="55"/>
  <c r="AL90" i="55" s="1"/>
  <c r="BC89" i="55"/>
  <c r="BB89" i="55"/>
  <c r="BA89" i="55"/>
  <c r="AZ89" i="55"/>
  <c r="AY89" i="55"/>
  <c r="AU89" i="55"/>
  <c r="AL89" i="55" s="1"/>
  <c r="BC88" i="55"/>
  <c r="BB88" i="55"/>
  <c r="BA88" i="55"/>
  <c r="AZ88" i="55"/>
  <c r="AY88" i="55"/>
  <c r="AU88" i="55"/>
  <c r="AL88" i="55" s="1"/>
  <c r="BC87" i="55"/>
  <c r="BB87" i="55"/>
  <c r="BA87" i="55"/>
  <c r="AZ87" i="55"/>
  <c r="AY87" i="55"/>
  <c r="BK87" i="55" s="1"/>
  <c r="AU87" i="55"/>
  <c r="AL87" i="55" s="1"/>
  <c r="BC86" i="55"/>
  <c r="BB86" i="55"/>
  <c r="BA86" i="55"/>
  <c r="AZ86" i="55"/>
  <c r="AY86" i="55"/>
  <c r="AU86" i="55"/>
  <c r="AM86" i="55" s="1"/>
  <c r="BC85" i="55"/>
  <c r="BB85" i="55"/>
  <c r="BA85" i="55"/>
  <c r="AZ85" i="55"/>
  <c r="AY85" i="55"/>
  <c r="AU85" i="55"/>
  <c r="AL85" i="55" s="1"/>
  <c r="AT95" i="57"/>
  <c r="BC93" i="57"/>
  <c r="BB93" i="57"/>
  <c r="BA93" i="57"/>
  <c r="AZ93" i="57"/>
  <c r="AY93" i="57"/>
  <c r="AU93" i="57"/>
  <c r="AL93" i="57" s="1"/>
  <c r="BC92" i="57"/>
  <c r="BB92" i="57"/>
  <c r="BA92" i="57"/>
  <c r="AZ92" i="57"/>
  <c r="AY92" i="57"/>
  <c r="AU92" i="57"/>
  <c r="BC91" i="57"/>
  <c r="BB91" i="57"/>
  <c r="BA91" i="57"/>
  <c r="AZ91" i="57"/>
  <c r="AY91" i="57"/>
  <c r="AU91" i="57"/>
  <c r="AL91" i="57" s="1"/>
  <c r="BC90" i="57"/>
  <c r="BB90" i="57"/>
  <c r="BA90" i="57"/>
  <c r="AZ90" i="57"/>
  <c r="AY90" i="57"/>
  <c r="AU90" i="57"/>
  <c r="AL90" i="57" s="1"/>
  <c r="BC89" i="57"/>
  <c r="BB89" i="57"/>
  <c r="BA89" i="57"/>
  <c r="AZ89" i="57"/>
  <c r="AY89" i="57"/>
  <c r="AU89" i="57"/>
  <c r="AL89" i="57" s="1"/>
  <c r="BC88" i="57"/>
  <c r="BB88" i="57"/>
  <c r="BA88" i="57"/>
  <c r="AZ88" i="57"/>
  <c r="AY88" i="57"/>
  <c r="AU88" i="57"/>
  <c r="AL88" i="57" s="1"/>
  <c r="BC87" i="57"/>
  <c r="BB87" i="57"/>
  <c r="BA87" i="57"/>
  <c r="AZ87" i="57"/>
  <c r="AY87" i="57"/>
  <c r="AU87" i="57"/>
  <c r="AL87" i="57" s="1"/>
  <c r="BC86" i="57"/>
  <c r="BB86" i="57"/>
  <c r="BA86" i="57"/>
  <c r="AZ86" i="57"/>
  <c r="AY86" i="57"/>
  <c r="AU86" i="57"/>
  <c r="BC85" i="57"/>
  <c r="BB85" i="57"/>
  <c r="BA85" i="57"/>
  <c r="AZ85" i="57"/>
  <c r="AY85" i="57"/>
  <c r="AU85" i="57"/>
  <c r="AL85" i="57" s="1"/>
  <c r="AT95" i="58"/>
  <c r="BC93" i="58"/>
  <c r="BB93" i="58"/>
  <c r="BA93" i="58"/>
  <c r="AZ93" i="58"/>
  <c r="AY93" i="58"/>
  <c r="AU93" i="58"/>
  <c r="BC92" i="58"/>
  <c r="BB92" i="58"/>
  <c r="BA92" i="58"/>
  <c r="AZ92" i="58"/>
  <c r="AY92" i="58"/>
  <c r="AU92" i="58"/>
  <c r="AL92" i="58" s="1"/>
  <c r="BC91" i="58"/>
  <c r="BB91" i="58"/>
  <c r="BA91" i="58"/>
  <c r="AZ91" i="58"/>
  <c r="AY91" i="58"/>
  <c r="AU91" i="58"/>
  <c r="AL91" i="58" s="1"/>
  <c r="BC90" i="58"/>
  <c r="BB90" i="58"/>
  <c r="BA90" i="58"/>
  <c r="AZ90" i="58"/>
  <c r="AY90" i="58"/>
  <c r="AU90" i="58"/>
  <c r="AL90" i="58" s="1"/>
  <c r="BC89" i="58"/>
  <c r="BB89" i="58"/>
  <c r="BA89" i="58"/>
  <c r="AZ89" i="58"/>
  <c r="AY89" i="58"/>
  <c r="AU89" i="58"/>
  <c r="AL89" i="58" s="1"/>
  <c r="BC88" i="58"/>
  <c r="BB88" i="58"/>
  <c r="BA88" i="58"/>
  <c r="AZ88" i="58"/>
  <c r="AY88" i="58"/>
  <c r="AU88" i="58"/>
  <c r="AL88" i="58" s="1"/>
  <c r="BC87" i="58"/>
  <c r="BB87" i="58"/>
  <c r="BA87" i="58"/>
  <c r="AZ87" i="58"/>
  <c r="AY87" i="58"/>
  <c r="AU87" i="58"/>
  <c r="AL87" i="58" s="1"/>
  <c r="BC86" i="58"/>
  <c r="BB86" i="58"/>
  <c r="BA86" i="58"/>
  <c r="AZ86" i="58"/>
  <c r="AY86" i="58"/>
  <c r="AU86" i="58"/>
  <c r="AL86" i="58" s="1"/>
  <c r="BC85" i="58"/>
  <c r="BB85" i="58"/>
  <c r="BA85" i="58"/>
  <c r="AZ85" i="58"/>
  <c r="AY85" i="58"/>
  <c r="AU85" i="58"/>
  <c r="AL85" i="58" s="1"/>
  <c r="AT95" i="59"/>
  <c r="BC93" i="59"/>
  <c r="BB93" i="59"/>
  <c r="BA93" i="59"/>
  <c r="AZ93" i="59"/>
  <c r="AY93" i="59"/>
  <c r="AU93" i="59"/>
  <c r="AL93" i="59" s="1"/>
  <c r="BC92" i="59"/>
  <c r="BB92" i="59"/>
  <c r="BA92" i="59"/>
  <c r="AZ92" i="59"/>
  <c r="AY92" i="59"/>
  <c r="AU92" i="59"/>
  <c r="AL92" i="59" s="1"/>
  <c r="BC91" i="59"/>
  <c r="BB91" i="59"/>
  <c r="BA91" i="59"/>
  <c r="AZ91" i="59"/>
  <c r="AY91" i="59"/>
  <c r="AU91" i="59"/>
  <c r="AL91" i="59" s="1"/>
  <c r="BC90" i="59"/>
  <c r="BB90" i="59"/>
  <c r="BA90" i="59"/>
  <c r="AZ90" i="59"/>
  <c r="AY90" i="59"/>
  <c r="AU90" i="59"/>
  <c r="AL90" i="59" s="1"/>
  <c r="BC89" i="59"/>
  <c r="BB89" i="59"/>
  <c r="BA89" i="59"/>
  <c r="AZ89" i="59"/>
  <c r="AY89" i="59"/>
  <c r="AU89" i="59"/>
  <c r="AL89" i="59" s="1"/>
  <c r="BC88" i="59"/>
  <c r="BB88" i="59"/>
  <c r="BA88" i="59"/>
  <c r="AZ88" i="59"/>
  <c r="AY88" i="59"/>
  <c r="AU88" i="59"/>
  <c r="AL88" i="59" s="1"/>
  <c r="BC87" i="59"/>
  <c r="BB87" i="59"/>
  <c r="BA87" i="59"/>
  <c r="AZ87" i="59"/>
  <c r="AY87" i="59"/>
  <c r="AU87" i="59"/>
  <c r="AL87" i="59" s="1"/>
  <c r="BC86" i="59"/>
  <c r="BB86" i="59"/>
  <c r="BA86" i="59"/>
  <c r="AZ86" i="59"/>
  <c r="AY86" i="59"/>
  <c r="AU86" i="59"/>
  <c r="AL86" i="59" s="1"/>
  <c r="BC85" i="59"/>
  <c r="BB85" i="59"/>
  <c r="BA85" i="59"/>
  <c r="AZ85" i="59"/>
  <c r="AY85" i="59"/>
  <c r="AU85" i="59"/>
  <c r="AL85" i="59" s="1"/>
  <c r="AT95" i="53"/>
  <c r="BC93" i="53"/>
  <c r="BB93" i="53"/>
  <c r="BA93" i="53"/>
  <c r="AZ93" i="53"/>
  <c r="AY93" i="53"/>
  <c r="AU93" i="53"/>
  <c r="AL93" i="53" s="1"/>
  <c r="BC92" i="53"/>
  <c r="BB92" i="53"/>
  <c r="BA92" i="53"/>
  <c r="AZ92" i="53"/>
  <c r="AY92" i="53"/>
  <c r="AU92" i="53"/>
  <c r="AL92" i="53" s="1"/>
  <c r="BC91" i="53"/>
  <c r="BB91" i="53"/>
  <c r="BA91" i="53"/>
  <c r="AZ91" i="53"/>
  <c r="AY91" i="53"/>
  <c r="AU91" i="53"/>
  <c r="AL91" i="53" s="1"/>
  <c r="BC90" i="53"/>
  <c r="BB90" i="53"/>
  <c r="BA90" i="53"/>
  <c r="AZ90" i="53"/>
  <c r="AY90" i="53"/>
  <c r="AU90" i="53"/>
  <c r="BC89" i="53"/>
  <c r="BB89" i="53"/>
  <c r="BA89" i="53"/>
  <c r="AZ89" i="53"/>
  <c r="AY89" i="53"/>
  <c r="AU89" i="53"/>
  <c r="AN89" i="53" s="1"/>
  <c r="BC88" i="53"/>
  <c r="BB88" i="53"/>
  <c r="BA88" i="53"/>
  <c r="AZ88" i="53"/>
  <c r="AY88" i="53"/>
  <c r="AU88" i="53"/>
  <c r="BC87" i="53"/>
  <c r="BB87" i="53"/>
  <c r="BA87" i="53"/>
  <c r="AZ87" i="53"/>
  <c r="AY87" i="53"/>
  <c r="AU87" i="53"/>
  <c r="AL87" i="53" s="1"/>
  <c r="BC86" i="53"/>
  <c r="BB86" i="53"/>
  <c r="BA86" i="53"/>
  <c r="AZ86" i="53"/>
  <c r="AY86" i="53"/>
  <c r="AU86" i="53"/>
  <c r="AL86" i="53" s="1"/>
  <c r="BC85" i="53"/>
  <c r="BB85" i="53"/>
  <c r="BA85" i="53"/>
  <c r="AZ85" i="53"/>
  <c r="AY85" i="53"/>
  <c r="AU85" i="53"/>
  <c r="AL85" i="53" s="1"/>
  <c r="AT95" i="52"/>
  <c r="BC93" i="52"/>
  <c r="BB93" i="52"/>
  <c r="BA93" i="52"/>
  <c r="AZ93" i="52"/>
  <c r="AY93" i="52"/>
  <c r="AU93" i="52"/>
  <c r="AL93" i="52" s="1"/>
  <c r="BC92" i="52"/>
  <c r="BB92" i="52"/>
  <c r="BA92" i="52"/>
  <c r="AZ92" i="52"/>
  <c r="AY92" i="52"/>
  <c r="AU92" i="52"/>
  <c r="AL92" i="52" s="1"/>
  <c r="BC91" i="52"/>
  <c r="BB91" i="52"/>
  <c r="BA91" i="52"/>
  <c r="AZ91" i="52"/>
  <c r="AY91" i="52"/>
  <c r="AU91" i="52"/>
  <c r="AL91" i="52" s="1"/>
  <c r="BC90" i="52"/>
  <c r="BB90" i="52"/>
  <c r="BA90" i="52"/>
  <c r="AZ90" i="52"/>
  <c r="AY90" i="52"/>
  <c r="AU90" i="52"/>
  <c r="AN90" i="52" s="1"/>
  <c r="BC89" i="52"/>
  <c r="BB89" i="52"/>
  <c r="BA89" i="52"/>
  <c r="AZ89" i="52"/>
  <c r="AY89" i="52"/>
  <c r="AU89" i="52"/>
  <c r="AL89" i="52" s="1"/>
  <c r="BC88" i="52"/>
  <c r="BB88" i="52"/>
  <c r="BA88" i="52"/>
  <c r="AZ88" i="52"/>
  <c r="AY88" i="52"/>
  <c r="AU88" i="52"/>
  <c r="BC87" i="52"/>
  <c r="BB87" i="52"/>
  <c r="BA87" i="52"/>
  <c r="AZ87" i="52"/>
  <c r="AY87" i="52"/>
  <c r="AU87" i="52"/>
  <c r="AL87" i="52" s="1"/>
  <c r="BC86" i="52"/>
  <c r="BB86" i="52"/>
  <c r="BA86" i="52"/>
  <c r="AZ86" i="52"/>
  <c r="AY86" i="52"/>
  <c r="AU86" i="52"/>
  <c r="AL86" i="52" s="1"/>
  <c r="BC85" i="52"/>
  <c r="BB85" i="52"/>
  <c r="BA85" i="52"/>
  <c r="AZ85" i="52"/>
  <c r="AY85" i="52"/>
  <c r="AU85" i="52"/>
  <c r="AT69" i="55"/>
  <c r="BC67" i="55"/>
  <c r="BB67" i="55"/>
  <c r="BA67" i="55"/>
  <c r="AZ67" i="55"/>
  <c r="AY67" i="55"/>
  <c r="AU67" i="55"/>
  <c r="AL67" i="55" s="1"/>
  <c r="BC66" i="55"/>
  <c r="BB66" i="55"/>
  <c r="BA66" i="55"/>
  <c r="AZ66" i="55"/>
  <c r="AY66" i="55"/>
  <c r="AU66" i="55"/>
  <c r="AL66" i="55" s="1"/>
  <c r="BC65" i="55"/>
  <c r="BB65" i="55"/>
  <c r="BA65" i="55"/>
  <c r="AZ65" i="55"/>
  <c r="AY65" i="55"/>
  <c r="AU65" i="55"/>
  <c r="AL65" i="55" s="1"/>
  <c r="BC64" i="55"/>
  <c r="BB64" i="55"/>
  <c r="BA64" i="55"/>
  <c r="AZ64" i="55"/>
  <c r="AY64" i="55"/>
  <c r="AU64" i="55"/>
  <c r="AL64" i="55" s="1"/>
  <c r="BC63" i="55"/>
  <c r="BB63" i="55"/>
  <c r="BA63" i="55"/>
  <c r="AZ63" i="55"/>
  <c r="AY63" i="55"/>
  <c r="AU63" i="55"/>
  <c r="AL63" i="55" s="1"/>
  <c r="BC62" i="55"/>
  <c r="BB62" i="55"/>
  <c r="BA62" i="55"/>
  <c r="AZ62" i="55"/>
  <c r="AY62" i="55"/>
  <c r="AU62" i="55"/>
  <c r="AL62" i="55" s="1"/>
  <c r="BC61" i="55"/>
  <c r="BB61" i="55"/>
  <c r="BA61" i="55"/>
  <c r="AZ61" i="55"/>
  <c r="AY61" i="55"/>
  <c r="AU61" i="55"/>
  <c r="AL61" i="55" s="1"/>
  <c r="BC60" i="55"/>
  <c r="BB60" i="55"/>
  <c r="BA60" i="55"/>
  <c r="AZ60" i="55"/>
  <c r="AY60" i="55"/>
  <c r="AU60" i="55"/>
  <c r="AL60" i="55" s="1"/>
  <c r="BC59" i="55"/>
  <c r="BB59" i="55"/>
  <c r="BA59" i="55"/>
  <c r="AZ59" i="55"/>
  <c r="AY59" i="55"/>
  <c r="AU59" i="55"/>
  <c r="AT69" i="57"/>
  <c r="BC67" i="57"/>
  <c r="BB67" i="57"/>
  <c r="BA67" i="57"/>
  <c r="AZ67" i="57"/>
  <c r="AY67" i="57"/>
  <c r="AU67" i="57"/>
  <c r="AL67" i="57" s="1"/>
  <c r="BC66" i="57"/>
  <c r="BB66" i="57"/>
  <c r="BA66" i="57"/>
  <c r="AZ66" i="57"/>
  <c r="AY66" i="57"/>
  <c r="AU66" i="57"/>
  <c r="AL66" i="57" s="1"/>
  <c r="BC65" i="57"/>
  <c r="BB65" i="57"/>
  <c r="BA65" i="57"/>
  <c r="AZ65" i="57"/>
  <c r="AY65" i="57"/>
  <c r="AU65" i="57"/>
  <c r="AL65" i="57" s="1"/>
  <c r="BC64" i="57"/>
  <c r="BB64" i="57"/>
  <c r="BA64" i="57"/>
  <c r="AZ64" i="57"/>
  <c r="AY64" i="57"/>
  <c r="AU64" i="57"/>
  <c r="AL64" i="57"/>
  <c r="BC63" i="57"/>
  <c r="BB63" i="57"/>
  <c r="BA63" i="57"/>
  <c r="AZ63" i="57"/>
  <c r="AY63" i="57"/>
  <c r="AU63" i="57"/>
  <c r="BC62" i="57"/>
  <c r="BB62" i="57"/>
  <c r="BA62" i="57"/>
  <c r="AZ62" i="57"/>
  <c r="AY62" i="57"/>
  <c r="BJ62" i="57" s="1"/>
  <c r="AU62" i="57"/>
  <c r="AL62" i="57" s="1"/>
  <c r="BC61" i="57"/>
  <c r="BB61" i="57"/>
  <c r="BA61" i="57"/>
  <c r="AZ61" i="57"/>
  <c r="AY61" i="57"/>
  <c r="AU61" i="57"/>
  <c r="AL61" i="57" s="1"/>
  <c r="BC60" i="57"/>
  <c r="BB60" i="57"/>
  <c r="BA60" i="57"/>
  <c r="AZ60" i="57"/>
  <c r="AY60" i="57"/>
  <c r="BK60" i="57" s="1"/>
  <c r="AU60" i="57"/>
  <c r="AL60" i="57" s="1"/>
  <c r="BC59" i="57"/>
  <c r="BB59" i="57"/>
  <c r="BA59" i="57"/>
  <c r="AZ59" i="57"/>
  <c r="AY59" i="57"/>
  <c r="AU59" i="57"/>
  <c r="AL59" i="57" s="1"/>
  <c r="AT69" i="58"/>
  <c r="BC67" i="58"/>
  <c r="BB67" i="58"/>
  <c r="BA67" i="58"/>
  <c r="AZ67" i="58"/>
  <c r="AY67" i="58"/>
  <c r="AW67" i="58" s="1"/>
  <c r="AU67" i="58"/>
  <c r="AL67" i="58" s="1"/>
  <c r="BC66" i="58"/>
  <c r="BB66" i="58"/>
  <c r="BA66" i="58"/>
  <c r="AZ66" i="58"/>
  <c r="AY66" i="58"/>
  <c r="AU66" i="58"/>
  <c r="AL66" i="58" s="1"/>
  <c r="BC65" i="58"/>
  <c r="BB65" i="58"/>
  <c r="BA65" i="58"/>
  <c r="AZ65" i="58"/>
  <c r="AY65" i="58"/>
  <c r="AU65" i="58"/>
  <c r="AL65" i="58" s="1"/>
  <c r="BC64" i="58"/>
  <c r="BB64" i="58"/>
  <c r="BA64" i="58"/>
  <c r="AZ64" i="58"/>
  <c r="AY64" i="58"/>
  <c r="AU64" i="58"/>
  <c r="AL64" i="58" s="1"/>
  <c r="BC63" i="58"/>
  <c r="BB63" i="58"/>
  <c r="BA63" i="58"/>
  <c r="AZ63" i="58"/>
  <c r="AY63" i="58"/>
  <c r="AU63" i="58"/>
  <c r="AL63" i="58" s="1"/>
  <c r="BC62" i="58"/>
  <c r="BB62" i="58"/>
  <c r="BA62" i="58"/>
  <c r="AZ62" i="58"/>
  <c r="AY62" i="58"/>
  <c r="AU62" i="58"/>
  <c r="AL62" i="58" s="1"/>
  <c r="BC61" i="58"/>
  <c r="BB61" i="58"/>
  <c r="BA61" i="58"/>
  <c r="AZ61" i="58"/>
  <c r="AY61" i="58"/>
  <c r="AU61" i="58"/>
  <c r="AL61" i="58" s="1"/>
  <c r="BC60" i="58"/>
  <c r="BB60" i="58"/>
  <c r="BA60" i="58"/>
  <c r="AZ60" i="58"/>
  <c r="AY60" i="58"/>
  <c r="AU60" i="58"/>
  <c r="AL60" i="58" s="1"/>
  <c r="BC59" i="58"/>
  <c r="BB59" i="58"/>
  <c r="BA59" i="58"/>
  <c r="AZ59" i="58"/>
  <c r="AY59" i="58"/>
  <c r="AU59" i="58"/>
  <c r="AL59" i="58" s="1"/>
  <c r="AT69" i="59"/>
  <c r="BC67" i="59"/>
  <c r="BB67" i="59"/>
  <c r="BA67" i="59"/>
  <c r="AZ67" i="59"/>
  <c r="AY67" i="59"/>
  <c r="AU67" i="59"/>
  <c r="AL67" i="59"/>
  <c r="BC66" i="59"/>
  <c r="BB66" i="59"/>
  <c r="BA66" i="59"/>
  <c r="AZ66" i="59"/>
  <c r="AY66" i="59"/>
  <c r="AU66" i="59"/>
  <c r="AL66" i="59" s="1"/>
  <c r="BC65" i="59"/>
  <c r="BB65" i="59"/>
  <c r="BA65" i="59"/>
  <c r="AZ65" i="59"/>
  <c r="AY65" i="59"/>
  <c r="AU65" i="59"/>
  <c r="AL65" i="59" s="1"/>
  <c r="BC64" i="59"/>
  <c r="BB64" i="59"/>
  <c r="BA64" i="59"/>
  <c r="AZ64" i="59"/>
  <c r="AY64" i="59"/>
  <c r="AU64" i="59"/>
  <c r="AL64" i="59" s="1"/>
  <c r="BC63" i="59"/>
  <c r="BB63" i="59"/>
  <c r="BA63" i="59"/>
  <c r="AZ63" i="59"/>
  <c r="AY63" i="59"/>
  <c r="AU63" i="59"/>
  <c r="AL63" i="59" s="1"/>
  <c r="BC62" i="59"/>
  <c r="BB62" i="59"/>
  <c r="BA62" i="59"/>
  <c r="AZ62" i="59"/>
  <c r="AY62" i="59"/>
  <c r="AU62" i="59"/>
  <c r="AL62" i="59" s="1"/>
  <c r="BC61" i="59"/>
  <c r="BB61" i="59"/>
  <c r="BA61" i="59"/>
  <c r="AZ61" i="59"/>
  <c r="AY61" i="59"/>
  <c r="AU61" i="59"/>
  <c r="AL61" i="59" s="1"/>
  <c r="BC60" i="59"/>
  <c r="BB60" i="59"/>
  <c r="BA60" i="59"/>
  <c r="AZ60" i="59"/>
  <c r="AY60" i="59"/>
  <c r="AU60" i="59"/>
  <c r="AL60" i="59" s="1"/>
  <c r="BC59" i="59"/>
  <c r="BB59" i="59"/>
  <c r="BA59" i="59"/>
  <c r="AZ59" i="59"/>
  <c r="AY59" i="59"/>
  <c r="AU59" i="59"/>
  <c r="AL59" i="59" s="1"/>
  <c r="AT69" i="53"/>
  <c r="BC67" i="53"/>
  <c r="BB67" i="53"/>
  <c r="BA67" i="53"/>
  <c r="AZ67" i="53"/>
  <c r="AY67" i="53"/>
  <c r="AU67" i="53"/>
  <c r="AL67" i="53" s="1"/>
  <c r="BC66" i="53"/>
  <c r="BB66" i="53"/>
  <c r="BA66" i="53"/>
  <c r="AZ66" i="53"/>
  <c r="AY66" i="53"/>
  <c r="AU66" i="53"/>
  <c r="AL66" i="53" s="1"/>
  <c r="BC65" i="53"/>
  <c r="BB65" i="53"/>
  <c r="BA65" i="53"/>
  <c r="AZ65" i="53"/>
  <c r="AY65" i="53"/>
  <c r="AU65" i="53"/>
  <c r="AL65" i="53" s="1"/>
  <c r="BC64" i="53"/>
  <c r="BB64" i="53"/>
  <c r="BA64" i="53"/>
  <c r="AZ64" i="53"/>
  <c r="AY64" i="53"/>
  <c r="AU64" i="53"/>
  <c r="AL64" i="53" s="1"/>
  <c r="BC63" i="53"/>
  <c r="BB63" i="53"/>
  <c r="BA63" i="53"/>
  <c r="AZ63" i="53"/>
  <c r="AY63" i="53"/>
  <c r="AU63" i="53"/>
  <c r="AL63" i="53" s="1"/>
  <c r="BC62" i="53"/>
  <c r="BB62" i="53"/>
  <c r="BA62" i="53"/>
  <c r="AZ62" i="53"/>
  <c r="AY62" i="53"/>
  <c r="AU62" i="53"/>
  <c r="AL62" i="53" s="1"/>
  <c r="BC61" i="53"/>
  <c r="BB61" i="53"/>
  <c r="BA61" i="53"/>
  <c r="AZ61" i="53"/>
  <c r="AY61" i="53"/>
  <c r="AU61" i="53"/>
  <c r="AL61" i="53" s="1"/>
  <c r="BC60" i="53"/>
  <c r="BB60" i="53"/>
  <c r="BA60" i="53"/>
  <c r="AZ60" i="53"/>
  <c r="AY60" i="53"/>
  <c r="AU60" i="53"/>
  <c r="AL60" i="53" s="1"/>
  <c r="BC59" i="53"/>
  <c r="BB59" i="53"/>
  <c r="BA59" i="53"/>
  <c r="AZ59" i="53"/>
  <c r="AY59" i="53"/>
  <c r="AU59" i="53"/>
  <c r="AL59" i="53" s="1"/>
  <c r="AT69" i="52"/>
  <c r="BC67" i="52"/>
  <c r="BB67" i="52"/>
  <c r="BA67" i="52"/>
  <c r="AZ67" i="52"/>
  <c r="AY67" i="52"/>
  <c r="AU67" i="52"/>
  <c r="AL67" i="52" s="1"/>
  <c r="BC66" i="52"/>
  <c r="BB66" i="52"/>
  <c r="BA66" i="52"/>
  <c r="AZ66" i="52"/>
  <c r="AY66" i="52"/>
  <c r="AU66" i="52"/>
  <c r="AL66" i="52" s="1"/>
  <c r="BC65" i="52"/>
  <c r="BB65" i="52"/>
  <c r="BA65" i="52"/>
  <c r="AZ65" i="52"/>
  <c r="AY65" i="52"/>
  <c r="AU65" i="52"/>
  <c r="AL65" i="52" s="1"/>
  <c r="BC64" i="52"/>
  <c r="BB64" i="52"/>
  <c r="BA64" i="52"/>
  <c r="AZ64" i="52"/>
  <c r="AY64" i="52"/>
  <c r="AU64" i="52"/>
  <c r="AL64" i="52" s="1"/>
  <c r="BC63" i="52"/>
  <c r="BB63" i="52"/>
  <c r="BA63" i="52"/>
  <c r="AZ63" i="52"/>
  <c r="AY63" i="52"/>
  <c r="AU63" i="52"/>
  <c r="AL63" i="52" s="1"/>
  <c r="BC62" i="52"/>
  <c r="BB62" i="52"/>
  <c r="BA62" i="52"/>
  <c r="AZ62" i="52"/>
  <c r="AY62" i="52"/>
  <c r="AU62" i="52"/>
  <c r="AL62" i="52" s="1"/>
  <c r="BC61" i="52"/>
  <c r="BB61" i="52"/>
  <c r="BA61" i="52"/>
  <c r="AZ61" i="52"/>
  <c r="AY61" i="52"/>
  <c r="AU61" i="52"/>
  <c r="AL61" i="52" s="1"/>
  <c r="BC60" i="52"/>
  <c r="BB60" i="52"/>
  <c r="BA60" i="52"/>
  <c r="AZ60" i="52"/>
  <c r="AY60" i="52"/>
  <c r="AU60" i="52"/>
  <c r="AL60" i="52" s="1"/>
  <c r="BC59" i="52"/>
  <c r="BB59" i="52"/>
  <c r="BA59" i="52"/>
  <c r="AZ59" i="52"/>
  <c r="AY59" i="52"/>
  <c r="AU59" i="52"/>
  <c r="AT43" i="55"/>
  <c r="BC41" i="55"/>
  <c r="BB41" i="55"/>
  <c r="BA41" i="55"/>
  <c r="AZ41" i="55"/>
  <c r="AY41" i="55"/>
  <c r="AU41" i="55"/>
  <c r="AN41" i="55" s="1"/>
  <c r="BC40" i="55"/>
  <c r="BB40" i="55"/>
  <c r="BA40" i="55"/>
  <c r="AZ40" i="55"/>
  <c r="AY40" i="55"/>
  <c r="AU40" i="55"/>
  <c r="AL40" i="55" s="1"/>
  <c r="BC39" i="55"/>
  <c r="BB39" i="55"/>
  <c r="BA39" i="55"/>
  <c r="AZ39" i="55"/>
  <c r="AY39" i="55"/>
  <c r="AU39" i="55"/>
  <c r="AL39" i="55" s="1"/>
  <c r="BC38" i="55"/>
  <c r="BB38" i="55"/>
  <c r="BA38" i="55"/>
  <c r="AZ38" i="55"/>
  <c r="AY38" i="55"/>
  <c r="AU38" i="55"/>
  <c r="AL38" i="55" s="1"/>
  <c r="BC37" i="55"/>
  <c r="BB37" i="55"/>
  <c r="BA37" i="55"/>
  <c r="AZ37" i="55"/>
  <c r="AY37" i="55"/>
  <c r="AU37" i="55"/>
  <c r="AL37" i="55" s="1"/>
  <c r="BC36" i="55"/>
  <c r="BB36" i="55"/>
  <c r="BA36" i="55"/>
  <c r="AZ36" i="55"/>
  <c r="AY36" i="55"/>
  <c r="AU36" i="55"/>
  <c r="AL36" i="55" s="1"/>
  <c r="BC35" i="55"/>
  <c r="BB35" i="55"/>
  <c r="BA35" i="55"/>
  <c r="AZ35" i="55"/>
  <c r="AY35" i="55"/>
  <c r="AU35" i="55"/>
  <c r="AL35" i="55" s="1"/>
  <c r="BC34" i="55"/>
  <c r="BB34" i="55"/>
  <c r="BA34" i="55"/>
  <c r="AZ34" i="55"/>
  <c r="AY34" i="55"/>
  <c r="AU34" i="55"/>
  <c r="AL34" i="55" s="1"/>
  <c r="BC33" i="55"/>
  <c r="BB33" i="55"/>
  <c r="BA33" i="55"/>
  <c r="AZ33" i="55"/>
  <c r="AY33" i="55"/>
  <c r="AU33" i="55"/>
  <c r="AL33" i="55" s="1"/>
  <c r="AT43" i="57"/>
  <c r="BC41" i="57"/>
  <c r="BB41" i="57"/>
  <c r="BA41" i="57"/>
  <c r="AZ41" i="57"/>
  <c r="AY41" i="57"/>
  <c r="AU41" i="57"/>
  <c r="AL41" i="57" s="1"/>
  <c r="BC40" i="57"/>
  <c r="BB40" i="57"/>
  <c r="BA40" i="57"/>
  <c r="AZ40" i="57"/>
  <c r="AY40" i="57"/>
  <c r="AU40" i="57"/>
  <c r="BC39" i="57"/>
  <c r="BB39" i="57"/>
  <c r="BA39" i="57"/>
  <c r="AZ39" i="57"/>
  <c r="AY39" i="57"/>
  <c r="AU39" i="57"/>
  <c r="AL39" i="57" s="1"/>
  <c r="BC38" i="57"/>
  <c r="BB38" i="57"/>
  <c r="BA38" i="57"/>
  <c r="AZ38" i="57"/>
  <c r="AY38" i="57"/>
  <c r="AU38" i="57"/>
  <c r="AL38" i="57" s="1"/>
  <c r="BC37" i="57"/>
  <c r="BB37" i="57"/>
  <c r="BA37" i="57"/>
  <c r="AZ37" i="57"/>
  <c r="AY37" i="57"/>
  <c r="AU37" i="57"/>
  <c r="AL37" i="57" s="1"/>
  <c r="BC36" i="57"/>
  <c r="BB36" i="57"/>
  <c r="BA36" i="57"/>
  <c r="AZ36" i="57"/>
  <c r="AY36" i="57"/>
  <c r="AU36" i="57"/>
  <c r="AL36" i="57" s="1"/>
  <c r="BC35" i="57"/>
  <c r="BB35" i="57"/>
  <c r="BA35" i="57"/>
  <c r="AZ35" i="57"/>
  <c r="AY35" i="57"/>
  <c r="AU35" i="57"/>
  <c r="AL35" i="57" s="1"/>
  <c r="BC34" i="57"/>
  <c r="BB34" i="57"/>
  <c r="BA34" i="57"/>
  <c r="AZ34" i="57"/>
  <c r="AY34" i="57"/>
  <c r="AU34" i="57"/>
  <c r="AL34" i="57" s="1"/>
  <c r="BC33" i="57"/>
  <c r="BB33" i="57"/>
  <c r="BA33" i="57"/>
  <c r="AZ33" i="57"/>
  <c r="AY33" i="57"/>
  <c r="AU33" i="57"/>
  <c r="AL33" i="57" s="1"/>
  <c r="AT43" i="58"/>
  <c r="BC41" i="58"/>
  <c r="BB41" i="58"/>
  <c r="BA41" i="58"/>
  <c r="AZ41" i="58"/>
  <c r="AY41" i="58"/>
  <c r="AU41" i="58"/>
  <c r="AL41" i="58" s="1"/>
  <c r="BC40" i="58"/>
  <c r="BB40" i="58"/>
  <c r="BA40" i="58"/>
  <c r="AZ40" i="58"/>
  <c r="AY40" i="58"/>
  <c r="AU40" i="58"/>
  <c r="AL40" i="58" s="1"/>
  <c r="BC39" i="58"/>
  <c r="BB39" i="58"/>
  <c r="BA39" i="58"/>
  <c r="AZ39" i="58"/>
  <c r="AY39" i="58"/>
  <c r="AU39" i="58"/>
  <c r="AL39" i="58" s="1"/>
  <c r="BC38" i="58"/>
  <c r="BB38" i="58"/>
  <c r="BA38" i="58"/>
  <c r="AZ38" i="58"/>
  <c r="AY38" i="58"/>
  <c r="AU38" i="58"/>
  <c r="AL38" i="58" s="1"/>
  <c r="BC37" i="58"/>
  <c r="BB37" i="58"/>
  <c r="BA37" i="58"/>
  <c r="AZ37" i="58"/>
  <c r="AY37" i="58"/>
  <c r="AU37" i="58"/>
  <c r="AL37" i="58" s="1"/>
  <c r="BC36" i="58"/>
  <c r="BB36" i="58"/>
  <c r="BA36" i="58"/>
  <c r="AZ36" i="58"/>
  <c r="AY36" i="58"/>
  <c r="AU36" i="58"/>
  <c r="AL36" i="58" s="1"/>
  <c r="BC35" i="58"/>
  <c r="BB35" i="58"/>
  <c r="BA35" i="58"/>
  <c r="AZ35" i="58"/>
  <c r="AY35" i="58"/>
  <c r="AU35" i="58"/>
  <c r="AL35" i="58" s="1"/>
  <c r="BC34" i="58"/>
  <c r="BB34" i="58"/>
  <c r="BA34" i="58"/>
  <c r="AZ34" i="58"/>
  <c r="AY34" i="58"/>
  <c r="AU34" i="58"/>
  <c r="BC33" i="58"/>
  <c r="BB33" i="58"/>
  <c r="BA33" i="58"/>
  <c r="AZ33" i="58"/>
  <c r="AY33" i="58"/>
  <c r="AU33" i="58"/>
  <c r="AL33" i="58" s="1"/>
  <c r="AT43" i="59"/>
  <c r="BC41" i="59"/>
  <c r="BB41" i="59"/>
  <c r="BA41" i="59"/>
  <c r="AZ41" i="59"/>
  <c r="AY41" i="59"/>
  <c r="AU41" i="59"/>
  <c r="AL41" i="59" s="1"/>
  <c r="BC40" i="59"/>
  <c r="BB40" i="59"/>
  <c r="BA40" i="59"/>
  <c r="AZ40" i="59"/>
  <c r="AY40" i="59"/>
  <c r="AU40" i="59"/>
  <c r="AL40" i="59" s="1"/>
  <c r="BC39" i="59"/>
  <c r="BB39" i="59"/>
  <c r="BA39" i="59"/>
  <c r="AZ39" i="59"/>
  <c r="AY39" i="59"/>
  <c r="AU39" i="59"/>
  <c r="AL39" i="59" s="1"/>
  <c r="BC38" i="59"/>
  <c r="BB38" i="59"/>
  <c r="BA38" i="59"/>
  <c r="AZ38" i="59"/>
  <c r="AY38" i="59"/>
  <c r="AU38" i="59"/>
  <c r="AL38" i="59" s="1"/>
  <c r="BC37" i="59"/>
  <c r="BB37" i="59"/>
  <c r="BA37" i="59"/>
  <c r="AZ37" i="59"/>
  <c r="AY37" i="59"/>
  <c r="AU37" i="59"/>
  <c r="AL37" i="59" s="1"/>
  <c r="BC36" i="59"/>
  <c r="BB36" i="59"/>
  <c r="BA36" i="59"/>
  <c r="AZ36" i="59"/>
  <c r="AY36" i="59"/>
  <c r="AU36" i="59"/>
  <c r="AL36" i="59" s="1"/>
  <c r="BC35" i="59"/>
  <c r="BB35" i="59"/>
  <c r="BA35" i="59"/>
  <c r="AZ35" i="59"/>
  <c r="AY35" i="59"/>
  <c r="AU35" i="59"/>
  <c r="AL35" i="59" s="1"/>
  <c r="BC34" i="59"/>
  <c r="BB34" i="59"/>
  <c r="BA34" i="59"/>
  <c r="AZ34" i="59"/>
  <c r="AY34" i="59"/>
  <c r="AU34" i="59"/>
  <c r="AL34" i="59" s="1"/>
  <c r="BC33" i="59"/>
  <c r="BB33" i="59"/>
  <c r="BA33" i="59"/>
  <c r="AZ33" i="59"/>
  <c r="AY33" i="59"/>
  <c r="AU33" i="59"/>
  <c r="AL33" i="59" s="1"/>
  <c r="AT43" i="53"/>
  <c r="BC41" i="53"/>
  <c r="BB41" i="53"/>
  <c r="BA41" i="53"/>
  <c r="AZ41" i="53"/>
  <c r="AY41" i="53"/>
  <c r="AU41" i="53"/>
  <c r="AL41" i="53" s="1"/>
  <c r="BC40" i="53"/>
  <c r="BB40" i="53"/>
  <c r="BA40" i="53"/>
  <c r="AZ40" i="53"/>
  <c r="AY40" i="53"/>
  <c r="AU40" i="53"/>
  <c r="AL40" i="53" s="1"/>
  <c r="BC39" i="53"/>
  <c r="BB39" i="53"/>
  <c r="BA39" i="53"/>
  <c r="AZ39" i="53"/>
  <c r="AY39" i="53"/>
  <c r="AU39" i="53"/>
  <c r="AL39" i="53" s="1"/>
  <c r="BC38" i="53"/>
  <c r="BB38" i="53"/>
  <c r="BA38" i="53"/>
  <c r="AZ38" i="53"/>
  <c r="AY38" i="53"/>
  <c r="AU38" i="53"/>
  <c r="AN38" i="53" s="1"/>
  <c r="BC37" i="53"/>
  <c r="BB37" i="53"/>
  <c r="BA37" i="53"/>
  <c r="AZ37" i="53"/>
  <c r="AY37" i="53"/>
  <c r="AU37" i="53"/>
  <c r="AL37" i="53" s="1"/>
  <c r="BC36" i="53"/>
  <c r="BB36" i="53"/>
  <c r="BA36" i="53"/>
  <c r="AZ36" i="53"/>
  <c r="AY36" i="53"/>
  <c r="AU36" i="53"/>
  <c r="AL36" i="53" s="1"/>
  <c r="BC35" i="53"/>
  <c r="BB35" i="53"/>
  <c r="BA35" i="53"/>
  <c r="AZ35" i="53"/>
  <c r="AY35" i="53"/>
  <c r="AU35" i="53"/>
  <c r="AL35" i="53" s="1"/>
  <c r="BC34" i="53"/>
  <c r="BB34" i="53"/>
  <c r="BA34" i="53"/>
  <c r="AZ34" i="53"/>
  <c r="AY34" i="53"/>
  <c r="AU34" i="53"/>
  <c r="AL34" i="53" s="1"/>
  <c r="BC33" i="53"/>
  <c r="BB33" i="53"/>
  <c r="BA33" i="53"/>
  <c r="AZ33" i="53"/>
  <c r="AY33" i="53"/>
  <c r="AU33" i="53"/>
  <c r="AL33" i="53" s="1"/>
  <c r="AT43" i="52"/>
  <c r="BC41" i="52"/>
  <c r="BB41" i="52"/>
  <c r="BA41" i="52"/>
  <c r="AZ41" i="52"/>
  <c r="AY41" i="52"/>
  <c r="AU41" i="52"/>
  <c r="AL41" i="52" s="1"/>
  <c r="BC40" i="52"/>
  <c r="BB40" i="52"/>
  <c r="BA40" i="52"/>
  <c r="AZ40" i="52"/>
  <c r="AY40" i="52"/>
  <c r="AU40" i="52"/>
  <c r="BC39" i="52"/>
  <c r="BB39" i="52"/>
  <c r="BA39" i="52"/>
  <c r="AZ39" i="52"/>
  <c r="AY39" i="52"/>
  <c r="AU39" i="52"/>
  <c r="AL39" i="52" s="1"/>
  <c r="BC38" i="52"/>
  <c r="BB38" i="52"/>
  <c r="BA38" i="52"/>
  <c r="AZ38" i="52"/>
  <c r="AY38" i="52"/>
  <c r="AU38" i="52"/>
  <c r="AL38" i="52" s="1"/>
  <c r="BC37" i="52"/>
  <c r="BB37" i="52"/>
  <c r="BA37" i="52"/>
  <c r="AZ37" i="52"/>
  <c r="AY37" i="52"/>
  <c r="AU37" i="52"/>
  <c r="AL37" i="52" s="1"/>
  <c r="BC36" i="52"/>
  <c r="BB36" i="52"/>
  <c r="BA36" i="52"/>
  <c r="AZ36" i="52"/>
  <c r="AY36" i="52"/>
  <c r="AU36" i="52"/>
  <c r="AL36" i="52" s="1"/>
  <c r="BC35" i="52"/>
  <c r="BB35" i="52"/>
  <c r="BA35" i="52"/>
  <c r="AZ35" i="52"/>
  <c r="AY35" i="52"/>
  <c r="AU35" i="52"/>
  <c r="AL35" i="52" s="1"/>
  <c r="BC34" i="52"/>
  <c r="BB34" i="52"/>
  <c r="BA34" i="52"/>
  <c r="AZ34" i="52"/>
  <c r="AY34" i="52"/>
  <c r="AU34" i="52"/>
  <c r="BC33" i="52"/>
  <c r="BB33" i="52"/>
  <c r="BA33" i="52"/>
  <c r="AZ33" i="52"/>
  <c r="AY33" i="52"/>
  <c r="AU33" i="52"/>
  <c r="AL33" i="52" s="1"/>
  <c r="Q146" i="59"/>
  <c r="N146" i="59"/>
  <c r="K146" i="59"/>
  <c r="H146" i="59"/>
  <c r="E146" i="59"/>
  <c r="T145" i="59"/>
  <c r="AV145" i="59" s="1"/>
  <c r="R145" i="59"/>
  <c r="O145" i="59"/>
  <c r="L145" i="59"/>
  <c r="I145" i="59"/>
  <c r="F145" i="59"/>
  <c r="T144" i="59"/>
  <c r="AV144" i="59" s="1"/>
  <c r="R144" i="59"/>
  <c r="O144" i="59"/>
  <c r="L144" i="59"/>
  <c r="I144" i="59"/>
  <c r="F144" i="59"/>
  <c r="T143" i="59"/>
  <c r="AV143" i="59" s="1"/>
  <c r="R143" i="59"/>
  <c r="O143" i="59"/>
  <c r="L143" i="59"/>
  <c r="I143" i="59"/>
  <c r="F143" i="59"/>
  <c r="T142" i="59"/>
  <c r="AV142" i="59" s="1"/>
  <c r="R142" i="59"/>
  <c r="O142" i="59"/>
  <c r="L142" i="59"/>
  <c r="I142" i="59"/>
  <c r="F142" i="59"/>
  <c r="T141" i="59"/>
  <c r="AV141" i="59" s="1"/>
  <c r="R141" i="59"/>
  <c r="O141" i="59"/>
  <c r="L141" i="59"/>
  <c r="I141" i="59"/>
  <c r="F141" i="59"/>
  <c r="T140" i="59"/>
  <c r="AV140" i="59" s="1"/>
  <c r="R140" i="59"/>
  <c r="O140" i="59"/>
  <c r="L140" i="59"/>
  <c r="I140" i="59"/>
  <c r="F140" i="59"/>
  <c r="T139" i="59"/>
  <c r="AV139" i="59" s="1"/>
  <c r="R139" i="59"/>
  <c r="O139" i="59"/>
  <c r="L139" i="59"/>
  <c r="I139" i="59"/>
  <c r="F139" i="59"/>
  <c r="T138" i="59"/>
  <c r="AV138" i="59" s="1"/>
  <c r="R138" i="59"/>
  <c r="O138" i="59"/>
  <c r="L138" i="59"/>
  <c r="I138" i="59"/>
  <c r="F138" i="59"/>
  <c r="T137" i="59"/>
  <c r="AV137" i="59" s="1"/>
  <c r="R137" i="59"/>
  <c r="O137" i="59"/>
  <c r="L137" i="59"/>
  <c r="I137" i="59"/>
  <c r="F137" i="59"/>
  <c r="Q120" i="59"/>
  <c r="N120" i="59"/>
  <c r="K120" i="59"/>
  <c r="H120" i="59"/>
  <c r="E120" i="59"/>
  <c r="T119" i="59"/>
  <c r="AV119" i="59" s="1"/>
  <c r="R119" i="59"/>
  <c r="O119" i="59"/>
  <c r="L119" i="59"/>
  <c r="I119" i="59"/>
  <c r="F119" i="59"/>
  <c r="T118" i="59"/>
  <c r="AV118" i="59" s="1"/>
  <c r="R118" i="59"/>
  <c r="O118" i="59"/>
  <c r="L118" i="59"/>
  <c r="I118" i="59"/>
  <c r="F118" i="59"/>
  <c r="T117" i="59"/>
  <c r="AV117" i="59" s="1"/>
  <c r="R117" i="59"/>
  <c r="O117" i="59"/>
  <c r="L117" i="59"/>
  <c r="I117" i="59"/>
  <c r="F117" i="59"/>
  <c r="T116" i="59"/>
  <c r="AV116" i="59" s="1"/>
  <c r="R116" i="59"/>
  <c r="O116" i="59"/>
  <c r="L116" i="59"/>
  <c r="I116" i="59"/>
  <c r="F116" i="59"/>
  <c r="T115" i="59"/>
  <c r="AV115" i="59" s="1"/>
  <c r="R115" i="59"/>
  <c r="O115" i="59"/>
  <c r="L115" i="59"/>
  <c r="I115" i="59"/>
  <c r="F115" i="59"/>
  <c r="T114" i="59"/>
  <c r="AV114" i="59" s="1"/>
  <c r="R114" i="59"/>
  <c r="O114" i="59"/>
  <c r="L114" i="59"/>
  <c r="I114" i="59"/>
  <c r="F114" i="59"/>
  <c r="T113" i="59"/>
  <c r="AV113" i="59" s="1"/>
  <c r="R113" i="59"/>
  <c r="O113" i="59"/>
  <c r="L113" i="59"/>
  <c r="I113" i="59"/>
  <c r="F113" i="59"/>
  <c r="T112" i="59"/>
  <c r="AV112" i="59" s="1"/>
  <c r="R112" i="59"/>
  <c r="O112" i="59"/>
  <c r="L112" i="59"/>
  <c r="I112" i="59"/>
  <c r="F112" i="59"/>
  <c r="T111" i="59"/>
  <c r="AV111" i="59" s="1"/>
  <c r="R111" i="59"/>
  <c r="O111" i="59"/>
  <c r="L111" i="59"/>
  <c r="I111" i="59"/>
  <c r="F111" i="59"/>
  <c r="Q94" i="59"/>
  <c r="N94" i="59"/>
  <c r="K94" i="59"/>
  <c r="H94" i="59"/>
  <c r="E94" i="59"/>
  <c r="T93" i="59"/>
  <c r="AV93" i="59" s="1"/>
  <c r="R93" i="59"/>
  <c r="O93" i="59"/>
  <c r="L93" i="59"/>
  <c r="I93" i="59"/>
  <c r="F93" i="59"/>
  <c r="T92" i="59"/>
  <c r="AV92" i="59" s="1"/>
  <c r="R92" i="59"/>
  <c r="O92" i="59"/>
  <c r="L92" i="59"/>
  <c r="I92" i="59"/>
  <c r="F92" i="59"/>
  <c r="T91" i="59"/>
  <c r="AV91" i="59" s="1"/>
  <c r="R91" i="59"/>
  <c r="O91" i="59"/>
  <c r="L91" i="59"/>
  <c r="I91" i="59"/>
  <c r="F91" i="59"/>
  <c r="T90" i="59"/>
  <c r="AV90" i="59" s="1"/>
  <c r="R90" i="59"/>
  <c r="O90" i="59"/>
  <c r="L90" i="59"/>
  <c r="I90" i="59"/>
  <c r="F90" i="59"/>
  <c r="T89" i="59"/>
  <c r="AV89" i="59" s="1"/>
  <c r="R89" i="59"/>
  <c r="O89" i="59"/>
  <c r="L89" i="59"/>
  <c r="I89" i="59"/>
  <c r="F89" i="59"/>
  <c r="T88" i="59"/>
  <c r="AV88" i="59" s="1"/>
  <c r="R88" i="59"/>
  <c r="O88" i="59"/>
  <c r="L88" i="59"/>
  <c r="I88" i="59"/>
  <c r="F88" i="59"/>
  <c r="T87" i="59"/>
  <c r="AV87" i="59" s="1"/>
  <c r="R87" i="59"/>
  <c r="O87" i="59"/>
  <c r="L87" i="59"/>
  <c r="I87" i="59"/>
  <c r="F87" i="59"/>
  <c r="T86" i="59"/>
  <c r="AV86" i="59" s="1"/>
  <c r="R86" i="59"/>
  <c r="O86" i="59"/>
  <c r="L86" i="59"/>
  <c r="I86" i="59"/>
  <c r="F86" i="59"/>
  <c r="T85" i="59"/>
  <c r="R85" i="59"/>
  <c r="O85" i="59"/>
  <c r="L85" i="59"/>
  <c r="I85" i="59"/>
  <c r="F85" i="59"/>
  <c r="Q68" i="59"/>
  <c r="N68" i="59"/>
  <c r="K68" i="59"/>
  <c r="H68" i="59"/>
  <c r="E68" i="59"/>
  <c r="T67" i="59"/>
  <c r="AV67" i="59" s="1"/>
  <c r="R67" i="59"/>
  <c r="O67" i="59"/>
  <c r="L67" i="59"/>
  <c r="I67" i="59"/>
  <c r="F67" i="59"/>
  <c r="T66" i="59"/>
  <c r="AV66" i="59" s="1"/>
  <c r="R66" i="59"/>
  <c r="O66" i="59"/>
  <c r="L66" i="59"/>
  <c r="I66" i="59"/>
  <c r="F66" i="59"/>
  <c r="T65" i="59"/>
  <c r="AV65" i="59" s="1"/>
  <c r="R65" i="59"/>
  <c r="O65" i="59"/>
  <c r="L65" i="59"/>
  <c r="I65" i="59"/>
  <c r="F65" i="59"/>
  <c r="T64" i="59"/>
  <c r="AV64" i="59" s="1"/>
  <c r="R64" i="59"/>
  <c r="O64" i="59"/>
  <c r="L64" i="59"/>
  <c r="I64" i="59"/>
  <c r="F64" i="59"/>
  <c r="T63" i="59"/>
  <c r="AV63" i="59" s="1"/>
  <c r="R63" i="59"/>
  <c r="O63" i="59"/>
  <c r="L63" i="59"/>
  <c r="I63" i="59"/>
  <c r="F63" i="59"/>
  <c r="T62" i="59"/>
  <c r="R62" i="59"/>
  <c r="O62" i="59"/>
  <c r="L62" i="59"/>
  <c r="I62" i="59"/>
  <c r="F62" i="59"/>
  <c r="T61" i="59"/>
  <c r="AV61" i="59" s="1"/>
  <c r="R61" i="59"/>
  <c r="O61" i="59"/>
  <c r="L61" i="59"/>
  <c r="I61" i="59"/>
  <c r="F61" i="59"/>
  <c r="T60" i="59"/>
  <c r="AV60" i="59" s="1"/>
  <c r="R60" i="59"/>
  <c r="O60" i="59"/>
  <c r="L60" i="59"/>
  <c r="I60" i="59"/>
  <c r="F60" i="59"/>
  <c r="T59" i="59"/>
  <c r="AV59" i="59" s="1"/>
  <c r="R59" i="59"/>
  <c r="O59" i="59"/>
  <c r="L59" i="59"/>
  <c r="I59" i="59"/>
  <c r="F59" i="59"/>
  <c r="Q42" i="59"/>
  <c r="N42" i="59"/>
  <c r="K42" i="59"/>
  <c r="H42" i="59"/>
  <c r="E42" i="59"/>
  <c r="T41" i="59"/>
  <c r="AV41" i="59" s="1"/>
  <c r="R41" i="59"/>
  <c r="O41" i="59"/>
  <c r="L41" i="59"/>
  <c r="I41" i="59"/>
  <c r="F41" i="59"/>
  <c r="T40" i="59"/>
  <c r="AV40" i="59" s="1"/>
  <c r="R40" i="59"/>
  <c r="O40" i="59"/>
  <c r="L40" i="59"/>
  <c r="I40" i="59"/>
  <c r="F40" i="59"/>
  <c r="T39" i="59"/>
  <c r="AV39" i="59" s="1"/>
  <c r="R39" i="59"/>
  <c r="O39" i="59"/>
  <c r="L39" i="59"/>
  <c r="I39" i="59"/>
  <c r="F39" i="59"/>
  <c r="T38" i="59"/>
  <c r="AV38" i="59" s="1"/>
  <c r="R38" i="59"/>
  <c r="O38" i="59"/>
  <c r="L38" i="59"/>
  <c r="I38" i="59"/>
  <c r="F38" i="59"/>
  <c r="T37" i="59"/>
  <c r="AV37" i="59" s="1"/>
  <c r="R37" i="59"/>
  <c r="O37" i="59"/>
  <c r="L37" i="59"/>
  <c r="I37" i="59"/>
  <c r="F37" i="59"/>
  <c r="T36" i="59"/>
  <c r="AV36" i="59" s="1"/>
  <c r="R36" i="59"/>
  <c r="O36" i="59"/>
  <c r="L36" i="59"/>
  <c r="I36" i="59"/>
  <c r="F36" i="59"/>
  <c r="T35" i="59"/>
  <c r="AV35" i="59" s="1"/>
  <c r="R35" i="59"/>
  <c r="O35" i="59"/>
  <c r="L35" i="59"/>
  <c r="I35" i="59"/>
  <c r="F35" i="59"/>
  <c r="T34" i="59"/>
  <c r="AV34" i="59" s="1"/>
  <c r="R34" i="59"/>
  <c r="O34" i="59"/>
  <c r="L34" i="59"/>
  <c r="I34" i="59"/>
  <c r="F34" i="59"/>
  <c r="T33" i="59"/>
  <c r="AV33" i="59" s="1"/>
  <c r="R33" i="59"/>
  <c r="O33" i="59"/>
  <c r="L33" i="59"/>
  <c r="I33" i="59"/>
  <c r="F33" i="59"/>
  <c r="Q16" i="59"/>
  <c r="N16" i="59"/>
  <c r="K16" i="59"/>
  <c r="H16" i="59"/>
  <c r="E16" i="59"/>
  <c r="T15" i="59"/>
  <c r="R15" i="59"/>
  <c r="O15" i="59"/>
  <c r="L15" i="59"/>
  <c r="I15" i="59"/>
  <c r="F15" i="59"/>
  <c r="T14" i="59"/>
  <c r="R14" i="59"/>
  <c r="O14" i="59"/>
  <c r="L14" i="59"/>
  <c r="I14" i="59"/>
  <c r="F14" i="59"/>
  <c r="T13" i="59"/>
  <c r="R13" i="59"/>
  <c r="O13" i="59"/>
  <c r="N180" i="59" s="1"/>
  <c r="P169" i="59" s="1"/>
  <c r="L13" i="59"/>
  <c r="I13" i="59"/>
  <c r="F13" i="59"/>
  <c r="T12" i="59"/>
  <c r="R12" i="59"/>
  <c r="O12" i="59"/>
  <c r="L12" i="59"/>
  <c r="I12" i="59"/>
  <c r="F12" i="59"/>
  <c r="T11" i="59"/>
  <c r="R11" i="59"/>
  <c r="O11" i="59"/>
  <c r="L11" i="59"/>
  <c r="I11" i="59"/>
  <c r="F11" i="59"/>
  <c r="T10" i="59"/>
  <c r="R10" i="59"/>
  <c r="O10" i="59"/>
  <c r="L10" i="59"/>
  <c r="I10" i="59"/>
  <c r="F10" i="59"/>
  <c r="T9" i="59"/>
  <c r="R9" i="59"/>
  <c r="O9" i="59"/>
  <c r="L9" i="59"/>
  <c r="I9" i="59"/>
  <c r="F9" i="59"/>
  <c r="T8" i="59"/>
  <c r="R8" i="59"/>
  <c r="O8" i="59"/>
  <c r="L8" i="59"/>
  <c r="I8" i="59"/>
  <c r="F8" i="59"/>
  <c r="T7" i="59"/>
  <c r="R7" i="59"/>
  <c r="O7" i="59"/>
  <c r="L7" i="59"/>
  <c r="I7" i="59"/>
  <c r="F7" i="59"/>
  <c r="Q146" i="58"/>
  <c r="N146" i="58"/>
  <c r="K146" i="58"/>
  <c r="H146" i="58"/>
  <c r="E146" i="58"/>
  <c r="T145" i="58"/>
  <c r="AV145" i="58" s="1"/>
  <c r="R145" i="58"/>
  <c r="O145" i="58"/>
  <c r="L145" i="58"/>
  <c r="I145" i="58"/>
  <c r="F145" i="58"/>
  <c r="T144" i="58"/>
  <c r="AV144" i="58" s="1"/>
  <c r="R144" i="58"/>
  <c r="O144" i="58"/>
  <c r="L144" i="58"/>
  <c r="I144" i="58"/>
  <c r="F144" i="58"/>
  <c r="T143" i="58"/>
  <c r="AV143" i="58" s="1"/>
  <c r="T142" i="58"/>
  <c r="AV142" i="58" s="1"/>
  <c r="R142" i="58"/>
  <c r="O142" i="58"/>
  <c r="L142" i="58"/>
  <c r="I142" i="58"/>
  <c r="F142" i="58"/>
  <c r="T141" i="58"/>
  <c r="AV141" i="58" s="1"/>
  <c r="I141" i="58"/>
  <c r="F141" i="58"/>
  <c r="T140" i="58"/>
  <c r="AV140" i="58" s="1"/>
  <c r="R140" i="58"/>
  <c r="O140" i="58"/>
  <c r="L140" i="58"/>
  <c r="T139" i="58"/>
  <c r="AV139" i="58" s="1"/>
  <c r="R139" i="58"/>
  <c r="O139" i="58"/>
  <c r="L139" i="58"/>
  <c r="I139" i="58"/>
  <c r="F139" i="58"/>
  <c r="U139" i="58" s="1"/>
  <c r="T138" i="58"/>
  <c r="AV138" i="58" s="1"/>
  <c r="O138" i="58"/>
  <c r="L138" i="58"/>
  <c r="I138" i="58"/>
  <c r="F138" i="58"/>
  <c r="T137" i="58"/>
  <c r="AV137" i="58" s="1"/>
  <c r="R137" i="58"/>
  <c r="Q120" i="58"/>
  <c r="N120" i="58"/>
  <c r="K120" i="58"/>
  <c r="H120" i="58"/>
  <c r="E120" i="58"/>
  <c r="T119" i="58"/>
  <c r="AV119" i="58" s="1"/>
  <c r="R119" i="58"/>
  <c r="O119" i="58"/>
  <c r="L119" i="58"/>
  <c r="I119" i="58"/>
  <c r="F119" i="58"/>
  <c r="U119" i="58" s="1"/>
  <c r="T118" i="58"/>
  <c r="AV118" i="58" s="1"/>
  <c r="O118" i="58"/>
  <c r="L118" i="58"/>
  <c r="I118" i="58"/>
  <c r="F118" i="58"/>
  <c r="T117" i="58"/>
  <c r="AV117" i="58" s="1"/>
  <c r="R117" i="58"/>
  <c r="T116" i="58"/>
  <c r="AV116" i="58" s="1"/>
  <c r="R116" i="58"/>
  <c r="O116" i="58"/>
  <c r="L116" i="58"/>
  <c r="I116" i="58"/>
  <c r="F116" i="58"/>
  <c r="T115" i="58"/>
  <c r="AV115" i="58" s="1"/>
  <c r="L115" i="58"/>
  <c r="I115" i="58"/>
  <c r="F115" i="58"/>
  <c r="T114" i="58"/>
  <c r="AV114" i="58" s="1"/>
  <c r="R114" i="58"/>
  <c r="O114" i="58"/>
  <c r="T113" i="58"/>
  <c r="AV113" i="58" s="1"/>
  <c r="R113" i="58"/>
  <c r="O113" i="58"/>
  <c r="L113" i="58"/>
  <c r="I113" i="58"/>
  <c r="F113" i="58"/>
  <c r="T112" i="58"/>
  <c r="AV112" i="58" s="1"/>
  <c r="F112" i="58"/>
  <c r="T111" i="58"/>
  <c r="AV111" i="58" s="1"/>
  <c r="R111" i="58"/>
  <c r="O111" i="58"/>
  <c r="L111" i="58"/>
  <c r="Q94" i="58"/>
  <c r="N94" i="58"/>
  <c r="K94" i="58"/>
  <c r="H94" i="58"/>
  <c r="E94" i="58"/>
  <c r="T93" i="58"/>
  <c r="AV93" i="58" s="1"/>
  <c r="R93" i="58"/>
  <c r="O93" i="58"/>
  <c r="L93" i="58"/>
  <c r="I93" i="58"/>
  <c r="F93" i="58"/>
  <c r="T92" i="58"/>
  <c r="AV92" i="58" s="1"/>
  <c r="I92" i="58"/>
  <c r="F92" i="58"/>
  <c r="T91" i="58"/>
  <c r="AV91" i="58" s="1"/>
  <c r="R91" i="58"/>
  <c r="O91" i="58"/>
  <c r="L91" i="58"/>
  <c r="T90" i="58"/>
  <c r="AV90" i="58" s="1"/>
  <c r="O90" i="58"/>
  <c r="L90" i="58"/>
  <c r="I90" i="58"/>
  <c r="F90" i="58"/>
  <c r="T89" i="58"/>
  <c r="AV89" i="58" s="1"/>
  <c r="R89" i="58"/>
  <c r="F89" i="58"/>
  <c r="T88" i="58"/>
  <c r="AV88" i="58" s="1"/>
  <c r="R88" i="58"/>
  <c r="O88" i="58"/>
  <c r="L88" i="58"/>
  <c r="I88" i="58"/>
  <c r="T87" i="58"/>
  <c r="AV87" i="58" s="1"/>
  <c r="R87" i="58"/>
  <c r="O87" i="58"/>
  <c r="L87" i="58"/>
  <c r="I87" i="58"/>
  <c r="F87" i="58"/>
  <c r="U87" i="58" s="1"/>
  <c r="T86" i="58"/>
  <c r="AV86" i="58" s="1"/>
  <c r="L86" i="58"/>
  <c r="I86" i="58"/>
  <c r="F86" i="58"/>
  <c r="T85" i="58"/>
  <c r="AV85" i="58" s="1"/>
  <c r="R85" i="58"/>
  <c r="O85" i="58"/>
  <c r="Q68" i="58"/>
  <c r="N68" i="58"/>
  <c r="K68" i="58"/>
  <c r="H68" i="58"/>
  <c r="E68" i="58"/>
  <c r="T67" i="58"/>
  <c r="AV67" i="58" s="1"/>
  <c r="R67" i="58"/>
  <c r="O67" i="58"/>
  <c r="L67" i="58"/>
  <c r="I67" i="58"/>
  <c r="F67" i="58"/>
  <c r="T66" i="58"/>
  <c r="AV66" i="58" s="1"/>
  <c r="L66" i="58"/>
  <c r="F66" i="58"/>
  <c r="T65" i="58"/>
  <c r="AV65" i="58" s="1"/>
  <c r="R65" i="58"/>
  <c r="O65" i="58"/>
  <c r="I65" i="58"/>
  <c r="T64" i="58"/>
  <c r="AV64" i="58" s="1"/>
  <c r="R64" i="58"/>
  <c r="L64" i="58"/>
  <c r="I64" i="58"/>
  <c r="F64" i="58"/>
  <c r="T63" i="58"/>
  <c r="AV63" i="58" s="1"/>
  <c r="O63" i="58"/>
  <c r="F63" i="58"/>
  <c r="T62" i="58"/>
  <c r="AV62" i="58" s="1"/>
  <c r="R62" i="58"/>
  <c r="O62" i="58"/>
  <c r="L62" i="58"/>
  <c r="I62" i="58"/>
  <c r="T61" i="58"/>
  <c r="AV61" i="58" s="1"/>
  <c r="O61" i="58"/>
  <c r="L61" i="58"/>
  <c r="I61" i="58"/>
  <c r="F61" i="58"/>
  <c r="T60" i="58"/>
  <c r="AV60" i="58" s="1"/>
  <c r="R60" i="58"/>
  <c r="I60" i="58"/>
  <c r="F60" i="58"/>
  <c r="T59" i="58"/>
  <c r="AV59" i="58" s="1"/>
  <c r="R59" i="58"/>
  <c r="O59" i="58"/>
  <c r="L59" i="58"/>
  <c r="Q42" i="58"/>
  <c r="N42" i="58"/>
  <c r="K42" i="58"/>
  <c r="H42" i="58"/>
  <c r="E42" i="58"/>
  <c r="T41" i="58"/>
  <c r="AV41" i="58" s="1"/>
  <c r="R41" i="58"/>
  <c r="O41" i="58"/>
  <c r="L41" i="58"/>
  <c r="I41" i="58"/>
  <c r="F41" i="58"/>
  <c r="T40" i="58"/>
  <c r="AV40" i="58" s="1"/>
  <c r="R40" i="58"/>
  <c r="O40" i="58"/>
  <c r="L40" i="58"/>
  <c r="I40" i="58"/>
  <c r="F40" i="58"/>
  <c r="T39" i="58"/>
  <c r="AV39" i="58" s="1"/>
  <c r="T38" i="58"/>
  <c r="AV38" i="58" s="1"/>
  <c r="R38" i="58"/>
  <c r="O38" i="58"/>
  <c r="L38" i="58"/>
  <c r="I38" i="58"/>
  <c r="F38" i="58"/>
  <c r="T37" i="58"/>
  <c r="AV37" i="58" s="1"/>
  <c r="R37" i="58"/>
  <c r="O37" i="58"/>
  <c r="L37" i="58"/>
  <c r="I37" i="58"/>
  <c r="F37" i="58"/>
  <c r="T36" i="58"/>
  <c r="AV36" i="58" s="1"/>
  <c r="T35" i="58"/>
  <c r="AV35" i="58" s="1"/>
  <c r="R35" i="58"/>
  <c r="O35" i="58"/>
  <c r="L35" i="58"/>
  <c r="I35" i="58"/>
  <c r="F35" i="58"/>
  <c r="T34" i="58"/>
  <c r="AV34" i="58" s="1"/>
  <c r="R34" i="58"/>
  <c r="O34" i="58"/>
  <c r="L34" i="58"/>
  <c r="I34" i="58"/>
  <c r="F34" i="58"/>
  <c r="T33" i="58"/>
  <c r="AV33" i="58" s="1"/>
  <c r="Q16" i="58"/>
  <c r="N16" i="58"/>
  <c r="K16" i="58"/>
  <c r="H16" i="58"/>
  <c r="E16" i="58"/>
  <c r="T15" i="58"/>
  <c r="R15" i="58"/>
  <c r="O15" i="58"/>
  <c r="L15" i="58"/>
  <c r="I15" i="58"/>
  <c r="F15" i="58"/>
  <c r="T14" i="58"/>
  <c r="R14" i="58"/>
  <c r="O14" i="58"/>
  <c r="L14" i="58"/>
  <c r="I14" i="58"/>
  <c r="F14" i="58"/>
  <c r="T13" i="58"/>
  <c r="T12" i="58"/>
  <c r="AV12" i="58" s="1"/>
  <c r="R12" i="58"/>
  <c r="O12" i="58"/>
  <c r="L12" i="58"/>
  <c r="I12" i="58"/>
  <c r="F12" i="58"/>
  <c r="T11" i="58"/>
  <c r="R11" i="58"/>
  <c r="O11" i="58"/>
  <c r="L11" i="58"/>
  <c r="I11" i="58"/>
  <c r="F11" i="58"/>
  <c r="T10" i="58"/>
  <c r="T9" i="58"/>
  <c r="R9" i="58"/>
  <c r="O9" i="58"/>
  <c r="L9" i="58"/>
  <c r="I9" i="58"/>
  <c r="F9" i="58"/>
  <c r="T8" i="58"/>
  <c r="R8" i="58"/>
  <c r="O8" i="58"/>
  <c r="L8" i="58"/>
  <c r="I8" i="58"/>
  <c r="F8" i="58"/>
  <c r="T7" i="58"/>
  <c r="Q146" i="57"/>
  <c r="N146" i="57"/>
  <c r="K146" i="57"/>
  <c r="H146" i="57"/>
  <c r="E146" i="57"/>
  <c r="T145" i="57"/>
  <c r="AV145" i="57" s="1"/>
  <c r="R145" i="57"/>
  <c r="O145" i="57"/>
  <c r="L145" i="57"/>
  <c r="I145" i="57"/>
  <c r="F145" i="57"/>
  <c r="T144" i="57"/>
  <c r="AV144" i="57" s="1"/>
  <c r="O144" i="57"/>
  <c r="L144" i="57"/>
  <c r="I144" i="57"/>
  <c r="F144" i="57"/>
  <c r="T143" i="57"/>
  <c r="AV143" i="57" s="1"/>
  <c r="AM143" i="57" s="1"/>
  <c r="R143" i="57"/>
  <c r="T142" i="57"/>
  <c r="AV142" i="57" s="1"/>
  <c r="R142" i="57"/>
  <c r="O142" i="57"/>
  <c r="L142" i="57"/>
  <c r="I142" i="57"/>
  <c r="F142" i="57"/>
  <c r="T141" i="57"/>
  <c r="AV141" i="57" s="1"/>
  <c r="AM141" i="57" s="1"/>
  <c r="I141" i="57"/>
  <c r="F141" i="57"/>
  <c r="T140" i="57"/>
  <c r="AV140" i="57" s="1"/>
  <c r="R140" i="57"/>
  <c r="O140" i="57"/>
  <c r="L140" i="57"/>
  <c r="T139" i="57"/>
  <c r="AV139" i="57" s="1"/>
  <c r="R139" i="57"/>
  <c r="O139" i="57"/>
  <c r="L139" i="57"/>
  <c r="I139" i="57"/>
  <c r="F139" i="57"/>
  <c r="T138" i="57"/>
  <c r="AV138" i="57" s="1"/>
  <c r="R138" i="57"/>
  <c r="O138" i="57"/>
  <c r="L138" i="57"/>
  <c r="I138" i="57"/>
  <c r="F138" i="57"/>
  <c r="T137" i="57"/>
  <c r="AV137" i="57" s="1"/>
  <c r="AM137" i="57" s="1"/>
  <c r="Q120" i="57"/>
  <c r="N120" i="57"/>
  <c r="K120" i="57"/>
  <c r="H120" i="57"/>
  <c r="E120" i="57"/>
  <c r="T119" i="57"/>
  <c r="AV119" i="57" s="1"/>
  <c r="R119" i="57"/>
  <c r="O119" i="57"/>
  <c r="L119" i="57"/>
  <c r="I119" i="57"/>
  <c r="F119" i="57"/>
  <c r="T118" i="57"/>
  <c r="AV118" i="57" s="1"/>
  <c r="R118" i="57"/>
  <c r="O118" i="57"/>
  <c r="L118" i="57"/>
  <c r="I118" i="57"/>
  <c r="F118" i="57"/>
  <c r="T117" i="57"/>
  <c r="AV117" i="57" s="1"/>
  <c r="T116" i="57"/>
  <c r="AV116" i="57" s="1"/>
  <c r="R116" i="57"/>
  <c r="O116" i="57"/>
  <c r="L116" i="57"/>
  <c r="I116" i="57"/>
  <c r="F116" i="57"/>
  <c r="T115" i="57"/>
  <c r="AV115" i="57" s="1"/>
  <c r="R115" i="57"/>
  <c r="O115" i="57"/>
  <c r="L115" i="57"/>
  <c r="I115" i="57"/>
  <c r="F115" i="57"/>
  <c r="T114" i="57"/>
  <c r="AV114" i="57" s="1"/>
  <c r="AM114" i="57" s="1"/>
  <c r="T113" i="57"/>
  <c r="AV113" i="57" s="1"/>
  <c r="R113" i="57"/>
  <c r="O113" i="57"/>
  <c r="L113" i="57"/>
  <c r="I113" i="57"/>
  <c r="T112" i="57"/>
  <c r="AV112" i="57" s="1"/>
  <c r="R112" i="57"/>
  <c r="O112" i="57"/>
  <c r="L112" i="57"/>
  <c r="I112" i="57"/>
  <c r="T111" i="57"/>
  <c r="AV111" i="57" s="1"/>
  <c r="Q94" i="57"/>
  <c r="N94" i="57"/>
  <c r="K94" i="57"/>
  <c r="H94" i="57"/>
  <c r="E94" i="57"/>
  <c r="T93" i="57"/>
  <c r="AV93" i="57" s="1"/>
  <c r="R93" i="57"/>
  <c r="O93" i="57"/>
  <c r="L93" i="57"/>
  <c r="I93" i="57"/>
  <c r="F93" i="57"/>
  <c r="T92" i="57"/>
  <c r="AV92" i="57" s="1"/>
  <c r="I92" i="57"/>
  <c r="F92" i="57"/>
  <c r="T91" i="57"/>
  <c r="AV91" i="57" s="1"/>
  <c r="T90" i="57"/>
  <c r="AV90" i="57" s="1"/>
  <c r="R90" i="57"/>
  <c r="O90" i="57"/>
  <c r="L90" i="57"/>
  <c r="I90" i="57"/>
  <c r="F90" i="57"/>
  <c r="T89" i="57"/>
  <c r="AV89" i="57" s="1"/>
  <c r="L89" i="57"/>
  <c r="I89" i="57"/>
  <c r="F89" i="57"/>
  <c r="T88" i="57"/>
  <c r="AV88" i="57" s="1"/>
  <c r="T87" i="57"/>
  <c r="AV87" i="57" s="1"/>
  <c r="R87" i="57"/>
  <c r="O87" i="57"/>
  <c r="L87" i="57"/>
  <c r="I87" i="57"/>
  <c r="T86" i="57"/>
  <c r="AV86" i="57" s="1"/>
  <c r="T85" i="57"/>
  <c r="AV85" i="57" s="1"/>
  <c r="Q68" i="57"/>
  <c r="N68" i="57"/>
  <c r="K68" i="57"/>
  <c r="H68" i="57"/>
  <c r="E68" i="57"/>
  <c r="T67" i="57"/>
  <c r="AV67" i="57" s="1"/>
  <c r="R67" i="57"/>
  <c r="O67" i="57"/>
  <c r="L67" i="57"/>
  <c r="I67" i="57"/>
  <c r="F67" i="57"/>
  <c r="T66" i="57"/>
  <c r="AV66" i="57" s="1"/>
  <c r="AM66" i="57" s="1"/>
  <c r="L66" i="57"/>
  <c r="F66" i="57"/>
  <c r="T65" i="57"/>
  <c r="AV65" i="57" s="1"/>
  <c r="T64" i="57"/>
  <c r="AV64" i="57" s="1"/>
  <c r="R64" i="57"/>
  <c r="L64" i="57"/>
  <c r="I64" i="57"/>
  <c r="F64" i="57"/>
  <c r="T63" i="57"/>
  <c r="O63" i="57"/>
  <c r="F63" i="57"/>
  <c r="T62" i="57"/>
  <c r="AV62" i="57" s="1"/>
  <c r="T61" i="57"/>
  <c r="AV61" i="57" s="1"/>
  <c r="O61" i="57"/>
  <c r="L61" i="57"/>
  <c r="I61" i="57"/>
  <c r="T60" i="57"/>
  <c r="AV60" i="57" s="1"/>
  <c r="R60" i="57"/>
  <c r="I60" i="57"/>
  <c r="T59" i="57"/>
  <c r="AV59" i="57" s="1"/>
  <c r="AM64" i="57" s="1"/>
  <c r="Q42" i="57"/>
  <c r="N42" i="57"/>
  <c r="K42" i="57"/>
  <c r="H42" i="57"/>
  <c r="E42" i="57"/>
  <c r="T41" i="57"/>
  <c r="AV41" i="57" s="1"/>
  <c r="R41" i="57"/>
  <c r="O41" i="57"/>
  <c r="L41" i="57"/>
  <c r="I41" i="57"/>
  <c r="F41" i="57"/>
  <c r="T40" i="57"/>
  <c r="AV40" i="57" s="1"/>
  <c r="R40" i="57"/>
  <c r="O40" i="57"/>
  <c r="L40" i="57"/>
  <c r="I40" i="57"/>
  <c r="F40" i="57"/>
  <c r="T39" i="57"/>
  <c r="AV39" i="57" s="1"/>
  <c r="T38" i="57"/>
  <c r="AV38" i="57" s="1"/>
  <c r="R38" i="57"/>
  <c r="O38" i="57"/>
  <c r="L38" i="57"/>
  <c r="I38" i="57"/>
  <c r="F38" i="57"/>
  <c r="T37" i="57"/>
  <c r="AV37" i="57" s="1"/>
  <c r="R37" i="57"/>
  <c r="O37" i="57"/>
  <c r="L37" i="57"/>
  <c r="I37" i="57"/>
  <c r="F37" i="57"/>
  <c r="T36" i="57"/>
  <c r="AV36" i="57" s="1"/>
  <c r="T35" i="57"/>
  <c r="AV35" i="57" s="1"/>
  <c r="R35" i="57"/>
  <c r="O35" i="57"/>
  <c r="L35" i="57"/>
  <c r="I35" i="57"/>
  <c r="T34" i="57"/>
  <c r="AV34" i="57" s="1"/>
  <c r="R34" i="57"/>
  <c r="O34" i="57"/>
  <c r="L34" i="57"/>
  <c r="I34" i="57"/>
  <c r="T33" i="57"/>
  <c r="AV33" i="57" s="1"/>
  <c r="Q16" i="57"/>
  <c r="N16" i="57"/>
  <c r="K16" i="57"/>
  <c r="H16" i="57"/>
  <c r="E16" i="57"/>
  <c r="T15" i="57"/>
  <c r="R15" i="57"/>
  <c r="O15" i="57"/>
  <c r="L15" i="57"/>
  <c r="I15" i="57"/>
  <c r="F15" i="57"/>
  <c r="T14" i="57"/>
  <c r="AV14" i="57" s="1"/>
  <c r="I14" i="57"/>
  <c r="F14" i="57"/>
  <c r="T13" i="57"/>
  <c r="AV13" i="57" s="1"/>
  <c r="R13" i="57"/>
  <c r="T12" i="57"/>
  <c r="R12" i="57"/>
  <c r="O12" i="57"/>
  <c r="L12" i="57"/>
  <c r="I12" i="57"/>
  <c r="F12" i="57"/>
  <c r="T11" i="57"/>
  <c r="AV11" i="57" s="1"/>
  <c r="R11" i="57"/>
  <c r="O11" i="57"/>
  <c r="L11" i="57"/>
  <c r="I11" i="57"/>
  <c r="F11" i="57"/>
  <c r="T10" i="57"/>
  <c r="AV10" i="57" s="1"/>
  <c r="T9" i="57"/>
  <c r="AV9" i="57" s="1"/>
  <c r="L9" i="57"/>
  <c r="I9" i="57"/>
  <c r="T8" i="57"/>
  <c r="AV8" i="57" s="1"/>
  <c r="R8" i="57"/>
  <c r="O8" i="57"/>
  <c r="T7" i="57"/>
  <c r="AV7" i="57" s="1"/>
  <c r="Q146" i="55"/>
  <c r="N146" i="55"/>
  <c r="K146" i="55"/>
  <c r="H146" i="55"/>
  <c r="E146" i="55"/>
  <c r="T145" i="55"/>
  <c r="AV145" i="55" s="1"/>
  <c r="R145" i="55"/>
  <c r="O145" i="55"/>
  <c r="L145" i="55"/>
  <c r="I145" i="55"/>
  <c r="F145" i="55"/>
  <c r="T144" i="55"/>
  <c r="AV144" i="55" s="1"/>
  <c r="R144" i="55"/>
  <c r="O144" i="55"/>
  <c r="L144" i="55"/>
  <c r="I144" i="55"/>
  <c r="F144" i="55"/>
  <c r="T143" i="55"/>
  <c r="AV143" i="55" s="1"/>
  <c r="T142" i="55"/>
  <c r="AV142" i="55" s="1"/>
  <c r="R142" i="55"/>
  <c r="O142" i="55"/>
  <c r="L142" i="55"/>
  <c r="I142" i="55"/>
  <c r="F142" i="55"/>
  <c r="T141" i="55"/>
  <c r="AV141" i="55" s="1"/>
  <c r="R141" i="55"/>
  <c r="L141" i="55"/>
  <c r="I141" i="55"/>
  <c r="F141" i="55"/>
  <c r="T140" i="55"/>
  <c r="AV140" i="55" s="1"/>
  <c r="AM140" i="55" s="1"/>
  <c r="O140" i="55"/>
  <c r="T139" i="55"/>
  <c r="AV139" i="55" s="1"/>
  <c r="R139" i="55"/>
  <c r="O139" i="55"/>
  <c r="L139" i="55"/>
  <c r="I139" i="55"/>
  <c r="F139" i="55"/>
  <c r="T138" i="55"/>
  <c r="AV138" i="55" s="1"/>
  <c r="F138" i="55"/>
  <c r="T137" i="55"/>
  <c r="AV137" i="55" s="1"/>
  <c r="R137" i="55"/>
  <c r="O137" i="55"/>
  <c r="L137" i="55"/>
  <c r="I137" i="55"/>
  <c r="Q120" i="55"/>
  <c r="N120" i="55"/>
  <c r="K120" i="55"/>
  <c r="H120" i="55"/>
  <c r="E120" i="55"/>
  <c r="T119" i="55"/>
  <c r="AV119" i="55" s="1"/>
  <c r="R119" i="55"/>
  <c r="O119" i="55"/>
  <c r="L119" i="55"/>
  <c r="I119" i="55"/>
  <c r="F119" i="55"/>
  <c r="T118" i="55"/>
  <c r="AV118" i="55" s="1"/>
  <c r="R118" i="55"/>
  <c r="O118" i="55"/>
  <c r="L118" i="55"/>
  <c r="I118" i="55"/>
  <c r="F118" i="55"/>
  <c r="T117" i="55"/>
  <c r="AV117" i="55" s="1"/>
  <c r="T116" i="55"/>
  <c r="AV116" i="55" s="1"/>
  <c r="R116" i="55"/>
  <c r="O116" i="55"/>
  <c r="L116" i="55"/>
  <c r="I116" i="55"/>
  <c r="F116" i="55"/>
  <c r="T115" i="55"/>
  <c r="AV115" i="55" s="1"/>
  <c r="R115" i="55"/>
  <c r="O115" i="55"/>
  <c r="L115" i="55"/>
  <c r="I115" i="55"/>
  <c r="F115" i="55"/>
  <c r="T114" i="55"/>
  <c r="AV114" i="55" s="1"/>
  <c r="T113" i="55"/>
  <c r="AV113" i="55" s="1"/>
  <c r="R113" i="55"/>
  <c r="O113" i="55"/>
  <c r="L113" i="55"/>
  <c r="I113" i="55"/>
  <c r="F113" i="55"/>
  <c r="T112" i="55"/>
  <c r="AV112" i="55" s="1"/>
  <c r="R112" i="55"/>
  <c r="O112" i="55"/>
  <c r="L112" i="55"/>
  <c r="I112" i="55"/>
  <c r="F112" i="55"/>
  <c r="T111" i="55"/>
  <c r="AV111" i="55" s="1"/>
  <c r="Q94" i="55"/>
  <c r="N94" i="55"/>
  <c r="K94" i="55"/>
  <c r="H94" i="55"/>
  <c r="E94" i="55"/>
  <c r="T93" i="55"/>
  <c r="AV93" i="55" s="1"/>
  <c r="R93" i="55"/>
  <c r="O93" i="55"/>
  <c r="L93" i="55"/>
  <c r="I93" i="55"/>
  <c r="F93" i="55"/>
  <c r="T92" i="55"/>
  <c r="AV92" i="55" s="1"/>
  <c r="R92" i="55"/>
  <c r="O92" i="55"/>
  <c r="L92" i="55"/>
  <c r="I92" i="55"/>
  <c r="F92" i="55"/>
  <c r="T91" i="55"/>
  <c r="AV91" i="55" s="1"/>
  <c r="T90" i="55"/>
  <c r="AV90" i="55" s="1"/>
  <c r="R90" i="55"/>
  <c r="O90" i="55"/>
  <c r="L90" i="55"/>
  <c r="I90" i="55"/>
  <c r="F90" i="55"/>
  <c r="T89" i="55"/>
  <c r="AV89" i="55" s="1"/>
  <c r="R89" i="55"/>
  <c r="O89" i="55"/>
  <c r="L89" i="55"/>
  <c r="I89" i="55"/>
  <c r="F89" i="55"/>
  <c r="T88" i="55"/>
  <c r="AV88" i="55" s="1"/>
  <c r="T87" i="55"/>
  <c r="AV87" i="55" s="1"/>
  <c r="R87" i="55"/>
  <c r="O87" i="55"/>
  <c r="L87" i="55"/>
  <c r="I87" i="55"/>
  <c r="F87" i="55"/>
  <c r="T86" i="55"/>
  <c r="AV86" i="55" s="1"/>
  <c r="R86" i="55"/>
  <c r="O86" i="55"/>
  <c r="L86" i="55"/>
  <c r="I86" i="55"/>
  <c r="F86" i="55"/>
  <c r="T85" i="55"/>
  <c r="Q68" i="55"/>
  <c r="N68" i="55"/>
  <c r="K68" i="55"/>
  <c r="H68" i="55"/>
  <c r="E68" i="55"/>
  <c r="T67" i="55"/>
  <c r="AV67" i="55" s="1"/>
  <c r="R67" i="55"/>
  <c r="O67" i="55"/>
  <c r="L67" i="55"/>
  <c r="I67" i="55"/>
  <c r="F67" i="55"/>
  <c r="T66" i="55"/>
  <c r="AV66" i="55" s="1"/>
  <c r="L66" i="55"/>
  <c r="F66" i="55"/>
  <c r="T65" i="55"/>
  <c r="AV65" i="55" s="1"/>
  <c r="R65" i="55"/>
  <c r="O65" i="55"/>
  <c r="T64" i="55"/>
  <c r="AV64" i="55" s="1"/>
  <c r="R64" i="55"/>
  <c r="O64" i="55"/>
  <c r="L64" i="55"/>
  <c r="I64" i="55"/>
  <c r="F64" i="55"/>
  <c r="T63" i="55"/>
  <c r="F63" i="55"/>
  <c r="T62" i="55"/>
  <c r="AV62" i="55" s="1"/>
  <c r="R62" i="55"/>
  <c r="L62" i="55"/>
  <c r="I62" i="55"/>
  <c r="T61" i="55"/>
  <c r="AV61" i="55" s="1"/>
  <c r="O61" i="55"/>
  <c r="L61" i="55"/>
  <c r="I61" i="55"/>
  <c r="F61" i="55"/>
  <c r="T60" i="55"/>
  <c r="AV60" i="55" s="1"/>
  <c r="I60" i="55"/>
  <c r="F60" i="55"/>
  <c r="T59" i="55"/>
  <c r="AV59" i="55" s="1"/>
  <c r="R59" i="55"/>
  <c r="O59" i="55"/>
  <c r="L59" i="55"/>
  <c r="Q42" i="55"/>
  <c r="N42" i="55"/>
  <c r="K42" i="55"/>
  <c r="H42" i="55"/>
  <c r="E42" i="55"/>
  <c r="T41" i="55"/>
  <c r="AV41" i="55" s="1"/>
  <c r="R41" i="55"/>
  <c r="O41" i="55"/>
  <c r="L41" i="55"/>
  <c r="I41" i="55"/>
  <c r="F41" i="55"/>
  <c r="T40" i="55"/>
  <c r="AV40" i="55" s="1"/>
  <c r="R40" i="55"/>
  <c r="O40" i="55"/>
  <c r="L40" i="55"/>
  <c r="I40" i="55"/>
  <c r="F40" i="55"/>
  <c r="T39" i="55"/>
  <c r="AV39" i="55" s="1"/>
  <c r="T38" i="55"/>
  <c r="AV38" i="55" s="1"/>
  <c r="R38" i="55"/>
  <c r="O38" i="55"/>
  <c r="L38" i="55"/>
  <c r="I38" i="55"/>
  <c r="F38" i="55"/>
  <c r="T37" i="55"/>
  <c r="AV37" i="55" s="1"/>
  <c r="R37" i="55"/>
  <c r="O37" i="55"/>
  <c r="L37" i="55"/>
  <c r="I37" i="55"/>
  <c r="F37" i="55"/>
  <c r="T36" i="55"/>
  <c r="AV36" i="55" s="1"/>
  <c r="T35" i="55"/>
  <c r="AV35" i="55" s="1"/>
  <c r="R35" i="55"/>
  <c r="O35" i="55"/>
  <c r="L35" i="55"/>
  <c r="I35" i="55"/>
  <c r="F35" i="55"/>
  <c r="T34" i="55"/>
  <c r="AV34" i="55" s="1"/>
  <c r="R34" i="55"/>
  <c r="O34" i="55"/>
  <c r="L34" i="55"/>
  <c r="I34" i="55"/>
  <c r="F34" i="55"/>
  <c r="T33" i="55"/>
  <c r="AV33" i="55" s="1"/>
  <c r="Q16" i="55"/>
  <c r="N16" i="55"/>
  <c r="K16" i="55"/>
  <c r="H16" i="55"/>
  <c r="E16" i="55"/>
  <c r="T15" i="55"/>
  <c r="R15" i="55"/>
  <c r="O15" i="55"/>
  <c r="L15" i="55"/>
  <c r="I15" i="55"/>
  <c r="F15" i="55"/>
  <c r="T14" i="55"/>
  <c r="R14" i="55"/>
  <c r="O14" i="55"/>
  <c r="L14" i="55"/>
  <c r="I14" i="55"/>
  <c r="F14" i="55"/>
  <c r="T13" i="55"/>
  <c r="AV13" i="55" s="1"/>
  <c r="T12" i="55"/>
  <c r="AV12" i="55" s="1"/>
  <c r="R12" i="55"/>
  <c r="O12" i="55"/>
  <c r="L12" i="55"/>
  <c r="I12" i="55"/>
  <c r="F12" i="55"/>
  <c r="T11" i="55"/>
  <c r="R11" i="55"/>
  <c r="F11" i="55"/>
  <c r="T10" i="55"/>
  <c r="AV10" i="55" s="1"/>
  <c r="O10" i="55"/>
  <c r="T9" i="55"/>
  <c r="R9" i="55"/>
  <c r="O9" i="55"/>
  <c r="L9" i="55"/>
  <c r="I9" i="55"/>
  <c r="F9" i="55"/>
  <c r="T8" i="55"/>
  <c r="R8" i="55"/>
  <c r="O8" i="55"/>
  <c r="L8" i="55"/>
  <c r="I8" i="55"/>
  <c r="F8" i="55"/>
  <c r="T7" i="55"/>
  <c r="AV7" i="55" s="1"/>
  <c r="Q146" i="53"/>
  <c r="N146" i="53"/>
  <c r="K146" i="53"/>
  <c r="H146" i="53"/>
  <c r="E146" i="53"/>
  <c r="T145" i="53"/>
  <c r="AV145" i="53" s="1"/>
  <c r="R145" i="53"/>
  <c r="O145" i="53"/>
  <c r="L145" i="53"/>
  <c r="I145" i="53"/>
  <c r="F145" i="53"/>
  <c r="T144" i="53"/>
  <c r="AV144" i="53" s="1"/>
  <c r="R144" i="53"/>
  <c r="O144" i="53"/>
  <c r="L144" i="53"/>
  <c r="F144" i="53"/>
  <c r="T143" i="53"/>
  <c r="AV143" i="53" s="1"/>
  <c r="I143" i="53"/>
  <c r="T142" i="53"/>
  <c r="AV142" i="53" s="1"/>
  <c r="R142" i="53"/>
  <c r="O142" i="53"/>
  <c r="L142" i="53"/>
  <c r="I142" i="53"/>
  <c r="F142" i="53"/>
  <c r="T141" i="53"/>
  <c r="AV141" i="53" s="1"/>
  <c r="R141" i="53"/>
  <c r="O141" i="53"/>
  <c r="L141" i="53"/>
  <c r="I141" i="53"/>
  <c r="F141" i="53"/>
  <c r="T140" i="53"/>
  <c r="AV140" i="53" s="1"/>
  <c r="T139" i="53"/>
  <c r="AV139" i="53" s="1"/>
  <c r="AM139" i="53" s="1"/>
  <c r="O139" i="53"/>
  <c r="L139" i="53"/>
  <c r="I139" i="53"/>
  <c r="F139" i="53"/>
  <c r="T138" i="53"/>
  <c r="AV138" i="53" s="1"/>
  <c r="R138" i="53"/>
  <c r="L138" i="53"/>
  <c r="I138" i="53"/>
  <c r="F138" i="53"/>
  <c r="T137" i="53"/>
  <c r="AV137" i="53" s="1"/>
  <c r="R137" i="53"/>
  <c r="O137" i="53"/>
  <c r="Q120" i="53"/>
  <c r="N120" i="53"/>
  <c r="K120" i="53"/>
  <c r="H120" i="53"/>
  <c r="E120" i="53"/>
  <c r="T119" i="53"/>
  <c r="AV119" i="53" s="1"/>
  <c r="R119" i="53"/>
  <c r="O119" i="53"/>
  <c r="L119" i="53"/>
  <c r="I119" i="53"/>
  <c r="F119" i="53"/>
  <c r="T118" i="53"/>
  <c r="AV118" i="53" s="1"/>
  <c r="L118" i="53"/>
  <c r="I118" i="53"/>
  <c r="F118" i="53"/>
  <c r="T117" i="53"/>
  <c r="AV117" i="53" s="1"/>
  <c r="T116" i="53"/>
  <c r="AV116" i="53" s="1"/>
  <c r="R116" i="53"/>
  <c r="O116" i="53"/>
  <c r="L116" i="53"/>
  <c r="I116" i="53"/>
  <c r="F116" i="53"/>
  <c r="T115" i="53"/>
  <c r="AV115" i="53" s="1"/>
  <c r="F115" i="53"/>
  <c r="T114" i="53"/>
  <c r="T113" i="53"/>
  <c r="AV113" i="53" s="1"/>
  <c r="R113" i="53"/>
  <c r="O113" i="53"/>
  <c r="L113" i="53"/>
  <c r="I113" i="53"/>
  <c r="F113" i="53"/>
  <c r="T112" i="53"/>
  <c r="AV112" i="53" s="1"/>
  <c r="F112" i="53"/>
  <c r="T111" i="53"/>
  <c r="AV111" i="53" s="1"/>
  <c r="Q94" i="53"/>
  <c r="N94" i="53"/>
  <c r="K94" i="53"/>
  <c r="H94" i="53"/>
  <c r="E94" i="53"/>
  <c r="T93" i="53"/>
  <c r="AV93" i="53" s="1"/>
  <c r="R93" i="53"/>
  <c r="O93" i="53"/>
  <c r="L93" i="53"/>
  <c r="I93" i="53"/>
  <c r="F93" i="53"/>
  <c r="T92" i="53"/>
  <c r="AV92" i="53" s="1"/>
  <c r="R92" i="53"/>
  <c r="O92" i="53"/>
  <c r="L92" i="53"/>
  <c r="I92" i="53"/>
  <c r="F92" i="53"/>
  <c r="T91" i="53"/>
  <c r="T90" i="53"/>
  <c r="AV90" i="53" s="1"/>
  <c r="R90" i="53"/>
  <c r="O90" i="53"/>
  <c r="L90" i="53"/>
  <c r="I90" i="53"/>
  <c r="F90" i="53"/>
  <c r="T89" i="53"/>
  <c r="AV89" i="53" s="1"/>
  <c r="R89" i="53"/>
  <c r="O89" i="53"/>
  <c r="L89" i="53"/>
  <c r="I89" i="53"/>
  <c r="F89" i="53"/>
  <c r="T88" i="53"/>
  <c r="AV88" i="53" s="1"/>
  <c r="T87" i="53"/>
  <c r="AV87" i="53" s="1"/>
  <c r="R87" i="53"/>
  <c r="O87" i="53"/>
  <c r="L87" i="53"/>
  <c r="I87" i="53"/>
  <c r="F87" i="53"/>
  <c r="T86" i="53"/>
  <c r="AV86" i="53" s="1"/>
  <c r="F86" i="53"/>
  <c r="T85" i="53"/>
  <c r="AV85" i="53" s="1"/>
  <c r="AM85" i="53" s="1"/>
  <c r="Q68" i="53"/>
  <c r="N68" i="53"/>
  <c r="K68" i="53"/>
  <c r="H68" i="53"/>
  <c r="E68" i="53"/>
  <c r="T67" i="53"/>
  <c r="AV67" i="53" s="1"/>
  <c r="O67" i="53"/>
  <c r="L67" i="53"/>
  <c r="I67" i="53"/>
  <c r="F67" i="53"/>
  <c r="T66" i="53"/>
  <c r="AV66" i="53" s="1"/>
  <c r="F66" i="53"/>
  <c r="T65" i="53"/>
  <c r="AV65" i="53" s="1"/>
  <c r="T64" i="53"/>
  <c r="AV64" i="53" s="1"/>
  <c r="R64" i="53"/>
  <c r="O64" i="53"/>
  <c r="L64" i="53"/>
  <c r="I64" i="53"/>
  <c r="F64" i="53"/>
  <c r="T63" i="53"/>
  <c r="AV63" i="53" s="1"/>
  <c r="F63" i="53"/>
  <c r="T62" i="53"/>
  <c r="T61" i="53"/>
  <c r="AV61" i="53" s="1"/>
  <c r="R61" i="53"/>
  <c r="O61" i="53"/>
  <c r="L61" i="53"/>
  <c r="I61" i="53"/>
  <c r="F61" i="53"/>
  <c r="T60" i="53"/>
  <c r="AV60" i="53" s="1"/>
  <c r="R60" i="53"/>
  <c r="F60" i="53"/>
  <c r="T59" i="53"/>
  <c r="AV59" i="53" s="1"/>
  <c r="Q42" i="53"/>
  <c r="N42" i="53"/>
  <c r="K42" i="53"/>
  <c r="H42" i="53"/>
  <c r="E42" i="53"/>
  <c r="T41" i="53"/>
  <c r="AV41" i="53" s="1"/>
  <c r="O41" i="53"/>
  <c r="L41" i="53"/>
  <c r="I41" i="53"/>
  <c r="F41" i="53"/>
  <c r="T40" i="53"/>
  <c r="AV40" i="53" s="1"/>
  <c r="I40" i="53"/>
  <c r="F40" i="53"/>
  <c r="T39" i="53"/>
  <c r="AV39" i="53" s="1"/>
  <c r="T38" i="53"/>
  <c r="AV38" i="53" s="1"/>
  <c r="R38" i="53"/>
  <c r="O38" i="53"/>
  <c r="L38" i="53"/>
  <c r="I38" i="53"/>
  <c r="F38" i="53"/>
  <c r="T37" i="53"/>
  <c r="AV37" i="53" s="1"/>
  <c r="I37" i="53"/>
  <c r="F37" i="53"/>
  <c r="T36" i="53"/>
  <c r="T35" i="53"/>
  <c r="AV35" i="53" s="1"/>
  <c r="O35" i="53"/>
  <c r="L35" i="53"/>
  <c r="I35" i="53"/>
  <c r="F35" i="53"/>
  <c r="T34" i="53"/>
  <c r="AV34" i="53" s="1"/>
  <c r="F34" i="53"/>
  <c r="T33" i="53"/>
  <c r="AV33" i="53" s="1"/>
  <c r="Q16" i="53"/>
  <c r="N16" i="53"/>
  <c r="K16" i="53"/>
  <c r="H16" i="53"/>
  <c r="E16" i="53"/>
  <c r="T15" i="53"/>
  <c r="AV15" i="53" s="1"/>
  <c r="R15" i="53"/>
  <c r="L15" i="53"/>
  <c r="I15" i="53"/>
  <c r="F15" i="53"/>
  <c r="T14" i="53"/>
  <c r="AV14" i="53" s="1"/>
  <c r="O14" i="53"/>
  <c r="T13" i="53"/>
  <c r="T12" i="53"/>
  <c r="L12" i="53"/>
  <c r="I12" i="53"/>
  <c r="F12" i="53"/>
  <c r="T11" i="53"/>
  <c r="AV11" i="53" s="1"/>
  <c r="F11" i="53"/>
  <c r="T10" i="53"/>
  <c r="T9" i="53"/>
  <c r="AV9" i="53" s="1"/>
  <c r="R9" i="53"/>
  <c r="O9" i="53"/>
  <c r="L9" i="53"/>
  <c r="I9" i="53"/>
  <c r="F9" i="53"/>
  <c r="T8" i="53"/>
  <c r="I8" i="53"/>
  <c r="T7" i="53"/>
  <c r="AV7" i="53" s="1"/>
  <c r="Q146" i="52"/>
  <c r="N146" i="52"/>
  <c r="K146" i="52"/>
  <c r="H146" i="52"/>
  <c r="E146" i="52"/>
  <c r="T145" i="52"/>
  <c r="AV145" i="52" s="1"/>
  <c r="R145" i="52"/>
  <c r="O145" i="52"/>
  <c r="L145" i="52"/>
  <c r="I145" i="52"/>
  <c r="F145" i="52"/>
  <c r="T144" i="52"/>
  <c r="AV144" i="52" s="1"/>
  <c r="R144" i="52"/>
  <c r="O144" i="52"/>
  <c r="L144" i="52"/>
  <c r="I144" i="52"/>
  <c r="F144" i="52"/>
  <c r="T143" i="52"/>
  <c r="AV143" i="52" s="1"/>
  <c r="T142" i="52"/>
  <c r="AV142" i="52" s="1"/>
  <c r="R142" i="52"/>
  <c r="O142" i="52"/>
  <c r="L142" i="52"/>
  <c r="I142" i="52"/>
  <c r="F142" i="52"/>
  <c r="T141" i="52"/>
  <c r="AV141" i="52" s="1"/>
  <c r="R141" i="52"/>
  <c r="O141" i="52"/>
  <c r="L141" i="52"/>
  <c r="I141" i="52"/>
  <c r="F141" i="52"/>
  <c r="T140" i="52"/>
  <c r="AV140" i="52" s="1"/>
  <c r="T139" i="52"/>
  <c r="AV139" i="52" s="1"/>
  <c r="R139" i="52"/>
  <c r="O139" i="52"/>
  <c r="L139" i="52"/>
  <c r="I139" i="52"/>
  <c r="F139" i="52"/>
  <c r="T138" i="52"/>
  <c r="AV138" i="52" s="1"/>
  <c r="R138" i="52"/>
  <c r="O138" i="52"/>
  <c r="L138" i="52"/>
  <c r="I138" i="52"/>
  <c r="F138" i="52"/>
  <c r="T137" i="52"/>
  <c r="AV137" i="52" s="1"/>
  <c r="Q120" i="52"/>
  <c r="N120" i="52"/>
  <c r="K120" i="52"/>
  <c r="H120" i="52"/>
  <c r="E120" i="52"/>
  <c r="T119" i="52"/>
  <c r="AV119" i="52" s="1"/>
  <c r="R119" i="52"/>
  <c r="O119" i="52"/>
  <c r="L119" i="52"/>
  <c r="I119" i="52"/>
  <c r="F119" i="52"/>
  <c r="T118" i="52"/>
  <c r="AV118" i="52" s="1"/>
  <c r="F118" i="52"/>
  <c r="T117" i="52"/>
  <c r="AV117" i="52" s="1"/>
  <c r="T116" i="52"/>
  <c r="AV116" i="52" s="1"/>
  <c r="L116" i="52"/>
  <c r="I116" i="52"/>
  <c r="F116" i="52"/>
  <c r="T115" i="52"/>
  <c r="AV115" i="52" s="1"/>
  <c r="F115" i="52"/>
  <c r="T114" i="52"/>
  <c r="AV114" i="52" s="1"/>
  <c r="T113" i="52"/>
  <c r="AV113" i="52" s="1"/>
  <c r="O113" i="52"/>
  <c r="L113" i="52"/>
  <c r="I113" i="52"/>
  <c r="F113" i="52"/>
  <c r="T112" i="52"/>
  <c r="AV112" i="52" s="1"/>
  <c r="I112" i="52"/>
  <c r="F112" i="52"/>
  <c r="T111" i="52"/>
  <c r="AV111" i="52" s="1"/>
  <c r="Q94" i="52"/>
  <c r="N94" i="52"/>
  <c r="K94" i="52"/>
  <c r="H94" i="52"/>
  <c r="E94" i="52"/>
  <c r="T93" i="52"/>
  <c r="AV93" i="52" s="1"/>
  <c r="O93" i="52"/>
  <c r="L93" i="52"/>
  <c r="I93" i="52"/>
  <c r="F93" i="52"/>
  <c r="T92" i="52"/>
  <c r="AV92" i="52" s="1"/>
  <c r="R92" i="52"/>
  <c r="F92" i="52"/>
  <c r="T91" i="52"/>
  <c r="AV91" i="52" s="1"/>
  <c r="T90" i="52"/>
  <c r="AV90" i="52" s="1"/>
  <c r="R90" i="52"/>
  <c r="O90" i="52"/>
  <c r="L90" i="52"/>
  <c r="I90" i="52"/>
  <c r="F90" i="52"/>
  <c r="T89" i="52"/>
  <c r="AV89" i="52" s="1"/>
  <c r="L89" i="52"/>
  <c r="I89" i="52"/>
  <c r="F89" i="52"/>
  <c r="T88" i="52"/>
  <c r="AV88" i="52" s="1"/>
  <c r="T87" i="52"/>
  <c r="AV87" i="52" s="1"/>
  <c r="R87" i="52"/>
  <c r="O87" i="52"/>
  <c r="L87" i="52"/>
  <c r="I87" i="52"/>
  <c r="F87" i="52"/>
  <c r="T86" i="52"/>
  <c r="AV86" i="52" s="1"/>
  <c r="I86" i="52"/>
  <c r="F86" i="52"/>
  <c r="T85" i="52"/>
  <c r="AV85" i="52" s="1"/>
  <c r="Q68" i="52"/>
  <c r="N68" i="52"/>
  <c r="K68" i="52"/>
  <c r="H68" i="52"/>
  <c r="E68" i="52"/>
  <c r="T67" i="52"/>
  <c r="AV67" i="52" s="1"/>
  <c r="R67" i="52"/>
  <c r="O67" i="52"/>
  <c r="L67" i="52"/>
  <c r="I67" i="52"/>
  <c r="F67" i="52"/>
  <c r="T66" i="52"/>
  <c r="AV66" i="52" s="1"/>
  <c r="F66" i="52"/>
  <c r="T65" i="52"/>
  <c r="AV65" i="52" s="1"/>
  <c r="T64" i="52"/>
  <c r="AV64" i="52" s="1"/>
  <c r="R64" i="52"/>
  <c r="O64" i="52"/>
  <c r="L64" i="52"/>
  <c r="I64" i="52"/>
  <c r="F64" i="52"/>
  <c r="T63" i="52"/>
  <c r="AV63" i="52" s="1"/>
  <c r="L63" i="52"/>
  <c r="F63" i="52"/>
  <c r="T62" i="52"/>
  <c r="AV62" i="52" s="1"/>
  <c r="T61" i="52"/>
  <c r="AV61" i="52" s="1"/>
  <c r="O61" i="52"/>
  <c r="L61" i="52"/>
  <c r="I61" i="52"/>
  <c r="F61" i="52"/>
  <c r="T60" i="52"/>
  <c r="AV60" i="52" s="1"/>
  <c r="R60" i="52"/>
  <c r="I60" i="52"/>
  <c r="F60" i="52"/>
  <c r="T59" i="52"/>
  <c r="AV59" i="52" s="1"/>
  <c r="Q42" i="52"/>
  <c r="N42" i="52"/>
  <c r="K42" i="52"/>
  <c r="H42" i="52"/>
  <c r="E42" i="52"/>
  <c r="T41" i="52"/>
  <c r="AV41" i="52" s="1"/>
  <c r="R41" i="52"/>
  <c r="O41" i="52"/>
  <c r="L41" i="52"/>
  <c r="I41" i="52"/>
  <c r="F41" i="52"/>
  <c r="T40" i="52"/>
  <c r="AV40" i="52" s="1"/>
  <c r="L40" i="52"/>
  <c r="I40" i="52"/>
  <c r="F40" i="52"/>
  <c r="T39" i="52"/>
  <c r="AV39" i="52" s="1"/>
  <c r="T38" i="52"/>
  <c r="AV38" i="52" s="1"/>
  <c r="R38" i="52"/>
  <c r="O38" i="52"/>
  <c r="L38" i="52"/>
  <c r="I38" i="52"/>
  <c r="F38" i="52"/>
  <c r="T37" i="52"/>
  <c r="AV37" i="52" s="1"/>
  <c r="F37" i="52"/>
  <c r="T36" i="52"/>
  <c r="AV36" i="52" s="1"/>
  <c r="T35" i="52"/>
  <c r="AV35" i="52" s="1"/>
  <c r="O35" i="52"/>
  <c r="L35" i="52"/>
  <c r="I35" i="52"/>
  <c r="F35" i="52"/>
  <c r="T34" i="52"/>
  <c r="AV34" i="52" s="1"/>
  <c r="R34" i="52"/>
  <c r="F34" i="52"/>
  <c r="T33" i="52"/>
  <c r="AV33" i="52" s="1"/>
  <c r="T15" i="52"/>
  <c r="T14" i="52"/>
  <c r="T13" i="52"/>
  <c r="AV13" i="52" s="1"/>
  <c r="T12" i="52"/>
  <c r="T11" i="52"/>
  <c r="AV11" i="52" s="1"/>
  <c r="T10" i="52"/>
  <c r="AV10" i="52" s="1"/>
  <c r="R15" i="52"/>
  <c r="R14" i="52"/>
  <c r="R12" i="52"/>
  <c r="R9" i="52"/>
  <c r="R8" i="52"/>
  <c r="O15" i="52"/>
  <c r="O14" i="52"/>
  <c r="O12" i="52"/>
  <c r="O11" i="52"/>
  <c r="O9" i="52"/>
  <c r="O8" i="52"/>
  <c r="L15" i="52"/>
  <c r="L14" i="52"/>
  <c r="L12" i="52"/>
  <c r="L9" i="52"/>
  <c r="L8" i="52"/>
  <c r="I15" i="52"/>
  <c r="I14" i="52"/>
  <c r="I12" i="52"/>
  <c r="I11" i="52"/>
  <c r="I9" i="52"/>
  <c r="I8" i="52"/>
  <c r="F15" i="52"/>
  <c r="F14" i="52"/>
  <c r="F12" i="52"/>
  <c r="F11" i="52"/>
  <c r="F9" i="52"/>
  <c r="F8" i="52"/>
  <c r="Q16" i="52"/>
  <c r="N16" i="52"/>
  <c r="K16" i="52"/>
  <c r="H16" i="52"/>
  <c r="E16" i="52"/>
  <c r="B33" i="52"/>
  <c r="B39" i="52"/>
  <c r="B117" i="52"/>
  <c r="B8" i="53"/>
  <c r="B18" i="16"/>
  <c r="B17" i="16"/>
  <c r="B16" i="16"/>
  <c r="B15" i="16"/>
  <c r="B14" i="16"/>
  <c r="AT17" i="59"/>
  <c r="BC15" i="59"/>
  <c r="BB15" i="59"/>
  <c r="BA15" i="59"/>
  <c r="AZ15" i="59"/>
  <c r="AY15" i="59"/>
  <c r="AU15" i="59"/>
  <c r="AL15" i="59" s="1"/>
  <c r="BC14" i="59"/>
  <c r="BB14" i="59"/>
  <c r="BA14" i="59"/>
  <c r="AZ14" i="59"/>
  <c r="AY14" i="59"/>
  <c r="AU14" i="59"/>
  <c r="AL14" i="59"/>
  <c r="BC13" i="59"/>
  <c r="BB13" i="59"/>
  <c r="BA13" i="59"/>
  <c r="AZ13" i="59"/>
  <c r="AY13" i="59"/>
  <c r="AU13" i="59"/>
  <c r="AL13" i="59" s="1"/>
  <c r="BC12" i="59"/>
  <c r="BB12" i="59"/>
  <c r="BA12" i="59"/>
  <c r="AZ12" i="59"/>
  <c r="AY12" i="59"/>
  <c r="AU12" i="59"/>
  <c r="AL12" i="59" s="1"/>
  <c r="BC11" i="59"/>
  <c r="BB11" i="59"/>
  <c r="BA11" i="59"/>
  <c r="AZ11" i="59"/>
  <c r="AY11" i="59"/>
  <c r="AU11" i="59"/>
  <c r="AL11" i="59" s="1"/>
  <c r="BC10" i="59"/>
  <c r="BB10" i="59"/>
  <c r="BA10" i="59"/>
  <c r="AZ10" i="59"/>
  <c r="AY10" i="59"/>
  <c r="AU10" i="59"/>
  <c r="AL10" i="59" s="1"/>
  <c r="BC9" i="59"/>
  <c r="BB9" i="59"/>
  <c r="BA9" i="59"/>
  <c r="AZ9" i="59"/>
  <c r="AY9" i="59"/>
  <c r="AU9" i="59"/>
  <c r="AL9" i="59" s="1"/>
  <c r="BC8" i="59"/>
  <c r="BB8" i="59"/>
  <c r="BA8" i="59"/>
  <c r="AZ8" i="59"/>
  <c r="AY8" i="59"/>
  <c r="AU8" i="59"/>
  <c r="AL8" i="59" s="1"/>
  <c r="BC7" i="59"/>
  <c r="BB7" i="59"/>
  <c r="BA7" i="59"/>
  <c r="AZ7" i="59"/>
  <c r="AY7" i="59"/>
  <c r="AU7" i="59"/>
  <c r="AL7" i="59" s="1"/>
  <c r="AT17" i="58"/>
  <c r="BC15" i="58"/>
  <c r="BB15" i="58"/>
  <c r="BA15" i="58"/>
  <c r="AZ15" i="58"/>
  <c r="AY15" i="58"/>
  <c r="AU15" i="58"/>
  <c r="AL15" i="58" s="1"/>
  <c r="BC14" i="58"/>
  <c r="BB14" i="58"/>
  <c r="BA14" i="58"/>
  <c r="AZ14" i="58"/>
  <c r="AY14" i="58"/>
  <c r="AU14" i="58"/>
  <c r="AL14" i="58" s="1"/>
  <c r="BC13" i="58"/>
  <c r="BB13" i="58"/>
  <c r="BA13" i="58"/>
  <c r="AZ13" i="58"/>
  <c r="AY13" i="58"/>
  <c r="AU13" i="58"/>
  <c r="AL13" i="58" s="1"/>
  <c r="BC12" i="58"/>
  <c r="BB12" i="58"/>
  <c r="BA12" i="58"/>
  <c r="AZ12" i="58"/>
  <c r="AY12" i="58"/>
  <c r="AU12" i="58"/>
  <c r="BC11" i="58"/>
  <c r="BB11" i="58"/>
  <c r="BA11" i="58"/>
  <c r="AZ11" i="58"/>
  <c r="AY11" i="58"/>
  <c r="AU11" i="58"/>
  <c r="AL11" i="58" s="1"/>
  <c r="BC10" i="58"/>
  <c r="BB10" i="58"/>
  <c r="BA10" i="58"/>
  <c r="AZ10" i="58"/>
  <c r="AY10" i="58"/>
  <c r="AU10" i="58"/>
  <c r="AL10" i="58" s="1"/>
  <c r="BC9" i="58"/>
  <c r="BB9" i="58"/>
  <c r="BA9" i="58"/>
  <c r="AZ9" i="58"/>
  <c r="AY9" i="58"/>
  <c r="AU9" i="58"/>
  <c r="AL9" i="58" s="1"/>
  <c r="BC8" i="58"/>
  <c r="BB8" i="58"/>
  <c r="BA8" i="58"/>
  <c r="AZ8" i="58"/>
  <c r="AY8" i="58"/>
  <c r="AU8" i="58"/>
  <c r="AL8" i="58" s="1"/>
  <c r="BC7" i="58"/>
  <c r="BB7" i="58"/>
  <c r="BA7" i="58"/>
  <c r="AZ7" i="58"/>
  <c r="AY7" i="58"/>
  <c r="AU7" i="58"/>
  <c r="AT17" i="57"/>
  <c r="BC15" i="57"/>
  <c r="BB15" i="57"/>
  <c r="BA15" i="57"/>
  <c r="AZ15" i="57"/>
  <c r="AY15" i="57"/>
  <c r="AU15" i="57"/>
  <c r="AL15" i="57" s="1"/>
  <c r="BC14" i="57"/>
  <c r="BB14" i="57"/>
  <c r="BA14" i="57"/>
  <c r="AZ14" i="57"/>
  <c r="AY14" i="57"/>
  <c r="AU14" i="57"/>
  <c r="AL14" i="57" s="1"/>
  <c r="BC13" i="57"/>
  <c r="BB13" i="57"/>
  <c r="BA13" i="57"/>
  <c r="AZ13" i="57"/>
  <c r="AY13" i="57"/>
  <c r="AU13" i="57"/>
  <c r="AL13" i="57" s="1"/>
  <c r="BC12" i="57"/>
  <c r="BB12" i="57"/>
  <c r="BA12" i="57"/>
  <c r="AZ12" i="57"/>
  <c r="AY12" i="57"/>
  <c r="AU12" i="57"/>
  <c r="AL12" i="57" s="1"/>
  <c r="BC11" i="57"/>
  <c r="BB11" i="57"/>
  <c r="BA11" i="57"/>
  <c r="AZ11" i="57"/>
  <c r="AY11" i="57"/>
  <c r="AU11" i="57"/>
  <c r="AL11" i="57" s="1"/>
  <c r="BC10" i="57"/>
  <c r="BB10" i="57"/>
  <c r="BA10" i="57"/>
  <c r="AZ10" i="57"/>
  <c r="AY10" i="57"/>
  <c r="AU10" i="57"/>
  <c r="AL10" i="57" s="1"/>
  <c r="BC9" i="57"/>
  <c r="BB9" i="57"/>
  <c r="BA9" i="57"/>
  <c r="AZ9" i="57"/>
  <c r="AY9" i="57"/>
  <c r="AU9" i="57"/>
  <c r="AL9" i="57" s="1"/>
  <c r="BC8" i="57"/>
  <c r="BB8" i="57"/>
  <c r="BA8" i="57"/>
  <c r="AZ8" i="57"/>
  <c r="AY8" i="57"/>
  <c r="BK8" i="57" s="1"/>
  <c r="AU8" i="57"/>
  <c r="AL8" i="57" s="1"/>
  <c r="BC7" i="57"/>
  <c r="BB7" i="57"/>
  <c r="BA7" i="57"/>
  <c r="AZ7" i="57"/>
  <c r="AY7" i="57"/>
  <c r="AU7" i="57"/>
  <c r="AL7" i="57" s="1"/>
  <c r="AT17" i="55"/>
  <c r="BC15" i="55"/>
  <c r="BB15" i="55"/>
  <c r="BA15" i="55"/>
  <c r="AZ15" i="55"/>
  <c r="AY15" i="55"/>
  <c r="AU15" i="55"/>
  <c r="AL15" i="55" s="1"/>
  <c r="BC14" i="55"/>
  <c r="BB14" i="55"/>
  <c r="BA14" i="55"/>
  <c r="AZ14" i="55"/>
  <c r="AY14" i="55"/>
  <c r="AU14" i="55"/>
  <c r="AL14" i="55" s="1"/>
  <c r="BC13" i="55"/>
  <c r="BB13" i="55"/>
  <c r="BA13" i="55"/>
  <c r="AZ13" i="55"/>
  <c r="AY13" i="55"/>
  <c r="AU13" i="55"/>
  <c r="AL13" i="55" s="1"/>
  <c r="BC12" i="55"/>
  <c r="BB12" i="55"/>
  <c r="BA12" i="55"/>
  <c r="AZ12" i="55"/>
  <c r="AY12" i="55"/>
  <c r="AU12" i="55"/>
  <c r="AL12" i="55" s="1"/>
  <c r="BC11" i="55"/>
  <c r="BB11" i="55"/>
  <c r="BA11" i="55"/>
  <c r="AZ11" i="55"/>
  <c r="AY11" i="55"/>
  <c r="AU11" i="55"/>
  <c r="AL11" i="55" s="1"/>
  <c r="BC10" i="55"/>
  <c r="BB10" i="55"/>
  <c r="BA10" i="55"/>
  <c r="AZ10" i="55"/>
  <c r="AY10" i="55"/>
  <c r="AU10" i="55"/>
  <c r="AL10" i="55" s="1"/>
  <c r="BC9" i="55"/>
  <c r="BB9" i="55"/>
  <c r="BA9" i="55"/>
  <c r="AZ9" i="55"/>
  <c r="AY9" i="55"/>
  <c r="AU9" i="55"/>
  <c r="AL9" i="55" s="1"/>
  <c r="BC8" i="55"/>
  <c r="BB8" i="55"/>
  <c r="BA8" i="55"/>
  <c r="AZ8" i="55"/>
  <c r="AY8" i="55"/>
  <c r="AU8" i="55"/>
  <c r="AL8" i="55" s="1"/>
  <c r="BC7" i="55"/>
  <c r="BB7" i="55"/>
  <c r="BA7" i="55"/>
  <c r="AZ7" i="55"/>
  <c r="AY7" i="55"/>
  <c r="AU7" i="55"/>
  <c r="AL7" i="55" s="1"/>
  <c r="AT17" i="53"/>
  <c r="BC15" i="53"/>
  <c r="BB15" i="53"/>
  <c r="BA15" i="53"/>
  <c r="AZ15" i="53"/>
  <c r="AY15" i="53"/>
  <c r="AU15" i="53"/>
  <c r="AL15" i="53" s="1"/>
  <c r="BC14" i="53"/>
  <c r="BB14" i="53"/>
  <c r="BA14" i="53"/>
  <c r="AZ14" i="53"/>
  <c r="AY14" i="53"/>
  <c r="AU14" i="53"/>
  <c r="AL14" i="53" s="1"/>
  <c r="BC13" i="53"/>
  <c r="BB13" i="53"/>
  <c r="BA13" i="53"/>
  <c r="AZ13" i="53"/>
  <c r="AY13" i="53"/>
  <c r="AU13" i="53"/>
  <c r="AL13" i="53" s="1"/>
  <c r="BC12" i="53"/>
  <c r="BB12" i="53"/>
  <c r="BA12" i="53"/>
  <c r="AZ12" i="53"/>
  <c r="AY12" i="53"/>
  <c r="AU12" i="53"/>
  <c r="AL12" i="53" s="1"/>
  <c r="BC11" i="53"/>
  <c r="BB11" i="53"/>
  <c r="BA11" i="53"/>
  <c r="AZ11" i="53"/>
  <c r="AY11" i="53"/>
  <c r="AU11" i="53"/>
  <c r="AL11" i="53" s="1"/>
  <c r="BC10" i="53"/>
  <c r="BB10" i="53"/>
  <c r="BA10" i="53"/>
  <c r="AZ10" i="53"/>
  <c r="AY10" i="53"/>
  <c r="AU10" i="53"/>
  <c r="AL10" i="53" s="1"/>
  <c r="BC9" i="53"/>
  <c r="BB9" i="53"/>
  <c r="BA9" i="53"/>
  <c r="AZ9" i="53"/>
  <c r="AY9" i="53"/>
  <c r="AU9" i="53"/>
  <c r="AL9" i="53" s="1"/>
  <c r="BC8" i="53"/>
  <c r="BB8" i="53"/>
  <c r="BA8" i="53"/>
  <c r="AZ8" i="53"/>
  <c r="AY8" i="53"/>
  <c r="AU8" i="53"/>
  <c r="AL8" i="53" s="1"/>
  <c r="BC7" i="53"/>
  <c r="BB7" i="53"/>
  <c r="BA7" i="53"/>
  <c r="AZ7" i="53"/>
  <c r="AY7" i="53"/>
  <c r="AU7" i="53"/>
  <c r="AL7" i="53" s="1"/>
  <c r="AT17" i="52"/>
  <c r="BC15" i="52"/>
  <c r="BB15" i="52"/>
  <c r="BA15" i="52"/>
  <c r="AZ15" i="52"/>
  <c r="AY15" i="52"/>
  <c r="AU15" i="52"/>
  <c r="BC14" i="52"/>
  <c r="BB14" i="52"/>
  <c r="BA14" i="52"/>
  <c r="AZ14" i="52"/>
  <c r="AY14" i="52"/>
  <c r="AU14" i="52"/>
  <c r="AL14" i="52" s="1"/>
  <c r="BC13" i="52"/>
  <c r="BB13" i="52"/>
  <c r="BA13" i="52"/>
  <c r="AZ13" i="52"/>
  <c r="AY13" i="52"/>
  <c r="AU13" i="52"/>
  <c r="AL13" i="52" s="1"/>
  <c r="BC12" i="52"/>
  <c r="BB12" i="52"/>
  <c r="BA12" i="52"/>
  <c r="AZ12" i="52"/>
  <c r="AY12" i="52"/>
  <c r="AU12" i="52"/>
  <c r="AL12" i="52" s="1"/>
  <c r="BC11" i="52"/>
  <c r="BB11" i="52"/>
  <c r="BA11" i="52"/>
  <c r="AZ11" i="52"/>
  <c r="AY11" i="52"/>
  <c r="AU11" i="52"/>
  <c r="BC10" i="52"/>
  <c r="BB10" i="52"/>
  <c r="BA10" i="52"/>
  <c r="AZ10" i="52"/>
  <c r="AY10" i="52"/>
  <c r="AU10" i="52"/>
  <c r="AL10" i="52" s="1"/>
  <c r="BC9" i="52"/>
  <c r="BB9" i="52"/>
  <c r="BA9" i="52"/>
  <c r="AZ9" i="52"/>
  <c r="AY9" i="52"/>
  <c r="AU9" i="52"/>
  <c r="BC8" i="52"/>
  <c r="BB8" i="52"/>
  <c r="BA8" i="52"/>
  <c r="AZ8" i="52"/>
  <c r="AY8" i="52"/>
  <c r="AU8" i="52"/>
  <c r="AL8" i="52" s="1"/>
  <c r="A1" i="72"/>
  <c r="A1" i="60"/>
  <c r="L104" i="104"/>
  <c r="L103" i="104"/>
  <c r="L102" i="104"/>
  <c r="L101" i="104"/>
  <c r="L100" i="104"/>
  <c r="L99" i="104"/>
  <c r="L98" i="104"/>
  <c r="L97" i="104"/>
  <c r="L96" i="104"/>
  <c r="L95" i="104"/>
  <c r="L94" i="104"/>
  <c r="L93" i="104"/>
  <c r="L92" i="104"/>
  <c r="L91" i="104"/>
  <c r="L90" i="104"/>
  <c r="L89" i="104"/>
  <c r="L88" i="104"/>
  <c r="L87" i="104"/>
  <c r="L86" i="104"/>
  <c r="L85" i="104"/>
  <c r="L84" i="104"/>
  <c r="L83" i="104"/>
  <c r="L82" i="104"/>
  <c r="L81" i="104"/>
  <c r="L80" i="104"/>
  <c r="L79" i="104"/>
  <c r="L78" i="104"/>
  <c r="L77" i="104"/>
  <c r="L76" i="104"/>
  <c r="L75" i="104"/>
  <c r="L74" i="104"/>
  <c r="L73" i="104"/>
  <c r="L72" i="104"/>
  <c r="L71" i="104"/>
  <c r="L70" i="104"/>
  <c r="L69" i="104"/>
  <c r="L68" i="104"/>
  <c r="L67" i="104"/>
  <c r="L66" i="104"/>
  <c r="L65" i="104"/>
  <c r="L64" i="104"/>
  <c r="L63" i="104"/>
  <c r="L62" i="104"/>
  <c r="L61" i="104"/>
  <c r="L60" i="104"/>
  <c r="L59" i="104"/>
  <c r="L58" i="104"/>
  <c r="L57" i="104"/>
  <c r="L56" i="104"/>
  <c r="L55" i="104"/>
  <c r="L54" i="104"/>
  <c r="L53" i="104"/>
  <c r="L52" i="104"/>
  <c r="L51" i="104"/>
  <c r="L50" i="104"/>
  <c r="L49" i="104"/>
  <c r="L48" i="104"/>
  <c r="L47" i="104"/>
  <c r="L46" i="104"/>
  <c r="L45" i="104"/>
  <c r="L44" i="104"/>
  <c r="L43" i="104"/>
  <c r="L42" i="104"/>
  <c r="L41" i="104"/>
  <c r="L40" i="104"/>
  <c r="L39" i="104"/>
  <c r="L38" i="104"/>
  <c r="L37" i="104"/>
  <c r="L36" i="104"/>
  <c r="L35" i="104"/>
  <c r="L34" i="104"/>
  <c r="L33" i="104"/>
  <c r="L32" i="104"/>
  <c r="L31" i="104"/>
  <c r="L30" i="104"/>
  <c r="L29" i="104"/>
  <c r="L28" i="104"/>
  <c r="L27" i="104"/>
  <c r="L26" i="104"/>
  <c r="L25" i="104"/>
  <c r="L24" i="104"/>
  <c r="L23" i="104"/>
  <c r="L22" i="104"/>
  <c r="L21" i="104"/>
  <c r="L20" i="104"/>
  <c r="L19" i="104"/>
  <c r="L18" i="104"/>
  <c r="L17" i="104"/>
  <c r="L16" i="104"/>
  <c r="L15" i="104"/>
  <c r="L14" i="104"/>
  <c r="L13" i="104"/>
  <c r="L12" i="104"/>
  <c r="L11" i="104"/>
  <c r="L10" i="104"/>
  <c r="L9" i="104"/>
  <c r="L8" i="104"/>
  <c r="L7" i="104"/>
  <c r="L6" i="104"/>
  <c r="L5" i="104"/>
  <c r="L4" i="104"/>
  <c r="L3" i="104"/>
  <c r="L2" i="104"/>
  <c r="L104" i="99"/>
  <c r="L103" i="99"/>
  <c r="L102" i="99"/>
  <c r="L101" i="99"/>
  <c r="L100" i="99"/>
  <c r="L99" i="99"/>
  <c r="L98" i="99"/>
  <c r="L97" i="99"/>
  <c r="L96" i="99"/>
  <c r="L95" i="99"/>
  <c r="L94" i="99"/>
  <c r="L93" i="99"/>
  <c r="L92" i="99"/>
  <c r="L91" i="99"/>
  <c r="L90" i="99"/>
  <c r="L89" i="99"/>
  <c r="L88" i="99"/>
  <c r="L87" i="99"/>
  <c r="L86" i="99"/>
  <c r="L85" i="99"/>
  <c r="L84" i="99"/>
  <c r="L83" i="99"/>
  <c r="L82" i="99"/>
  <c r="L81" i="99"/>
  <c r="L80" i="99"/>
  <c r="L79" i="99"/>
  <c r="L78" i="99"/>
  <c r="L77" i="99"/>
  <c r="L76" i="99"/>
  <c r="L75" i="99"/>
  <c r="L74" i="99"/>
  <c r="L73" i="99"/>
  <c r="L72" i="99"/>
  <c r="L71" i="99"/>
  <c r="L70" i="99"/>
  <c r="L69" i="99"/>
  <c r="L68" i="99"/>
  <c r="L67" i="99"/>
  <c r="L66" i="99"/>
  <c r="L65" i="99"/>
  <c r="L64" i="99"/>
  <c r="L63" i="99"/>
  <c r="L62" i="99"/>
  <c r="L61" i="99"/>
  <c r="L60" i="99"/>
  <c r="L59" i="99"/>
  <c r="L58" i="99"/>
  <c r="L57" i="99"/>
  <c r="L56" i="99"/>
  <c r="L55" i="99"/>
  <c r="L54" i="99"/>
  <c r="L53" i="99"/>
  <c r="L52" i="99"/>
  <c r="L51" i="99"/>
  <c r="L50" i="99"/>
  <c r="L49" i="99"/>
  <c r="L48" i="99"/>
  <c r="L47" i="99"/>
  <c r="L46" i="99"/>
  <c r="L45" i="99"/>
  <c r="L44" i="99"/>
  <c r="L43" i="99"/>
  <c r="L42" i="99"/>
  <c r="L41" i="99"/>
  <c r="L40" i="99"/>
  <c r="L39" i="99"/>
  <c r="L38" i="99"/>
  <c r="L37" i="99"/>
  <c r="L36" i="99"/>
  <c r="L35" i="99"/>
  <c r="L34" i="99"/>
  <c r="L33" i="99"/>
  <c r="L32" i="99"/>
  <c r="L31" i="99"/>
  <c r="L30" i="99"/>
  <c r="L29" i="99"/>
  <c r="L28" i="99"/>
  <c r="L27" i="99"/>
  <c r="L26" i="99"/>
  <c r="L25" i="99"/>
  <c r="L24" i="99"/>
  <c r="L23" i="99"/>
  <c r="L22" i="99"/>
  <c r="L21" i="99"/>
  <c r="L20" i="99"/>
  <c r="L19" i="99"/>
  <c r="L18" i="99"/>
  <c r="L17" i="99"/>
  <c r="L16" i="99"/>
  <c r="L15" i="99"/>
  <c r="L14" i="99"/>
  <c r="L13" i="99"/>
  <c r="L12" i="99"/>
  <c r="L11" i="99"/>
  <c r="L10" i="99"/>
  <c r="L9" i="99"/>
  <c r="L8" i="99"/>
  <c r="L7" i="99"/>
  <c r="L6" i="99"/>
  <c r="L5" i="99"/>
  <c r="L4" i="99"/>
  <c r="L3" i="99"/>
  <c r="L2" i="99"/>
  <c r="L104" i="103"/>
  <c r="L103" i="103"/>
  <c r="L102" i="103"/>
  <c r="L101" i="103"/>
  <c r="L100" i="103"/>
  <c r="L99" i="103"/>
  <c r="L98" i="103"/>
  <c r="L97" i="103"/>
  <c r="L96" i="103"/>
  <c r="L95" i="103"/>
  <c r="L94" i="103"/>
  <c r="L93" i="103"/>
  <c r="L92" i="103"/>
  <c r="L91" i="103"/>
  <c r="L90" i="103"/>
  <c r="L89" i="103"/>
  <c r="L88" i="103"/>
  <c r="L87" i="103"/>
  <c r="L86" i="103"/>
  <c r="L85" i="103"/>
  <c r="L84" i="103"/>
  <c r="L83" i="103"/>
  <c r="L82" i="103"/>
  <c r="L81" i="103"/>
  <c r="L80" i="103"/>
  <c r="L79" i="103"/>
  <c r="L78" i="103"/>
  <c r="L77" i="103"/>
  <c r="L76" i="103"/>
  <c r="L75" i="103"/>
  <c r="L74" i="103"/>
  <c r="L73" i="103"/>
  <c r="L72" i="103"/>
  <c r="L71" i="103"/>
  <c r="L70" i="103"/>
  <c r="L69" i="103"/>
  <c r="L68" i="103"/>
  <c r="L67" i="103"/>
  <c r="L66" i="103"/>
  <c r="L65" i="103"/>
  <c r="L64" i="103"/>
  <c r="L63" i="103"/>
  <c r="L62" i="103"/>
  <c r="L61" i="103"/>
  <c r="L60" i="103"/>
  <c r="L59" i="103"/>
  <c r="L58" i="103"/>
  <c r="L57" i="103"/>
  <c r="L56" i="103"/>
  <c r="L55" i="103"/>
  <c r="L54" i="103"/>
  <c r="L53" i="103"/>
  <c r="L52" i="103"/>
  <c r="L51" i="103"/>
  <c r="L50" i="103"/>
  <c r="L49" i="103"/>
  <c r="L48" i="103"/>
  <c r="L47" i="103"/>
  <c r="L46" i="103"/>
  <c r="L45" i="103"/>
  <c r="L44" i="103"/>
  <c r="L43" i="103"/>
  <c r="L42" i="103"/>
  <c r="L41" i="103"/>
  <c r="L40" i="103"/>
  <c r="L39" i="103"/>
  <c r="L38" i="103"/>
  <c r="L37" i="103"/>
  <c r="L36" i="103"/>
  <c r="L35" i="103"/>
  <c r="L34" i="103"/>
  <c r="L33" i="103"/>
  <c r="L32" i="103"/>
  <c r="L31" i="103"/>
  <c r="L30" i="103"/>
  <c r="L29" i="103"/>
  <c r="L28" i="103"/>
  <c r="L27" i="103"/>
  <c r="L26" i="103"/>
  <c r="L25" i="103"/>
  <c r="L24" i="103"/>
  <c r="L23" i="103"/>
  <c r="L22" i="103"/>
  <c r="L21" i="103"/>
  <c r="L20" i="103"/>
  <c r="L19" i="103"/>
  <c r="L18" i="103"/>
  <c r="L17" i="103"/>
  <c r="L16" i="103"/>
  <c r="L15" i="103"/>
  <c r="L14" i="103"/>
  <c r="L13" i="103"/>
  <c r="L12" i="103"/>
  <c r="L11" i="103"/>
  <c r="L10" i="103"/>
  <c r="L9" i="103"/>
  <c r="L8" i="103"/>
  <c r="L7" i="103"/>
  <c r="L6" i="103"/>
  <c r="L5" i="103"/>
  <c r="L4" i="103"/>
  <c r="L3" i="103"/>
  <c r="L2" i="103"/>
  <c r="L104" i="98"/>
  <c r="L103" i="98"/>
  <c r="L102" i="98"/>
  <c r="L101" i="98"/>
  <c r="L100" i="98"/>
  <c r="L99" i="98"/>
  <c r="L98" i="98"/>
  <c r="L97" i="98"/>
  <c r="L96" i="98"/>
  <c r="L95" i="98"/>
  <c r="L94" i="98"/>
  <c r="L93" i="98"/>
  <c r="L92" i="98"/>
  <c r="L91" i="98"/>
  <c r="L90" i="98"/>
  <c r="L89" i="98"/>
  <c r="L88" i="98"/>
  <c r="L87" i="98"/>
  <c r="L86" i="98"/>
  <c r="L85" i="98"/>
  <c r="L84" i="98"/>
  <c r="L83" i="98"/>
  <c r="L82" i="98"/>
  <c r="L81" i="98"/>
  <c r="L80" i="98"/>
  <c r="L79" i="98"/>
  <c r="L78" i="98"/>
  <c r="L77" i="98"/>
  <c r="L76" i="98"/>
  <c r="L75" i="98"/>
  <c r="L74" i="98"/>
  <c r="L73" i="98"/>
  <c r="L72" i="98"/>
  <c r="L71" i="98"/>
  <c r="L70" i="98"/>
  <c r="L69" i="98"/>
  <c r="L68" i="98"/>
  <c r="L67" i="98"/>
  <c r="L66" i="98"/>
  <c r="L65" i="98"/>
  <c r="L64" i="98"/>
  <c r="L63" i="98"/>
  <c r="L62" i="98"/>
  <c r="L61" i="98"/>
  <c r="L60" i="98"/>
  <c r="L59" i="98"/>
  <c r="L58" i="98"/>
  <c r="L57" i="98"/>
  <c r="L56" i="98"/>
  <c r="L55" i="98"/>
  <c r="L54" i="98"/>
  <c r="L53" i="98"/>
  <c r="L52" i="98"/>
  <c r="L51" i="98"/>
  <c r="L50" i="98"/>
  <c r="L49" i="98"/>
  <c r="L48" i="98"/>
  <c r="L47" i="98"/>
  <c r="L46" i="98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4" i="98"/>
  <c r="L13" i="98"/>
  <c r="L12" i="98"/>
  <c r="L11" i="98"/>
  <c r="L10" i="98"/>
  <c r="L9" i="98"/>
  <c r="L8" i="98"/>
  <c r="L7" i="98"/>
  <c r="L6" i="98"/>
  <c r="L5" i="98"/>
  <c r="L4" i="98"/>
  <c r="L3" i="98"/>
  <c r="L2" i="98"/>
  <c r="L104" i="102"/>
  <c r="L103" i="102"/>
  <c r="L102" i="102"/>
  <c r="L101" i="102"/>
  <c r="L100" i="102"/>
  <c r="L99" i="102"/>
  <c r="L98" i="102"/>
  <c r="L97" i="102"/>
  <c r="L96" i="102"/>
  <c r="L95" i="102"/>
  <c r="L94" i="102"/>
  <c r="L93" i="102"/>
  <c r="L92" i="102"/>
  <c r="L91" i="102"/>
  <c r="L90" i="102"/>
  <c r="L89" i="102"/>
  <c r="L88" i="102"/>
  <c r="L87" i="102"/>
  <c r="L86" i="102"/>
  <c r="L85" i="102"/>
  <c r="L84" i="102"/>
  <c r="L83" i="102"/>
  <c r="L82" i="102"/>
  <c r="L81" i="102"/>
  <c r="L80" i="102"/>
  <c r="L79" i="102"/>
  <c r="L78" i="102"/>
  <c r="L77" i="102"/>
  <c r="L76" i="102"/>
  <c r="L75" i="102"/>
  <c r="L74" i="102"/>
  <c r="L73" i="102"/>
  <c r="L72" i="102"/>
  <c r="L71" i="102"/>
  <c r="L70" i="102"/>
  <c r="L69" i="102"/>
  <c r="L68" i="102"/>
  <c r="L67" i="102"/>
  <c r="L66" i="102"/>
  <c r="L65" i="102"/>
  <c r="L64" i="102"/>
  <c r="L63" i="102"/>
  <c r="L62" i="102"/>
  <c r="L61" i="102"/>
  <c r="L60" i="102"/>
  <c r="L59" i="102"/>
  <c r="L58" i="102"/>
  <c r="L57" i="102"/>
  <c r="L56" i="102"/>
  <c r="L55" i="102"/>
  <c r="L54" i="102"/>
  <c r="L53" i="102"/>
  <c r="L52" i="102"/>
  <c r="L51" i="102"/>
  <c r="L50" i="102"/>
  <c r="L49" i="102"/>
  <c r="L48" i="102"/>
  <c r="L47" i="102"/>
  <c r="L46" i="102"/>
  <c r="L45" i="102"/>
  <c r="L44" i="102"/>
  <c r="L43" i="102"/>
  <c r="L42" i="102"/>
  <c r="L41" i="102"/>
  <c r="L40" i="102"/>
  <c r="L39" i="102"/>
  <c r="L38" i="102"/>
  <c r="L37" i="102"/>
  <c r="L36" i="102"/>
  <c r="L35" i="102"/>
  <c r="L34" i="102"/>
  <c r="L33" i="102"/>
  <c r="L32" i="102"/>
  <c r="L31" i="102"/>
  <c r="L30" i="102"/>
  <c r="L29" i="102"/>
  <c r="L28" i="102"/>
  <c r="L27" i="102"/>
  <c r="L26" i="102"/>
  <c r="L25" i="102"/>
  <c r="L24" i="102"/>
  <c r="L23" i="102"/>
  <c r="L22" i="102"/>
  <c r="L21" i="102"/>
  <c r="L20" i="102"/>
  <c r="L19" i="102"/>
  <c r="L18" i="102"/>
  <c r="L17" i="102"/>
  <c r="L16" i="102"/>
  <c r="L15" i="102"/>
  <c r="L14" i="102"/>
  <c r="L13" i="102"/>
  <c r="L12" i="102"/>
  <c r="L11" i="102"/>
  <c r="L10" i="102"/>
  <c r="L9" i="102"/>
  <c r="L8" i="102"/>
  <c r="L7" i="102"/>
  <c r="L6" i="102"/>
  <c r="L5" i="102"/>
  <c r="L4" i="102"/>
  <c r="L3" i="102"/>
  <c r="L2" i="102"/>
  <c r="L104" i="97"/>
  <c r="L103" i="97"/>
  <c r="L102" i="97"/>
  <c r="L101" i="97"/>
  <c r="L100" i="97"/>
  <c r="L99" i="97"/>
  <c r="L98" i="97"/>
  <c r="L97" i="97"/>
  <c r="L96" i="97"/>
  <c r="L95" i="97"/>
  <c r="L94" i="97"/>
  <c r="L93" i="97"/>
  <c r="L92" i="97"/>
  <c r="L91" i="97"/>
  <c r="L90" i="97"/>
  <c r="L89" i="97"/>
  <c r="L88" i="97"/>
  <c r="L87" i="97"/>
  <c r="L86" i="97"/>
  <c r="L85" i="97"/>
  <c r="L84" i="97"/>
  <c r="L83" i="97"/>
  <c r="L82" i="97"/>
  <c r="L81" i="97"/>
  <c r="L80" i="97"/>
  <c r="L79" i="97"/>
  <c r="L78" i="97"/>
  <c r="L77" i="97"/>
  <c r="L76" i="97"/>
  <c r="L75" i="97"/>
  <c r="L74" i="97"/>
  <c r="L73" i="97"/>
  <c r="L72" i="97"/>
  <c r="L71" i="97"/>
  <c r="L70" i="97"/>
  <c r="L69" i="97"/>
  <c r="L68" i="97"/>
  <c r="L67" i="97"/>
  <c r="L66" i="97"/>
  <c r="L65" i="97"/>
  <c r="L64" i="97"/>
  <c r="L63" i="97"/>
  <c r="L62" i="97"/>
  <c r="L61" i="97"/>
  <c r="L60" i="97"/>
  <c r="L59" i="97"/>
  <c r="L58" i="97"/>
  <c r="L57" i="97"/>
  <c r="L56" i="97"/>
  <c r="L55" i="97"/>
  <c r="L54" i="97"/>
  <c r="L53" i="97"/>
  <c r="L52" i="97"/>
  <c r="L51" i="97"/>
  <c r="L50" i="97"/>
  <c r="L49" i="97"/>
  <c r="L48" i="97"/>
  <c r="L47" i="97"/>
  <c r="L46" i="97"/>
  <c r="L45" i="97"/>
  <c r="L44" i="97"/>
  <c r="L43" i="97"/>
  <c r="L42" i="97"/>
  <c r="L41" i="97"/>
  <c r="L40" i="97"/>
  <c r="L39" i="97"/>
  <c r="L38" i="97"/>
  <c r="L37" i="97"/>
  <c r="L36" i="97"/>
  <c r="L35" i="97"/>
  <c r="L34" i="97"/>
  <c r="L33" i="97"/>
  <c r="L32" i="97"/>
  <c r="L31" i="97"/>
  <c r="L30" i="97"/>
  <c r="L29" i="97"/>
  <c r="L28" i="97"/>
  <c r="L27" i="97"/>
  <c r="L26" i="97"/>
  <c r="L25" i="97"/>
  <c r="L24" i="97"/>
  <c r="L23" i="97"/>
  <c r="L22" i="97"/>
  <c r="L21" i="97"/>
  <c r="L20" i="97"/>
  <c r="L19" i="97"/>
  <c r="L18" i="97"/>
  <c r="L17" i="97"/>
  <c r="L16" i="97"/>
  <c r="L15" i="97"/>
  <c r="L14" i="97"/>
  <c r="L13" i="97"/>
  <c r="L12" i="97"/>
  <c r="L11" i="97"/>
  <c r="L10" i="97"/>
  <c r="L9" i="97"/>
  <c r="L8" i="97"/>
  <c r="L7" i="97"/>
  <c r="L6" i="97"/>
  <c r="L5" i="97"/>
  <c r="L4" i="97"/>
  <c r="L3" i="97"/>
  <c r="L2" i="97"/>
  <c r="L104" i="101"/>
  <c r="L103" i="101"/>
  <c r="L102" i="101"/>
  <c r="L101" i="101"/>
  <c r="L100" i="101"/>
  <c r="L99" i="101"/>
  <c r="L98" i="101"/>
  <c r="L97" i="101"/>
  <c r="L96" i="101"/>
  <c r="L95" i="101"/>
  <c r="L94" i="101"/>
  <c r="L93" i="101"/>
  <c r="L92" i="101"/>
  <c r="L91" i="101"/>
  <c r="L90" i="101"/>
  <c r="L89" i="101"/>
  <c r="L88" i="101"/>
  <c r="L87" i="101"/>
  <c r="L86" i="101"/>
  <c r="L85" i="101"/>
  <c r="L84" i="101"/>
  <c r="L83" i="101"/>
  <c r="L82" i="101"/>
  <c r="L81" i="101"/>
  <c r="L80" i="101"/>
  <c r="L79" i="101"/>
  <c r="L78" i="101"/>
  <c r="L77" i="101"/>
  <c r="L76" i="101"/>
  <c r="L75" i="101"/>
  <c r="L74" i="101"/>
  <c r="L73" i="101"/>
  <c r="L72" i="101"/>
  <c r="L71" i="101"/>
  <c r="L70" i="101"/>
  <c r="L69" i="101"/>
  <c r="L68" i="101"/>
  <c r="L67" i="101"/>
  <c r="L66" i="101"/>
  <c r="L65" i="101"/>
  <c r="L64" i="101"/>
  <c r="L63" i="101"/>
  <c r="L62" i="101"/>
  <c r="L61" i="101"/>
  <c r="L60" i="101"/>
  <c r="L59" i="101"/>
  <c r="L58" i="101"/>
  <c r="L57" i="101"/>
  <c r="L56" i="101"/>
  <c r="L55" i="101"/>
  <c r="L54" i="101"/>
  <c r="L53" i="101"/>
  <c r="L52" i="101"/>
  <c r="L51" i="101"/>
  <c r="L50" i="101"/>
  <c r="L49" i="101"/>
  <c r="L48" i="101"/>
  <c r="L47" i="101"/>
  <c r="L46" i="101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L4" i="101"/>
  <c r="L3" i="101"/>
  <c r="L2" i="101"/>
  <c r="L104" i="96"/>
  <c r="L103" i="96"/>
  <c r="L102" i="96"/>
  <c r="L101" i="96"/>
  <c r="L100" i="96"/>
  <c r="L99" i="96"/>
  <c r="L98" i="96"/>
  <c r="L97" i="96"/>
  <c r="L96" i="96"/>
  <c r="L95" i="96"/>
  <c r="L94" i="96"/>
  <c r="L93" i="96"/>
  <c r="L92" i="96"/>
  <c r="L91" i="96"/>
  <c r="L90" i="96"/>
  <c r="L89" i="96"/>
  <c r="L88" i="96"/>
  <c r="L87" i="96"/>
  <c r="L86" i="96"/>
  <c r="L85" i="96"/>
  <c r="L84" i="96"/>
  <c r="L83" i="96"/>
  <c r="L82" i="96"/>
  <c r="L81" i="96"/>
  <c r="L80" i="96"/>
  <c r="L79" i="96"/>
  <c r="L78" i="96"/>
  <c r="L77" i="96"/>
  <c r="L76" i="96"/>
  <c r="L75" i="96"/>
  <c r="L74" i="96"/>
  <c r="L73" i="96"/>
  <c r="L72" i="96"/>
  <c r="L71" i="96"/>
  <c r="L70" i="96"/>
  <c r="L69" i="96"/>
  <c r="L68" i="96"/>
  <c r="L67" i="96"/>
  <c r="L66" i="96"/>
  <c r="L65" i="96"/>
  <c r="L64" i="96"/>
  <c r="L63" i="96"/>
  <c r="L62" i="96"/>
  <c r="L61" i="96"/>
  <c r="L60" i="96"/>
  <c r="L59" i="96"/>
  <c r="L58" i="96"/>
  <c r="L57" i="96"/>
  <c r="L56" i="96"/>
  <c r="L55" i="96"/>
  <c r="L54" i="96"/>
  <c r="L53" i="96"/>
  <c r="L52" i="96"/>
  <c r="L51" i="96"/>
  <c r="L50" i="96"/>
  <c r="L49" i="96"/>
  <c r="L48" i="96"/>
  <c r="L47" i="96"/>
  <c r="L46" i="96"/>
  <c r="L45" i="96"/>
  <c r="L44" i="96"/>
  <c r="L43" i="96"/>
  <c r="L42" i="96"/>
  <c r="L41" i="96"/>
  <c r="L40" i="96"/>
  <c r="L39" i="96"/>
  <c r="L38" i="96"/>
  <c r="L37" i="96"/>
  <c r="L36" i="96"/>
  <c r="L35" i="96"/>
  <c r="L34" i="96"/>
  <c r="L33" i="96"/>
  <c r="L32" i="96"/>
  <c r="L31" i="96"/>
  <c r="L30" i="96"/>
  <c r="L29" i="96"/>
  <c r="L28" i="96"/>
  <c r="L27" i="96"/>
  <c r="L26" i="96"/>
  <c r="L25" i="96"/>
  <c r="L24" i="96"/>
  <c r="L23" i="96"/>
  <c r="L22" i="96"/>
  <c r="L21" i="96"/>
  <c r="L20" i="96"/>
  <c r="L19" i="96"/>
  <c r="L18" i="96"/>
  <c r="L17" i="96"/>
  <c r="L16" i="96"/>
  <c r="L15" i="96"/>
  <c r="L14" i="96"/>
  <c r="L13" i="96"/>
  <c r="L12" i="96"/>
  <c r="L11" i="96"/>
  <c r="L10" i="96"/>
  <c r="L9" i="96"/>
  <c r="L8" i="96"/>
  <c r="L7" i="96"/>
  <c r="L6" i="96"/>
  <c r="L5" i="96"/>
  <c r="L4" i="96"/>
  <c r="L3" i="96"/>
  <c r="L2" i="96"/>
  <c r="L104" i="100"/>
  <c r="L103" i="100"/>
  <c r="L102" i="100"/>
  <c r="L101" i="100"/>
  <c r="L100" i="100"/>
  <c r="L99" i="100"/>
  <c r="L98" i="100"/>
  <c r="L97" i="100"/>
  <c r="L96" i="100"/>
  <c r="L95" i="100"/>
  <c r="L94" i="100"/>
  <c r="L93" i="100"/>
  <c r="L92" i="100"/>
  <c r="L91" i="100"/>
  <c r="L90" i="100"/>
  <c r="L89" i="100"/>
  <c r="L88" i="100"/>
  <c r="L87" i="100"/>
  <c r="L86" i="100"/>
  <c r="L85" i="100"/>
  <c r="L84" i="100"/>
  <c r="L83" i="100"/>
  <c r="L82" i="100"/>
  <c r="L81" i="100"/>
  <c r="L80" i="100"/>
  <c r="L79" i="100"/>
  <c r="L78" i="100"/>
  <c r="L77" i="100"/>
  <c r="L76" i="100"/>
  <c r="L75" i="100"/>
  <c r="L74" i="100"/>
  <c r="L73" i="100"/>
  <c r="L72" i="100"/>
  <c r="L71" i="100"/>
  <c r="L70" i="100"/>
  <c r="L69" i="100"/>
  <c r="L68" i="100"/>
  <c r="L67" i="100"/>
  <c r="L66" i="100"/>
  <c r="L65" i="100"/>
  <c r="L64" i="100"/>
  <c r="L63" i="100"/>
  <c r="L62" i="100"/>
  <c r="L61" i="100"/>
  <c r="L60" i="100"/>
  <c r="L59" i="100"/>
  <c r="L58" i="100"/>
  <c r="L57" i="100"/>
  <c r="L56" i="100"/>
  <c r="L55" i="100"/>
  <c r="L54" i="100"/>
  <c r="L53" i="100"/>
  <c r="L52" i="100"/>
  <c r="L51" i="100"/>
  <c r="L50" i="100"/>
  <c r="L49" i="100"/>
  <c r="L48" i="100"/>
  <c r="L47" i="100"/>
  <c r="L46" i="100"/>
  <c r="L45" i="100"/>
  <c r="L44" i="100"/>
  <c r="L43" i="100"/>
  <c r="L42" i="100"/>
  <c r="L41" i="100"/>
  <c r="L40" i="100"/>
  <c r="L39" i="100"/>
  <c r="L38" i="100"/>
  <c r="L37" i="100"/>
  <c r="L36" i="100"/>
  <c r="L35" i="100"/>
  <c r="L34" i="100"/>
  <c r="L33" i="100"/>
  <c r="L32" i="100"/>
  <c r="L31" i="100"/>
  <c r="L30" i="100"/>
  <c r="L29" i="100"/>
  <c r="L28" i="100"/>
  <c r="L27" i="100"/>
  <c r="L26" i="100"/>
  <c r="L25" i="100"/>
  <c r="L24" i="100"/>
  <c r="L23" i="100"/>
  <c r="L22" i="100"/>
  <c r="L21" i="100"/>
  <c r="L20" i="100"/>
  <c r="L19" i="100"/>
  <c r="L18" i="100"/>
  <c r="L17" i="100"/>
  <c r="L16" i="100"/>
  <c r="L15" i="100"/>
  <c r="L14" i="100"/>
  <c r="L13" i="100"/>
  <c r="L12" i="100"/>
  <c r="L11" i="100"/>
  <c r="L10" i="100"/>
  <c r="L9" i="100"/>
  <c r="L8" i="100"/>
  <c r="L7" i="100"/>
  <c r="L6" i="100"/>
  <c r="L5" i="100"/>
  <c r="L4" i="100"/>
  <c r="L3" i="100"/>
  <c r="L2" i="100"/>
  <c r="L104" i="95"/>
  <c r="L103" i="95"/>
  <c r="L102" i="95"/>
  <c r="L101" i="95"/>
  <c r="L100" i="95"/>
  <c r="L99" i="95"/>
  <c r="L98" i="95"/>
  <c r="L97" i="95"/>
  <c r="L96" i="95"/>
  <c r="L95" i="95"/>
  <c r="L94" i="95"/>
  <c r="L93" i="95"/>
  <c r="L92" i="95"/>
  <c r="L91" i="95"/>
  <c r="L90" i="95"/>
  <c r="L89" i="95"/>
  <c r="L88" i="95"/>
  <c r="L87" i="95"/>
  <c r="L86" i="95"/>
  <c r="L85" i="95"/>
  <c r="L84" i="95"/>
  <c r="L83" i="95"/>
  <c r="L82" i="95"/>
  <c r="L81" i="95"/>
  <c r="L80" i="95"/>
  <c r="L79" i="95"/>
  <c r="L78" i="95"/>
  <c r="L77" i="95"/>
  <c r="L76" i="95"/>
  <c r="L75" i="95"/>
  <c r="L74" i="95"/>
  <c r="L73" i="95"/>
  <c r="L72" i="95"/>
  <c r="L71" i="95"/>
  <c r="L70" i="95"/>
  <c r="L69" i="95"/>
  <c r="L68" i="95"/>
  <c r="L67" i="95"/>
  <c r="L66" i="95"/>
  <c r="L65" i="95"/>
  <c r="L64" i="95"/>
  <c r="L63" i="95"/>
  <c r="L62" i="95"/>
  <c r="L61" i="95"/>
  <c r="L60" i="95"/>
  <c r="L59" i="95"/>
  <c r="L58" i="95"/>
  <c r="L57" i="95"/>
  <c r="L56" i="95"/>
  <c r="L55" i="95"/>
  <c r="L54" i="95"/>
  <c r="L53" i="95"/>
  <c r="L52" i="95"/>
  <c r="L51" i="95"/>
  <c r="L50" i="95"/>
  <c r="L49" i="95"/>
  <c r="L48" i="95"/>
  <c r="L47" i="95"/>
  <c r="L46" i="95"/>
  <c r="L45" i="95"/>
  <c r="L44" i="95"/>
  <c r="L43" i="95"/>
  <c r="L42" i="95"/>
  <c r="L41" i="95"/>
  <c r="L40" i="95"/>
  <c r="L39" i="95"/>
  <c r="L38" i="95"/>
  <c r="L37" i="95"/>
  <c r="L36" i="95"/>
  <c r="L35" i="95"/>
  <c r="L34" i="95"/>
  <c r="L33" i="95"/>
  <c r="L32" i="95"/>
  <c r="L31" i="95"/>
  <c r="L30" i="95"/>
  <c r="L29" i="95"/>
  <c r="L28" i="95"/>
  <c r="L27" i="95"/>
  <c r="L26" i="95"/>
  <c r="L25" i="95"/>
  <c r="L24" i="95"/>
  <c r="L23" i="95"/>
  <c r="L22" i="95"/>
  <c r="L21" i="95"/>
  <c r="L20" i="95"/>
  <c r="L19" i="95"/>
  <c r="L18" i="95"/>
  <c r="L17" i="95"/>
  <c r="L16" i="95"/>
  <c r="L15" i="95"/>
  <c r="L14" i="95"/>
  <c r="L13" i="95"/>
  <c r="L12" i="95"/>
  <c r="L11" i="95"/>
  <c r="L10" i="95"/>
  <c r="L9" i="95"/>
  <c r="L8" i="95"/>
  <c r="L7" i="95"/>
  <c r="L6" i="95"/>
  <c r="L5" i="95"/>
  <c r="L4" i="95"/>
  <c r="L3" i="95"/>
  <c r="L2" i="95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C111" i="105"/>
  <c r="B111" i="105"/>
  <c r="C110" i="105"/>
  <c r="B110" i="105"/>
  <c r="C109" i="105"/>
  <c r="B109" i="105"/>
  <c r="C108" i="105"/>
  <c r="B108" i="105"/>
  <c r="C107" i="105"/>
  <c r="B107" i="105"/>
  <c r="C106" i="105"/>
  <c r="B106" i="105"/>
  <c r="C105" i="105"/>
  <c r="B105" i="105"/>
  <c r="C104" i="105"/>
  <c r="B104" i="105"/>
  <c r="C103" i="105"/>
  <c r="B103" i="105"/>
  <c r="C102" i="105"/>
  <c r="B102" i="105"/>
  <c r="C101" i="105"/>
  <c r="B101" i="105"/>
  <c r="C100" i="105"/>
  <c r="B100" i="105"/>
  <c r="C99" i="105"/>
  <c r="B99" i="105"/>
  <c r="C98" i="105"/>
  <c r="B98" i="105"/>
  <c r="C97" i="105"/>
  <c r="B97" i="105"/>
  <c r="C96" i="105"/>
  <c r="B96" i="105"/>
  <c r="C95" i="105"/>
  <c r="B95" i="105"/>
  <c r="C94" i="105"/>
  <c r="B94" i="105"/>
  <c r="C93" i="105"/>
  <c r="B93" i="105"/>
  <c r="C92" i="105"/>
  <c r="B92" i="105"/>
  <c r="C91" i="105"/>
  <c r="B91" i="105"/>
  <c r="C90" i="105"/>
  <c r="B90" i="105"/>
  <c r="C89" i="105"/>
  <c r="B89" i="105"/>
  <c r="C88" i="105"/>
  <c r="B88" i="105"/>
  <c r="C87" i="105"/>
  <c r="B87" i="105"/>
  <c r="C86" i="105"/>
  <c r="B86" i="105"/>
  <c r="C85" i="105"/>
  <c r="B85" i="105"/>
  <c r="C84" i="105"/>
  <c r="B84" i="105"/>
  <c r="C83" i="105"/>
  <c r="B83" i="105"/>
  <c r="C82" i="105"/>
  <c r="B82" i="105"/>
  <c r="C81" i="105"/>
  <c r="B81" i="105"/>
  <c r="C80" i="105"/>
  <c r="B80" i="105"/>
  <c r="C79" i="105"/>
  <c r="B79" i="105"/>
  <c r="C78" i="105"/>
  <c r="B78" i="105"/>
  <c r="C77" i="105"/>
  <c r="B77" i="105"/>
  <c r="C76" i="105"/>
  <c r="B76" i="105"/>
  <c r="C75" i="105"/>
  <c r="B75" i="105"/>
  <c r="C74" i="105"/>
  <c r="B74" i="105"/>
  <c r="C73" i="105"/>
  <c r="B73" i="105"/>
  <c r="C72" i="105"/>
  <c r="B72" i="105"/>
  <c r="C71" i="105"/>
  <c r="B71" i="105"/>
  <c r="C70" i="105"/>
  <c r="B70" i="105"/>
  <c r="C69" i="105"/>
  <c r="B69" i="105"/>
  <c r="C68" i="105"/>
  <c r="B68" i="105"/>
  <c r="C67" i="105"/>
  <c r="B67" i="105"/>
  <c r="C66" i="105"/>
  <c r="B66" i="105"/>
  <c r="C65" i="105"/>
  <c r="B65" i="105"/>
  <c r="C64" i="105"/>
  <c r="B64" i="105"/>
  <c r="C63" i="105"/>
  <c r="B63" i="105"/>
  <c r="C62" i="105"/>
  <c r="B62" i="105"/>
  <c r="C61" i="105"/>
  <c r="B61" i="105"/>
  <c r="C60" i="105"/>
  <c r="B60" i="105"/>
  <c r="C59" i="105"/>
  <c r="B59" i="105"/>
  <c r="C58" i="105"/>
  <c r="B58" i="105"/>
  <c r="C57" i="105"/>
  <c r="B57" i="105"/>
  <c r="C56" i="105"/>
  <c r="B56" i="105"/>
  <c r="C55" i="105"/>
  <c r="B55" i="105"/>
  <c r="C54" i="105"/>
  <c r="B54" i="105"/>
  <c r="C53" i="105"/>
  <c r="B53" i="105"/>
  <c r="C52" i="105"/>
  <c r="B52" i="105"/>
  <c r="C51" i="105"/>
  <c r="B51" i="105"/>
  <c r="C50" i="105"/>
  <c r="B50" i="105"/>
  <c r="C49" i="105"/>
  <c r="B49" i="105"/>
  <c r="C48" i="105"/>
  <c r="B48" i="105"/>
  <c r="C47" i="105"/>
  <c r="B47" i="105"/>
  <c r="C46" i="105"/>
  <c r="B46" i="105"/>
  <c r="C45" i="105"/>
  <c r="B45" i="105"/>
  <c r="C44" i="105"/>
  <c r="B44" i="105"/>
  <c r="C43" i="105"/>
  <c r="B43" i="105"/>
  <c r="C42" i="105"/>
  <c r="B42" i="105"/>
  <c r="C41" i="105"/>
  <c r="B41" i="105"/>
  <c r="C40" i="105"/>
  <c r="B40" i="105"/>
  <c r="C39" i="105"/>
  <c r="B39" i="105"/>
  <c r="C38" i="105"/>
  <c r="B38" i="105"/>
  <c r="C37" i="105"/>
  <c r="B37" i="105"/>
  <c r="C36" i="105"/>
  <c r="B36" i="105"/>
  <c r="C35" i="105"/>
  <c r="B35" i="105"/>
  <c r="C34" i="105"/>
  <c r="B34" i="105"/>
  <c r="C33" i="105"/>
  <c r="B33" i="105"/>
  <c r="C32" i="105"/>
  <c r="B32" i="105"/>
  <c r="C31" i="105"/>
  <c r="B31" i="105"/>
  <c r="C30" i="105"/>
  <c r="B30" i="105"/>
  <c r="C29" i="105"/>
  <c r="B29" i="105"/>
  <c r="C28" i="105"/>
  <c r="B28" i="105"/>
  <c r="C27" i="105"/>
  <c r="B27" i="105"/>
  <c r="C26" i="105"/>
  <c r="B26" i="105"/>
  <c r="C25" i="105"/>
  <c r="B25" i="105"/>
  <c r="C24" i="105"/>
  <c r="B24" i="105"/>
  <c r="C23" i="105"/>
  <c r="B23" i="105"/>
  <c r="C22" i="105"/>
  <c r="B22" i="105"/>
  <c r="C21" i="105"/>
  <c r="B21" i="105"/>
  <c r="C20" i="105"/>
  <c r="B20" i="105"/>
  <c r="C19" i="105"/>
  <c r="B19" i="105"/>
  <c r="C18" i="105"/>
  <c r="B18" i="105"/>
  <c r="C17" i="105"/>
  <c r="B17" i="105"/>
  <c r="C16" i="105"/>
  <c r="B16" i="105"/>
  <c r="C15" i="105"/>
  <c r="B15" i="105"/>
  <c r="C14" i="105"/>
  <c r="B14" i="105"/>
  <c r="C13" i="105"/>
  <c r="B13" i="105"/>
  <c r="C12" i="105"/>
  <c r="B12" i="105"/>
  <c r="C11" i="105"/>
  <c r="B11" i="105"/>
  <c r="C9" i="105"/>
  <c r="B9" i="105"/>
  <c r="C8" i="105"/>
  <c r="B8" i="105"/>
  <c r="A1" i="105"/>
  <c r="AV15" i="59"/>
  <c r="AV14" i="59"/>
  <c r="AV12" i="59"/>
  <c r="AV11" i="59"/>
  <c r="AV9" i="59"/>
  <c r="AV8" i="59"/>
  <c r="AV7" i="59"/>
  <c r="AV15" i="58"/>
  <c r="AV14" i="58"/>
  <c r="AV13" i="58"/>
  <c r="AV11" i="58"/>
  <c r="AV10" i="58"/>
  <c r="AV9" i="58"/>
  <c r="AV8" i="58"/>
  <c r="AV7" i="58"/>
  <c r="AV15" i="57"/>
  <c r="AV12" i="57"/>
  <c r="AV15" i="55"/>
  <c r="AV9" i="55"/>
  <c r="AV8" i="55"/>
  <c r="AV13" i="53"/>
  <c r="AV12" i="53"/>
  <c r="AM12" i="53" s="1"/>
  <c r="AV10" i="53"/>
  <c r="AV14" i="52"/>
  <c r="T9" i="52"/>
  <c r="AV9" i="52" s="1"/>
  <c r="T8" i="52"/>
  <c r="AV8" i="52" s="1"/>
  <c r="T7" i="52"/>
  <c r="AV7" i="52" s="1"/>
  <c r="E126" i="41"/>
  <c r="E101" i="41"/>
  <c r="E76" i="41"/>
  <c r="E51" i="41"/>
  <c r="E26" i="41"/>
  <c r="M19" i="41"/>
  <c r="M20" i="41" s="1"/>
  <c r="K19" i="41"/>
  <c r="K20" i="41" s="1"/>
  <c r="I19" i="41"/>
  <c r="I20" i="41" s="1"/>
  <c r="G19" i="41"/>
  <c r="G20" i="41" s="1"/>
  <c r="E19" i="41"/>
  <c r="E20" i="41" s="1"/>
  <c r="B3" i="41"/>
  <c r="E1" i="41"/>
  <c r="P8" i="89" s="1"/>
  <c r="E126" i="45"/>
  <c r="E101" i="45"/>
  <c r="E76" i="45"/>
  <c r="E51" i="45"/>
  <c r="E26" i="45"/>
  <c r="M19" i="45"/>
  <c r="M20" i="45" s="1"/>
  <c r="K19" i="45"/>
  <c r="K20" i="45" s="1"/>
  <c r="I19" i="45"/>
  <c r="I20" i="45" s="1"/>
  <c r="G19" i="45"/>
  <c r="G20" i="45" s="1"/>
  <c r="E19" i="45"/>
  <c r="E20" i="45" s="1"/>
  <c r="B3" i="45"/>
  <c r="E1" i="45"/>
  <c r="P8" i="90" s="1"/>
  <c r="E126" i="84"/>
  <c r="E101" i="84"/>
  <c r="E76" i="84"/>
  <c r="E51" i="84"/>
  <c r="E26" i="84"/>
  <c r="M19" i="84"/>
  <c r="M20" i="84" s="1"/>
  <c r="K19" i="84"/>
  <c r="K20" i="84" s="1"/>
  <c r="I19" i="84"/>
  <c r="I20" i="84" s="1"/>
  <c r="G19" i="84"/>
  <c r="G20" i="84" s="1"/>
  <c r="E19" i="84"/>
  <c r="E20" i="84" s="1"/>
  <c r="B3" i="84"/>
  <c r="E1" i="84"/>
  <c r="P8" i="91" s="1"/>
  <c r="E126" i="85"/>
  <c r="E101" i="85"/>
  <c r="E76" i="85"/>
  <c r="E51" i="85"/>
  <c r="E26" i="85"/>
  <c r="M19" i="85"/>
  <c r="M20" i="85" s="1"/>
  <c r="K19" i="85"/>
  <c r="K20" i="85" s="1"/>
  <c r="I19" i="85"/>
  <c r="I20" i="85" s="1"/>
  <c r="G19" i="85"/>
  <c r="G20" i="85" s="1"/>
  <c r="E19" i="85"/>
  <c r="E20" i="85" s="1"/>
  <c r="B3" i="85"/>
  <c r="E1" i="85"/>
  <c r="P8" i="92" s="1"/>
  <c r="E126" i="86"/>
  <c r="E101" i="86"/>
  <c r="E76" i="86"/>
  <c r="E51" i="86"/>
  <c r="E26" i="86"/>
  <c r="M19" i="86"/>
  <c r="M20" i="86" s="1"/>
  <c r="K19" i="86"/>
  <c r="K20" i="86" s="1"/>
  <c r="I19" i="86"/>
  <c r="I20" i="86" s="1"/>
  <c r="G19" i="86"/>
  <c r="G20" i="86" s="1"/>
  <c r="E19" i="86"/>
  <c r="E20" i="86" s="1"/>
  <c r="B3" i="86"/>
  <c r="E1" i="86"/>
  <c r="P8" i="93" s="1"/>
  <c r="E126" i="87"/>
  <c r="E101" i="87"/>
  <c r="E76" i="87"/>
  <c r="E51" i="87"/>
  <c r="E26" i="87"/>
  <c r="M19" i="87"/>
  <c r="M20" i="87" s="1"/>
  <c r="K19" i="87"/>
  <c r="K20" i="87" s="1"/>
  <c r="I19" i="87"/>
  <c r="I20" i="87" s="1"/>
  <c r="G19" i="87"/>
  <c r="G20" i="87" s="1"/>
  <c r="E19" i="87"/>
  <c r="E20" i="87" s="1"/>
  <c r="B3" i="87"/>
  <c r="E1" i="87"/>
  <c r="P8" i="94" s="1"/>
  <c r="B27" i="87"/>
  <c r="B28" i="87" s="1"/>
  <c r="B27" i="86"/>
  <c r="K44" i="86" s="1"/>
  <c r="K45" i="86" s="1"/>
  <c r="B27" i="85"/>
  <c r="M44" i="85" s="1"/>
  <c r="M45" i="85" s="1"/>
  <c r="B27" i="84"/>
  <c r="E44" i="84" s="1"/>
  <c r="E45" i="84" s="1"/>
  <c r="B27" i="45"/>
  <c r="M44" i="45" s="1"/>
  <c r="M45" i="45" s="1"/>
  <c r="B27" i="41"/>
  <c r="E44" i="41" s="1"/>
  <c r="E45" i="41" s="1"/>
  <c r="DM22" i="16"/>
  <c r="DL22" i="16"/>
  <c r="DK22" i="16"/>
  <c r="DJ22" i="16"/>
  <c r="DI22" i="16"/>
  <c r="CS22" i="16"/>
  <c r="CR22" i="16"/>
  <c r="CQ22" i="16"/>
  <c r="CP22" i="16"/>
  <c r="CO22" i="16"/>
  <c r="BY22" i="16"/>
  <c r="BX22" i="16"/>
  <c r="BW22" i="16"/>
  <c r="BV22" i="16"/>
  <c r="BU22" i="16"/>
  <c r="BE22" i="16"/>
  <c r="BD22" i="16"/>
  <c r="BC22" i="16"/>
  <c r="BB22" i="16"/>
  <c r="BA22" i="16"/>
  <c r="AK22" i="16"/>
  <c r="AJ22" i="16"/>
  <c r="AI22" i="16"/>
  <c r="AH22" i="16"/>
  <c r="AG22" i="16"/>
  <c r="Q22" i="16"/>
  <c r="P22" i="16"/>
  <c r="O22" i="16"/>
  <c r="N22" i="16"/>
  <c r="M22" i="16"/>
  <c r="DR21" i="16"/>
  <c r="CX21" i="16"/>
  <c r="CD21" i="16"/>
  <c r="BJ21" i="16"/>
  <c r="AP21" i="16"/>
  <c r="V21" i="16"/>
  <c r="DR18" i="16"/>
  <c r="CX18" i="16"/>
  <c r="CD18" i="16"/>
  <c r="BJ18" i="16"/>
  <c r="AP18" i="16"/>
  <c r="V18" i="16"/>
  <c r="DR17" i="16"/>
  <c r="CX17" i="16"/>
  <c r="CD17" i="16"/>
  <c r="BJ17" i="16"/>
  <c r="AP17" i="16"/>
  <c r="V17" i="16"/>
  <c r="DR16" i="16"/>
  <c r="CX16" i="16"/>
  <c r="CD16" i="16"/>
  <c r="BJ16" i="16"/>
  <c r="AP16" i="16"/>
  <c r="V16" i="16"/>
  <c r="DR15" i="16"/>
  <c r="CX15" i="16"/>
  <c r="CD15" i="16"/>
  <c r="BJ15" i="16"/>
  <c r="AP15" i="16"/>
  <c r="V15" i="16"/>
  <c r="DR14" i="16"/>
  <c r="CX14" i="16"/>
  <c r="CD14" i="16"/>
  <c r="BJ14" i="16"/>
  <c r="AP14" i="16"/>
  <c r="V14" i="16"/>
  <c r="DC13" i="16"/>
  <c r="DB13" i="16"/>
  <c r="DA13" i="16"/>
  <c r="CZ13" i="16"/>
  <c r="CY13" i="16"/>
  <c r="CI13" i="16"/>
  <c r="CH13" i="16"/>
  <c r="CG13" i="16"/>
  <c r="CF13" i="16"/>
  <c r="CE13" i="16"/>
  <c r="BO13" i="16"/>
  <c r="BN13" i="16"/>
  <c r="BM13" i="16"/>
  <c r="BL13" i="16"/>
  <c r="BK13" i="16"/>
  <c r="AU13" i="16"/>
  <c r="AT13" i="16"/>
  <c r="AS13" i="16"/>
  <c r="AR13" i="16"/>
  <c r="AQ13" i="16"/>
  <c r="AA13" i="16"/>
  <c r="Z13" i="16"/>
  <c r="Y13" i="16"/>
  <c r="X13" i="16"/>
  <c r="W13" i="16"/>
  <c r="G13" i="16"/>
  <c r="F13" i="16"/>
  <c r="E13" i="16"/>
  <c r="D13" i="16"/>
  <c r="C13" i="16"/>
  <c r="DH12" i="16"/>
  <c r="CN12" i="16"/>
  <c r="BT12" i="16"/>
  <c r="AZ12" i="16"/>
  <c r="AF12" i="16"/>
  <c r="L12" i="16"/>
  <c r="DH9" i="16"/>
  <c r="CN9" i="16"/>
  <c r="BT9" i="16"/>
  <c r="AZ9" i="16"/>
  <c r="AF9" i="16"/>
  <c r="L9" i="16"/>
  <c r="DH8" i="16"/>
  <c r="CN8" i="16"/>
  <c r="BT8" i="16"/>
  <c r="AZ8" i="16"/>
  <c r="AF8" i="16"/>
  <c r="L8" i="16"/>
  <c r="DH7" i="16"/>
  <c r="CN7" i="16"/>
  <c r="BT7" i="16"/>
  <c r="AZ7" i="16"/>
  <c r="AF7" i="16"/>
  <c r="L7" i="16"/>
  <c r="DH6" i="16"/>
  <c r="CN6" i="16"/>
  <c r="BT6" i="16"/>
  <c r="AZ6" i="16"/>
  <c r="AF6" i="16"/>
  <c r="L6" i="16"/>
  <c r="DH5" i="16"/>
  <c r="CN5" i="16"/>
  <c r="BT5" i="16"/>
  <c r="AZ5" i="16"/>
  <c r="AF5" i="16"/>
  <c r="L5" i="16"/>
  <c r="B91" i="59"/>
  <c r="B91" i="55"/>
  <c r="B65" i="55"/>
  <c r="B63" i="55"/>
  <c r="B65" i="57"/>
  <c r="C10" i="105"/>
  <c r="B10" i="105"/>
  <c r="B33" i="53"/>
  <c r="B85" i="52"/>
  <c r="B140" i="53"/>
  <c r="B91" i="57"/>
  <c r="B11" i="53"/>
  <c r="B65" i="52"/>
  <c r="B36" i="53"/>
  <c r="C1" i="104"/>
  <c r="C1" i="103"/>
  <c r="C1" i="102"/>
  <c r="C1" i="101"/>
  <c r="C1" i="100"/>
  <c r="C1" i="99"/>
  <c r="C1" i="98"/>
  <c r="C1" i="97"/>
  <c r="C1" i="96"/>
  <c r="C1" i="95"/>
  <c r="E6" i="94"/>
  <c r="E6" i="93"/>
  <c r="E6" i="92"/>
  <c r="E6" i="91"/>
  <c r="E6" i="90"/>
  <c r="A1" i="73"/>
  <c r="A1" i="74"/>
  <c r="A1" i="75"/>
  <c r="A1" i="77"/>
  <c r="A1" i="69"/>
  <c r="A1" i="68"/>
  <c r="A1" i="70"/>
  <c r="A1" i="63"/>
  <c r="A1" i="66"/>
  <c r="E6" i="89"/>
  <c r="C1" i="88"/>
  <c r="AY7" i="52"/>
  <c r="AU7" i="52"/>
  <c r="AL7" i="52" s="1"/>
  <c r="AP4" i="16"/>
  <c r="AJ6" i="16" s="1"/>
  <c r="BJ4" i="16"/>
  <c r="BB5" i="16" s="1"/>
  <c r="CD4" i="16"/>
  <c r="CX4" i="16"/>
  <c r="CQ9" i="16" s="1"/>
  <c r="DR4" i="16"/>
  <c r="DL5" i="16" s="1"/>
  <c r="V4" i="16"/>
  <c r="W1" i="16"/>
  <c r="AQ1" i="16" s="1"/>
  <c r="BK1" i="16" s="1"/>
  <c r="CE1" i="16" s="1"/>
  <c r="CY1" i="16" s="1"/>
  <c r="DS1" i="16" s="1"/>
  <c r="G131" i="59"/>
  <c r="G105" i="59"/>
  <c r="G79" i="59"/>
  <c r="G53" i="59"/>
  <c r="G27" i="59"/>
  <c r="G1" i="59"/>
  <c r="G131" i="58"/>
  <c r="G105" i="58"/>
  <c r="G79" i="58"/>
  <c r="G53" i="58"/>
  <c r="G27" i="58"/>
  <c r="G1" i="58"/>
  <c r="G131" i="57"/>
  <c r="G105" i="57"/>
  <c r="G79" i="57"/>
  <c r="G53" i="57"/>
  <c r="G27" i="57"/>
  <c r="G1" i="57"/>
  <c r="G131" i="55"/>
  <c r="G105" i="55"/>
  <c r="G79" i="55"/>
  <c r="G53" i="55"/>
  <c r="G27" i="55"/>
  <c r="G1" i="55"/>
  <c r="G131" i="53"/>
  <c r="G105" i="53"/>
  <c r="G79" i="53"/>
  <c r="G53" i="53"/>
  <c r="G27" i="53"/>
  <c r="G131" i="52"/>
  <c r="G105" i="52"/>
  <c r="G79" i="52"/>
  <c r="G53" i="52"/>
  <c r="G27" i="52"/>
  <c r="G1" i="52"/>
  <c r="N150" i="59"/>
  <c r="K150" i="59"/>
  <c r="E150" i="59"/>
  <c r="N124" i="59"/>
  <c r="K124" i="59"/>
  <c r="E124" i="59"/>
  <c r="Q98" i="59"/>
  <c r="H98" i="59"/>
  <c r="Q72" i="59"/>
  <c r="H74" i="59"/>
  <c r="K46" i="59"/>
  <c r="E48" i="59"/>
  <c r="Q150" i="58"/>
  <c r="N150" i="58"/>
  <c r="H150" i="58"/>
  <c r="E150" i="58"/>
  <c r="N124" i="58"/>
  <c r="H124" i="58"/>
  <c r="Q98" i="58"/>
  <c r="K98" i="58"/>
  <c r="H98" i="58"/>
  <c r="N72" i="58"/>
  <c r="H46" i="58"/>
  <c r="Q150" i="57"/>
  <c r="N150" i="57"/>
  <c r="K150" i="57"/>
  <c r="N124" i="57"/>
  <c r="K124" i="57"/>
  <c r="E124" i="57"/>
  <c r="Q98" i="57"/>
  <c r="N98" i="57"/>
  <c r="Q72" i="57"/>
  <c r="H72" i="57"/>
  <c r="Q46" i="57"/>
  <c r="N46" i="57"/>
  <c r="E46" i="57"/>
  <c r="Q150" i="55"/>
  <c r="E150" i="55"/>
  <c r="N124" i="55"/>
  <c r="H124" i="55"/>
  <c r="N98" i="55"/>
  <c r="K72" i="55"/>
  <c r="H72" i="55"/>
  <c r="H46" i="55"/>
  <c r="E46" i="55"/>
  <c r="E150" i="53"/>
  <c r="Q124" i="53"/>
  <c r="N124" i="53"/>
  <c r="K124" i="53"/>
  <c r="N98" i="53"/>
  <c r="H98" i="53"/>
  <c r="E98" i="53"/>
  <c r="Q72" i="53"/>
  <c r="H72" i="53"/>
  <c r="N46" i="53"/>
  <c r="H46" i="53"/>
  <c r="K150" i="52"/>
  <c r="N124" i="52"/>
  <c r="H124" i="52"/>
  <c r="N98" i="52"/>
  <c r="E98" i="52"/>
  <c r="E72" i="52"/>
  <c r="N46" i="52"/>
  <c r="K46" i="52"/>
  <c r="B63" i="52"/>
  <c r="B1" i="71"/>
  <c r="B192" i="57" s="1"/>
  <c r="C1" i="71"/>
  <c r="D1" i="71"/>
  <c r="B86" i="53"/>
  <c r="B92" i="53"/>
  <c r="B112" i="52"/>
  <c r="B138" i="53"/>
  <c r="B145" i="59"/>
  <c r="B144" i="59"/>
  <c r="B143" i="59"/>
  <c r="B142" i="59"/>
  <c r="B141" i="59"/>
  <c r="B140" i="59"/>
  <c r="B139" i="59"/>
  <c r="B138" i="59"/>
  <c r="B137" i="59"/>
  <c r="B133" i="59"/>
  <c r="BH137" i="59" s="1"/>
  <c r="BH138" i="59" s="1"/>
  <c r="BH139" i="59" s="1"/>
  <c r="BH140" i="59" s="1"/>
  <c r="BH141" i="59" s="1"/>
  <c r="BH142" i="59" s="1"/>
  <c r="BH143" i="59" s="1"/>
  <c r="BH144" i="59" s="1"/>
  <c r="BH145" i="59" s="1"/>
  <c r="B119" i="59"/>
  <c r="B118" i="59"/>
  <c r="B117" i="59"/>
  <c r="B116" i="59"/>
  <c r="B115" i="59"/>
  <c r="B114" i="59"/>
  <c r="B113" i="59"/>
  <c r="B112" i="59"/>
  <c r="B111" i="59"/>
  <c r="B107" i="59"/>
  <c r="BH111" i="59" s="1"/>
  <c r="BH112" i="59" s="1"/>
  <c r="BH113" i="59" s="1"/>
  <c r="BH114" i="59" s="1"/>
  <c r="BH115" i="59" s="1"/>
  <c r="BH116" i="59" s="1"/>
  <c r="BH117" i="59" s="1"/>
  <c r="BH118" i="59" s="1"/>
  <c r="BH119" i="59" s="1"/>
  <c r="B93" i="59"/>
  <c r="B92" i="59"/>
  <c r="B90" i="59"/>
  <c r="B89" i="59"/>
  <c r="B87" i="59"/>
  <c r="B86" i="59"/>
  <c r="B85" i="59"/>
  <c r="B81" i="59"/>
  <c r="BH85" i="59" s="1"/>
  <c r="BH86" i="59" s="1"/>
  <c r="BH87" i="59" s="1"/>
  <c r="BH88" i="59" s="1"/>
  <c r="BH89" i="59" s="1"/>
  <c r="BH90" i="59" s="1"/>
  <c r="BH91" i="59" s="1"/>
  <c r="BH92" i="59" s="1"/>
  <c r="BH93" i="59" s="1"/>
  <c r="B67" i="59"/>
  <c r="B66" i="59"/>
  <c r="B64" i="59"/>
  <c r="B63" i="59"/>
  <c r="B62" i="59"/>
  <c r="B61" i="59"/>
  <c r="B60" i="59"/>
  <c r="B59" i="59"/>
  <c r="B55" i="59"/>
  <c r="BH59" i="59" s="1"/>
  <c r="BH60" i="59" s="1"/>
  <c r="BH61" i="59" s="1"/>
  <c r="BH62" i="59" s="1"/>
  <c r="BH63" i="59" s="1"/>
  <c r="BH64" i="59" s="1"/>
  <c r="BH65" i="59" s="1"/>
  <c r="BH66" i="59" s="1"/>
  <c r="BH67" i="59" s="1"/>
  <c r="B41" i="59"/>
  <c r="B40" i="59"/>
  <c r="B39" i="59"/>
  <c r="B38" i="59"/>
  <c r="B37" i="59"/>
  <c r="B36" i="59"/>
  <c r="B35" i="59"/>
  <c r="B34" i="59"/>
  <c r="B33" i="59"/>
  <c r="B29" i="59"/>
  <c r="BH33" i="59" s="1"/>
  <c r="BH34" i="59" s="1"/>
  <c r="BH35" i="59" s="1"/>
  <c r="BH36" i="59" s="1"/>
  <c r="BH37" i="59" s="1"/>
  <c r="BH38" i="59" s="1"/>
  <c r="BH39" i="59" s="1"/>
  <c r="BH40" i="59" s="1"/>
  <c r="BH41" i="59" s="1"/>
  <c r="B15" i="59"/>
  <c r="B14" i="59"/>
  <c r="B13" i="59"/>
  <c r="B12" i="59"/>
  <c r="B11" i="59"/>
  <c r="B9" i="59"/>
  <c r="B8" i="59"/>
  <c r="B145" i="58"/>
  <c r="B144" i="58"/>
  <c r="B143" i="58"/>
  <c r="B142" i="58"/>
  <c r="B140" i="58"/>
  <c r="B139" i="58"/>
  <c r="B138" i="58"/>
  <c r="B137" i="58"/>
  <c r="B133" i="58"/>
  <c r="BH137" i="58" s="1"/>
  <c r="BH138" i="58" s="1"/>
  <c r="BH139" i="58" s="1"/>
  <c r="BH140" i="58" s="1"/>
  <c r="BH141" i="58" s="1"/>
  <c r="BH142" i="58" s="1"/>
  <c r="BH143" i="58" s="1"/>
  <c r="BH144" i="58" s="1"/>
  <c r="BH145" i="58" s="1"/>
  <c r="B119" i="58"/>
  <c r="B118" i="58"/>
  <c r="B116" i="58"/>
  <c r="B115" i="58"/>
  <c r="B114" i="58"/>
  <c r="B113" i="58"/>
  <c r="B112" i="58"/>
  <c r="B111" i="58"/>
  <c r="B107" i="58"/>
  <c r="BH111" i="58" s="1"/>
  <c r="BH112" i="58" s="1"/>
  <c r="BH113" i="58" s="1"/>
  <c r="BH114" i="58" s="1"/>
  <c r="BH115" i="58" s="1"/>
  <c r="BH116" i="58" s="1"/>
  <c r="BH117" i="58" s="1"/>
  <c r="BH118" i="58" s="1"/>
  <c r="BH119" i="58" s="1"/>
  <c r="B93" i="58"/>
  <c r="B92" i="58"/>
  <c r="B91" i="58"/>
  <c r="B89" i="58"/>
  <c r="B87" i="58"/>
  <c r="B86" i="58"/>
  <c r="B81" i="58"/>
  <c r="BH85" i="58" s="1"/>
  <c r="BH86" i="58" s="1"/>
  <c r="BH87" i="58" s="1"/>
  <c r="BH88" i="58" s="1"/>
  <c r="BH89" i="58" s="1"/>
  <c r="BH90" i="58" s="1"/>
  <c r="BH91" i="58" s="1"/>
  <c r="BH92" i="58" s="1"/>
  <c r="BH93" i="58" s="1"/>
  <c r="B67" i="58"/>
  <c r="B66" i="58"/>
  <c r="B64" i="58"/>
  <c r="B63" i="58"/>
  <c r="B62" i="58"/>
  <c r="B61" i="58"/>
  <c r="B59" i="58"/>
  <c r="B55" i="58"/>
  <c r="BH59" i="58" s="1"/>
  <c r="BH60" i="58" s="1"/>
  <c r="BH61" i="58" s="1"/>
  <c r="BH62" i="58" s="1"/>
  <c r="BH63" i="58" s="1"/>
  <c r="BH64" i="58" s="1"/>
  <c r="BH65" i="58" s="1"/>
  <c r="BH66" i="58" s="1"/>
  <c r="BH67" i="58" s="1"/>
  <c r="B41" i="58"/>
  <c r="B40" i="58"/>
  <c r="B39" i="58"/>
  <c r="B38" i="58"/>
  <c r="B37" i="58"/>
  <c r="B36" i="58"/>
  <c r="B35" i="58"/>
  <c r="B34" i="58"/>
  <c r="B33" i="58"/>
  <c r="B29" i="58"/>
  <c r="BH33" i="58" s="1"/>
  <c r="BH34" i="58" s="1"/>
  <c r="BH35" i="58" s="1"/>
  <c r="BH36" i="58" s="1"/>
  <c r="BH37" i="58" s="1"/>
  <c r="BH38" i="58" s="1"/>
  <c r="BH39" i="58" s="1"/>
  <c r="BH40" i="58" s="1"/>
  <c r="BH41" i="58" s="1"/>
  <c r="B15" i="58"/>
  <c r="B14" i="58"/>
  <c r="B12" i="58"/>
  <c r="B11" i="58"/>
  <c r="B9" i="58"/>
  <c r="B8" i="58"/>
  <c r="B7" i="58"/>
  <c r="B145" i="57"/>
  <c r="B144" i="57"/>
  <c r="B142" i="57"/>
  <c r="B141" i="57"/>
  <c r="B140" i="57"/>
  <c r="B139" i="57"/>
  <c r="B138" i="57"/>
  <c r="B133" i="57"/>
  <c r="BH137" i="57" s="1"/>
  <c r="BH138" i="57" s="1"/>
  <c r="BH139" i="57" s="1"/>
  <c r="BH140" i="57" s="1"/>
  <c r="BH141" i="57" s="1"/>
  <c r="BH142" i="57" s="1"/>
  <c r="BH143" i="57" s="1"/>
  <c r="BH144" i="57" s="1"/>
  <c r="BH145" i="57" s="1"/>
  <c r="B119" i="57"/>
  <c r="B118" i="57"/>
  <c r="B116" i="57"/>
  <c r="B115" i="57"/>
  <c r="B113" i="57"/>
  <c r="B112" i="57"/>
  <c r="B107" i="57"/>
  <c r="BH111" i="57" s="1"/>
  <c r="BH112" i="57" s="1"/>
  <c r="BH113" i="57" s="1"/>
  <c r="BH114" i="57" s="1"/>
  <c r="BH115" i="57" s="1"/>
  <c r="BH116" i="57" s="1"/>
  <c r="BH117" i="57" s="1"/>
  <c r="BH118" i="57" s="1"/>
  <c r="BH119" i="57" s="1"/>
  <c r="B93" i="57"/>
  <c r="B92" i="57"/>
  <c r="B90" i="57"/>
  <c r="B89" i="57"/>
  <c r="B87" i="57"/>
  <c r="B86" i="57"/>
  <c r="B81" i="57"/>
  <c r="BH85" i="57" s="1"/>
  <c r="BH86" i="57" s="1"/>
  <c r="BH87" i="57" s="1"/>
  <c r="BH88" i="57" s="1"/>
  <c r="BH89" i="57" s="1"/>
  <c r="BH90" i="57" s="1"/>
  <c r="BH91" i="57" s="1"/>
  <c r="BH92" i="57" s="1"/>
  <c r="BH93" i="57" s="1"/>
  <c r="B67" i="57"/>
  <c r="B66" i="57"/>
  <c r="B64" i="57"/>
  <c r="B63" i="57"/>
  <c r="B61" i="57"/>
  <c r="B60" i="57"/>
  <c r="B55" i="57"/>
  <c r="BH59" i="57" s="1"/>
  <c r="BH60" i="57" s="1"/>
  <c r="BH61" i="57" s="1"/>
  <c r="BH62" i="57" s="1"/>
  <c r="BH63" i="57" s="1"/>
  <c r="BH64" i="57" s="1"/>
  <c r="BH65" i="57" s="1"/>
  <c r="BH66" i="57" s="1"/>
  <c r="BH67" i="57" s="1"/>
  <c r="B41" i="57"/>
  <c r="B40" i="57"/>
  <c r="B39" i="57"/>
  <c r="B38" i="57"/>
  <c r="B37" i="57"/>
  <c r="B35" i="57"/>
  <c r="B34" i="57"/>
  <c r="B33" i="57"/>
  <c r="B29" i="57"/>
  <c r="BH33" i="57" s="1"/>
  <c r="BH34" i="57" s="1"/>
  <c r="BH35" i="57" s="1"/>
  <c r="BH36" i="57" s="1"/>
  <c r="BH37" i="57" s="1"/>
  <c r="BH38" i="57" s="1"/>
  <c r="BH39" i="57" s="1"/>
  <c r="BH40" i="57" s="1"/>
  <c r="BH41" i="57" s="1"/>
  <c r="B15" i="57"/>
  <c r="B14" i="57"/>
  <c r="B12" i="57"/>
  <c r="B11" i="57"/>
  <c r="B9" i="57"/>
  <c r="B8" i="57"/>
  <c r="B145" i="55"/>
  <c r="B144" i="55"/>
  <c r="B142" i="55"/>
  <c r="B141" i="55"/>
  <c r="B139" i="55"/>
  <c r="B138" i="55"/>
  <c r="B133" i="55"/>
  <c r="BH137" i="55" s="1"/>
  <c r="BH138" i="55" s="1"/>
  <c r="BH139" i="55" s="1"/>
  <c r="BH140" i="55" s="1"/>
  <c r="BH141" i="55" s="1"/>
  <c r="BH142" i="55" s="1"/>
  <c r="BH143" i="55" s="1"/>
  <c r="BH144" i="55" s="1"/>
  <c r="BH145" i="55" s="1"/>
  <c r="B119" i="55"/>
  <c r="B118" i="55"/>
  <c r="B116" i="55"/>
  <c r="B115" i="55"/>
  <c r="B113" i="55"/>
  <c r="B112" i="55"/>
  <c r="B107" i="55"/>
  <c r="BH111" i="55" s="1"/>
  <c r="BH112" i="55" s="1"/>
  <c r="BH113" i="55" s="1"/>
  <c r="BH114" i="55" s="1"/>
  <c r="BH115" i="55" s="1"/>
  <c r="BH116" i="55" s="1"/>
  <c r="BH117" i="55" s="1"/>
  <c r="BH118" i="55" s="1"/>
  <c r="BH119" i="55" s="1"/>
  <c r="B93" i="55"/>
  <c r="B92" i="55"/>
  <c r="B90" i="55"/>
  <c r="B89" i="55"/>
  <c r="B87" i="55"/>
  <c r="B86" i="55"/>
  <c r="B81" i="55"/>
  <c r="BH85" i="55" s="1"/>
  <c r="BH86" i="55" s="1"/>
  <c r="BH87" i="55" s="1"/>
  <c r="BH88" i="55" s="1"/>
  <c r="BH89" i="55" s="1"/>
  <c r="BH90" i="55" s="1"/>
  <c r="BH91" i="55" s="1"/>
  <c r="BH92" i="55" s="1"/>
  <c r="BH93" i="55" s="1"/>
  <c r="B67" i="55"/>
  <c r="B66" i="55"/>
  <c r="B64" i="55"/>
  <c r="B61" i="55"/>
  <c r="B60" i="55"/>
  <c r="B55" i="55"/>
  <c r="BH59" i="55" s="1"/>
  <c r="BH60" i="55" s="1"/>
  <c r="BH61" i="55" s="1"/>
  <c r="BH62" i="55" s="1"/>
  <c r="BH63" i="55" s="1"/>
  <c r="BH64" i="55" s="1"/>
  <c r="BH65" i="55" s="1"/>
  <c r="BH66" i="55" s="1"/>
  <c r="BH67" i="55" s="1"/>
  <c r="B41" i="55"/>
  <c r="B40" i="55"/>
  <c r="B39" i="55"/>
  <c r="B38" i="55"/>
  <c r="B37" i="55"/>
  <c r="B35" i="55"/>
  <c r="B34" i="55"/>
  <c r="B33" i="55"/>
  <c r="B29" i="55"/>
  <c r="BH33" i="55" s="1"/>
  <c r="BH34" i="55" s="1"/>
  <c r="BH35" i="55" s="1"/>
  <c r="BH36" i="55" s="1"/>
  <c r="BH37" i="55" s="1"/>
  <c r="BH38" i="55" s="1"/>
  <c r="BH39" i="55" s="1"/>
  <c r="BH40" i="55" s="1"/>
  <c r="BH41" i="55" s="1"/>
  <c r="B15" i="55"/>
  <c r="B14" i="55"/>
  <c r="B12" i="55"/>
  <c r="B9" i="55"/>
  <c r="B145" i="53"/>
  <c r="B144" i="53"/>
  <c r="B142" i="53"/>
  <c r="B141" i="53"/>
  <c r="B139" i="53"/>
  <c r="B133" i="53"/>
  <c r="BH137" i="53" s="1"/>
  <c r="BH138" i="53" s="1"/>
  <c r="BH139" i="53" s="1"/>
  <c r="BH140" i="53" s="1"/>
  <c r="BH141" i="53" s="1"/>
  <c r="BH142" i="53" s="1"/>
  <c r="BH143" i="53" s="1"/>
  <c r="BH144" i="53" s="1"/>
  <c r="BH145" i="53" s="1"/>
  <c r="B119" i="53"/>
  <c r="B118" i="53"/>
  <c r="B116" i="53"/>
  <c r="B115" i="53"/>
  <c r="B113" i="53"/>
  <c r="B112" i="53"/>
  <c r="B107" i="53"/>
  <c r="BH111" i="53" s="1"/>
  <c r="BH112" i="53" s="1"/>
  <c r="BH113" i="53" s="1"/>
  <c r="BH114" i="53" s="1"/>
  <c r="BH115" i="53" s="1"/>
  <c r="BH116" i="53" s="1"/>
  <c r="BH117" i="53" s="1"/>
  <c r="BH118" i="53" s="1"/>
  <c r="BH119" i="53" s="1"/>
  <c r="B93" i="53"/>
  <c r="B90" i="53"/>
  <c r="B89" i="53"/>
  <c r="B87" i="53"/>
  <c r="B81" i="53"/>
  <c r="BH85" i="53" s="1"/>
  <c r="BH86" i="53" s="1"/>
  <c r="BH87" i="53" s="1"/>
  <c r="BH88" i="53" s="1"/>
  <c r="BH89" i="53" s="1"/>
  <c r="BH90" i="53" s="1"/>
  <c r="BH91" i="53" s="1"/>
  <c r="BH92" i="53" s="1"/>
  <c r="BH93" i="53" s="1"/>
  <c r="B67" i="53"/>
  <c r="B66" i="53"/>
  <c r="B64" i="53"/>
  <c r="B63" i="53"/>
  <c r="B61" i="53"/>
  <c r="B60" i="53"/>
  <c r="B55" i="53"/>
  <c r="BH59" i="53" s="1"/>
  <c r="BH60" i="53" s="1"/>
  <c r="BH61" i="53" s="1"/>
  <c r="BH62" i="53" s="1"/>
  <c r="BH63" i="53" s="1"/>
  <c r="BH64" i="53" s="1"/>
  <c r="BH65" i="53" s="1"/>
  <c r="BH66" i="53" s="1"/>
  <c r="BH67" i="53" s="1"/>
  <c r="B41" i="53"/>
  <c r="B40" i="53"/>
  <c r="B38" i="53"/>
  <c r="B37" i="53"/>
  <c r="B35" i="53"/>
  <c r="B34" i="53"/>
  <c r="B29" i="53"/>
  <c r="BH33" i="53" s="1"/>
  <c r="BH34" i="53" s="1"/>
  <c r="BH35" i="53" s="1"/>
  <c r="BH36" i="53" s="1"/>
  <c r="BH37" i="53" s="1"/>
  <c r="BH38" i="53" s="1"/>
  <c r="BH39" i="53" s="1"/>
  <c r="BH40" i="53" s="1"/>
  <c r="BH41" i="53" s="1"/>
  <c r="B15" i="53"/>
  <c r="B14" i="53"/>
  <c r="B12" i="53"/>
  <c r="B9" i="53"/>
  <c r="B145" i="52"/>
  <c r="B144" i="52"/>
  <c r="B142" i="52"/>
  <c r="B139" i="52"/>
  <c r="B138" i="52"/>
  <c r="B119" i="52"/>
  <c r="B118" i="52"/>
  <c r="B116" i="52"/>
  <c r="B115" i="52"/>
  <c r="B113" i="52"/>
  <c r="B93" i="52"/>
  <c r="B90" i="52"/>
  <c r="B89" i="52"/>
  <c r="B87" i="52"/>
  <c r="B86" i="52"/>
  <c r="B67" i="52"/>
  <c r="B66" i="52"/>
  <c r="B64" i="52"/>
  <c r="B61" i="52"/>
  <c r="B41" i="52"/>
  <c r="B40" i="52"/>
  <c r="B38" i="52"/>
  <c r="B37" i="52"/>
  <c r="B35" i="52"/>
  <c r="B15" i="52"/>
  <c r="B14" i="52"/>
  <c r="B12" i="52"/>
  <c r="B9" i="52"/>
  <c r="B8" i="52"/>
  <c r="B59" i="53"/>
  <c r="G1" i="53"/>
  <c r="B3" i="53"/>
  <c r="BH7" i="53" s="1"/>
  <c r="BH8" i="53" s="1"/>
  <c r="BH9" i="53" s="1"/>
  <c r="BH10" i="53" s="1"/>
  <c r="BH11" i="53" s="1"/>
  <c r="BH12" i="53" s="1"/>
  <c r="BH13" i="53" s="1"/>
  <c r="BH14" i="53" s="1"/>
  <c r="BH15" i="53" s="1"/>
  <c r="H19" i="53"/>
  <c r="H20" i="53" s="1"/>
  <c r="K19" i="53"/>
  <c r="K20" i="53" s="1"/>
  <c r="N19" i="53"/>
  <c r="Q19" i="53"/>
  <c r="Q20" i="53" s="1"/>
  <c r="Q19" i="59"/>
  <c r="Q20" i="59" s="1"/>
  <c r="N19" i="59"/>
  <c r="K19" i="59"/>
  <c r="K20" i="59" s="1"/>
  <c r="H19" i="59"/>
  <c r="B3" i="59"/>
  <c r="BH7" i="59" s="1"/>
  <c r="BH8" i="59" s="1"/>
  <c r="BH9" i="59" s="1"/>
  <c r="BH10" i="59" s="1"/>
  <c r="BH11" i="59" s="1"/>
  <c r="BH12" i="59" s="1"/>
  <c r="BH13" i="59" s="1"/>
  <c r="BH14" i="59" s="1"/>
  <c r="BH15" i="59" s="1"/>
  <c r="Q19" i="58"/>
  <c r="Q20" i="58" s="1"/>
  <c r="N19" i="58"/>
  <c r="N20" i="58" s="1"/>
  <c r="K19" i="58"/>
  <c r="H19" i="58"/>
  <c r="B3" i="58"/>
  <c r="BH7" i="58" s="1"/>
  <c r="BH8" i="58" s="1"/>
  <c r="BH9" i="58" s="1"/>
  <c r="BH10" i="58" s="1"/>
  <c r="BH11" i="58" s="1"/>
  <c r="BH12" i="58" s="1"/>
  <c r="BH13" i="58" s="1"/>
  <c r="BH14" i="58" s="1"/>
  <c r="BH15" i="58" s="1"/>
  <c r="Q19" i="57"/>
  <c r="Q20" i="57" s="1"/>
  <c r="N19" i="57"/>
  <c r="N20" i="57" s="1"/>
  <c r="K19" i="57"/>
  <c r="K20" i="57" s="1"/>
  <c r="H19" i="57"/>
  <c r="H20" i="57" s="1"/>
  <c r="B3" i="57"/>
  <c r="BH7" i="57" s="1"/>
  <c r="BH8" i="57" s="1"/>
  <c r="BH9" i="57" s="1"/>
  <c r="BH10" i="57" s="1"/>
  <c r="BH11" i="57" s="1"/>
  <c r="BH12" i="57" s="1"/>
  <c r="BH13" i="57" s="1"/>
  <c r="BH14" i="57" s="1"/>
  <c r="BH15" i="57" s="1"/>
  <c r="Q19" i="55"/>
  <c r="N19" i="55"/>
  <c r="N20" i="55" s="1"/>
  <c r="K19" i="55"/>
  <c r="K20" i="55" s="1"/>
  <c r="H19" i="55"/>
  <c r="H20" i="55" s="1"/>
  <c r="E20" i="55"/>
  <c r="B3" i="55"/>
  <c r="BH7" i="55" s="1"/>
  <c r="BH8" i="55" s="1"/>
  <c r="BH9" i="55" s="1"/>
  <c r="BH10" i="55" s="1"/>
  <c r="BH11" i="55" s="1"/>
  <c r="BH12" i="55" s="1"/>
  <c r="BH13" i="55" s="1"/>
  <c r="BH14" i="55" s="1"/>
  <c r="BH15" i="55" s="1"/>
  <c r="B133" i="52"/>
  <c r="BH137" i="52" s="1"/>
  <c r="BH138" i="52" s="1"/>
  <c r="BH139" i="52" s="1"/>
  <c r="BH140" i="52" s="1"/>
  <c r="BH141" i="52" s="1"/>
  <c r="BH142" i="52" s="1"/>
  <c r="BH143" i="52" s="1"/>
  <c r="BH144" i="52" s="1"/>
  <c r="BH145" i="52" s="1"/>
  <c r="B107" i="52"/>
  <c r="BH111" i="52" s="1"/>
  <c r="BH112" i="52" s="1"/>
  <c r="BH113" i="52" s="1"/>
  <c r="BH114" i="52" s="1"/>
  <c r="BH115" i="52" s="1"/>
  <c r="BH116" i="52" s="1"/>
  <c r="BH117" i="52" s="1"/>
  <c r="BH118" i="52" s="1"/>
  <c r="BH119" i="52" s="1"/>
  <c r="B81" i="52"/>
  <c r="BH85" i="52" s="1"/>
  <c r="BH86" i="52" s="1"/>
  <c r="BH87" i="52" s="1"/>
  <c r="BH88" i="52" s="1"/>
  <c r="BH89" i="52" s="1"/>
  <c r="BH90" i="52" s="1"/>
  <c r="BH91" i="52" s="1"/>
  <c r="BH92" i="52" s="1"/>
  <c r="BH93" i="52" s="1"/>
  <c r="B55" i="52"/>
  <c r="BH59" i="52" s="1"/>
  <c r="BH60" i="52" s="1"/>
  <c r="BH61" i="52" s="1"/>
  <c r="BH62" i="52" s="1"/>
  <c r="BH63" i="52" s="1"/>
  <c r="BH64" i="52" s="1"/>
  <c r="BH65" i="52" s="1"/>
  <c r="BH66" i="52" s="1"/>
  <c r="BH67" i="52" s="1"/>
  <c r="B29" i="52"/>
  <c r="BH33" i="52" s="1"/>
  <c r="BH34" i="52" s="1"/>
  <c r="BH35" i="52" s="1"/>
  <c r="BH36" i="52" s="1"/>
  <c r="BH37" i="52" s="1"/>
  <c r="BH38" i="52" s="1"/>
  <c r="BH39" i="52" s="1"/>
  <c r="BH40" i="52" s="1"/>
  <c r="BH41" i="52" s="1"/>
  <c r="B3" i="52"/>
  <c r="BH7" i="52" s="1"/>
  <c r="BH8" i="52" s="1"/>
  <c r="BH9" i="52" s="1"/>
  <c r="BH10" i="52" s="1"/>
  <c r="BH11" i="52" s="1"/>
  <c r="BH12" i="52" s="1"/>
  <c r="BH13" i="52" s="1"/>
  <c r="BH14" i="52" s="1"/>
  <c r="BH15" i="52" s="1"/>
  <c r="DI1" i="16"/>
  <c r="S27" i="59" s="1"/>
  <c r="E127" i="87"/>
  <c r="CO1" i="16"/>
  <c r="M76" i="86" s="1"/>
  <c r="CE2" i="16"/>
  <c r="E127" i="86" s="1"/>
  <c r="BU1" i="16"/>
  <c r="M51" i="85" s="1"/>
  <c r="BK2" i="16"/>
  <c r="E77" i="85" s="1"/>
  <c r="AQ2" i="16"/>
  <c r="G2" i="55" s="1"/>
  <c r="BA1" i="16"/>
  <c r="S27" i="55" s="1"/>
  <c r="AG1" i="16"/>
  <c r="M101" i="45" s="1"/>
  <c r="W2" i="16"/>
  <c r="G80" i="53" s="1"/>
  <c r="M1" i="16"/>
  <c r="S27" i="52" s="1"/>
  <c r="C2" i="16"/>
  <c r="B92" i="52"/>
  <c r="B137" i="52"/>
  <c r="B88" i="53"/>
  <c r="B34" i="52"/>
  <c r="B60" i="52"/>
  <c r="AZ7" i="52"/>
  <c r="Q124" i="52"/>
  <c r="BA7" i="52"/>
  <c r="BB7" i="52"/>
  <c r="BC7" i="52"/>
  <c r="CQ6" i="16"/>
  <c r="M30" i="58" s="1"/>
  <c r="B52" i="84"/>
  <c r="G69" i="84" s="1"/>
  <c r="G70" i="84" s="1"/>
  <c r="G44" i="41"/>
  <c r="G45" i="41" s="1"/>
  <c r="E44" i="45"/>
  <c r="E45" i="45" s="1"/>
  <c r="B28" i="45"/>
  <c r="E150" i="52"/>
  <c r="H98" i="52"/>
  <c r="AX9" i="59"/>
  <c r="BF11" i="59"/>
  <c r="BF13" i="59"/>
  <c r="AX15" i="59"/>
  <c r="BF38" i="59"/>
  <c r="BJ38" i="59"/>
  <c r="BK38" i="59"/>
  <c r="BF41" i="59"/>
  <c r="BK61" i="59"/>
  <c r="BJ61" i="59"/>
  <c r="BJ67" i="59"/>
  <c r="BK89" i="59"/>
  <c r="BJ89" i="59"/>
  <c r="BK118" i="59"/>
  <c r="BJ8" i="59"/>
  <c r="BK37" i="59"/>
  <c r="BJ37" i="59"/>
  <c r="BJ66" i="59"/>
  <c r="BF66" i="59"/>
  <c r="BK66" i="59"/>
  <c r="BK67" i="59"/>
  <c r="BK8" i="59"/>
  <c r="BJ9" i="59"/>
  <c r="AX11" i="59"/>
  <c r="AW12" i="59"/>
  <c r="BF14" i="59"/>
  <c r="BJ14" i="59"/>
  <c r="BK14" i="59"/>
  <c r="BK15" i="59"/>
  <c r="BF35" i="59"/>
  <c r="BF40" i="59"/>
  <c r="BJ60" i="59"/>
  <c r="BJ88" i="59"/>
  <c r="BK9" i="59"/>
  <c r="AX12" i="59"/>
  <c r="BK41" i="59"/>
  <c r="BJ41" i="59"/>
  <c r="BK60" i="59"/>
  <c r="BF63" i="59"/>
  <c r="BJ64" i="59"/>
  <c r="BJ87" i="59"/>
  <c r="BJ93" i="59"/>
  <c r="BF93" i="59"/>
  <c r="BK93" i="59"/>
  <c r="BF8" i="59"/>
  <c r="BJ40" i="59"/>
  <c r="BF61" i="59"/>
  <c r="BF67" i="59"/>
  <c r="BF86" i="59"/>
  <c r="BJ86" i="59"/>
  <c r="BK86" i="59"/>
  <c r="BF145" i="59"/>
  <c r="BK145" i="59"/>
  <c r="BJ145" i="59"/>
  <c r="AW8" i="59"/>
  <c r="BF9" i="59"/>
  <c r="BJ34" i="59"/>
  <c r="BF34" i="59"/>
  <c r="BK34" i="59"/>
  <c r="BF37" i="59"/>
  <c r="BK40" i="59"/>
  <c r="BJ63" i="59"/>
  <c r="BF92" i="59"/>
  <c r="BF113" i="59"/>
  <c r="BK113" i="59"/>
  <c r="BJ113" i="59"/>
  <c r="BF118" i="59"/>
  <c r="BK119" i="59"/>
  <c r="BJ139" i="59"/>
  <c r="BF88" i="59"/>
  <c r="BJ90" i="59"/>
  <c r="BF90" i="59"/>
  <c r="BK90" i="59"/>
  <c r="BJ141" i="59"/>
  <c r="BF141" i="59"/>
  <c r="BK141" i="59"/>
  <c r="BJ118" i="59"/>
  <c r="BF138" i="59"/>
  <c r="BJ142" i="59"/>
  <c r="BF115" i="59"/>
  <c r="BJ119" i="59"/>
  <c r="BF139" i="59"/>
  <c r="BK144" i="59"/>
  <c r="BJ7" i="58"/>
  <c r="BF11" i="58"/>
  <c r="BF115" i="58"/>
  <c r="BK140" i="58"/>
  <c r="BJ141" i="58"/>
  <c r="BF141" i="58"/>
  <c r="BK141" i="58"/>
  <c r="AW11" i="58"/>
  <c r="BF12" i="58"/>
  <c r="BF13" i="58"/>
  <c r="AX11" i="58"/>
  <c r="AW12" i="58"/>
  <c r="BK64" i="58"/>
  <c r="BK85" i="58"/>
  <c r="BF92" i="58"/>
  <c r="BJ93" i="58"/>
  <c r="BF93" i="58"/>
  <c r="BK93" i="58"/>
  <c r="AX12" i="58"/>
  <c r="AX13" i="58"/>
  <c r="BF59" i="58"/>
  <c r="BJ59" i="58"/>
  <c r="BJ90" i="58"/>
  <c r="BF7" i="58"/>
  <c r="BK59" i="58"/>
  <c r="BK67" i="58"/>
  <c r="BF86" i="58"/>
  <c r="BF113" i="58"/>
  <c r="BJ119" i="58"/>
  <c r="BJ12" i="58"/>
  <c r="BF33" i="58"/>
  <c r="BJ33" i="58"/>
  <c r="BF61" i="58"/>
  <c r="BK92" i="58"/>
  <c r="BJ92" i="58"/>
  <c r="BF41" i="58"/>
  <c r="BF64" i="58"/>
  <c r="BK117" i="58"/>
  <c r="BK138" i="58"/>
  <c r="BJ139" i="58"/>
  <c r="BF139" i="58"/>
  <c r="BF34" i="58"/>
  <c r="BJ86" i="58"/>
  <c r="BJ118" i="58"/>
  <c r="BF138" i="58"/>
  <c r="BJ142" i="58"/>
  <c r="BK119" i="58"/>
  <c r="BF140" i="58"/>
  <c r="BK143" i="58"/>
  <c r="BJ144" i="58"/>
  <c r="BJ113" i="58"/>
  <c r="BK144" i="58"/>
  <c r="BJ145" i="58"/>
  <c r="BK9" i="57"/>
  <c r="AX12" i="57"/>
  <c r="BF35" i="57"/>
  <c r="BF37" i="57"/>
  <c r="BF39" i="57"/>
  <c r="BF41" i="57"/>
  <c r="BK67" i="57"/>
  <c r="BF86" i="57"/>
  <c r="BJ86" i="57"/>
  <c r="BF88" i="57"/>
  <c r="BJ88" i="57"/>
  <c r="BJ90" i="57"/>
  <c r="BF90" i="57"/>
  <c r="BJ92" i="57"/>
  <c r="BF92" i="57"/>
  <c r="BK139" i="57"/>
  <c r="BJ140" i="57"/>
  <c r="BK145" i="57"/>
  <c r="BK119" i="57"/>
  <c r="BF9" i="57"/>
  <c r="BF15" i="57"/>
  <c r="BK41" i="57"/>
  <c r="BK115" i="57"/>
  <c r="AW9" i="57"/>
  <c r="BK35" i="57"/>
  <c r="BF64" i="57"/>
  <c r="BJ64" i="57"/>
  <c r="BJ66" i="57"/>
  <c r="BF66" i="57"/>
  <c r="AX9" i="57"/>
  <c r="AX15" i="57"/>
  <c r="BF67" i="57"/>
  <c r="BK89" i="57"/>
  <c r="BF139" i="57"/>
  <c r="BK87" i="57"/>
  <c r="BF112" i="57"/>
  <c r="BJ112" i="57"/>
  <c r="BJ114" i="57"/>
  <c r="BJ116" i="57"/>
  <c r="BF116" i="57"/>
  <c r="BF118" i="57"/>
  <c r="BJ118" i="57"/>
  <c r="BF119" i="57"/>
  <c r="BF14" i="57"/>
  <c r="BJ14" i="57"/>
  <c r="BK14" i="57"/>
  <c r="BF40" i="57"/>
  <c r="BJ40" i="57"/>
  <c r="BF144" i="57"/>
  <c r="BK144" i="57"/>
  <c r="BJ144" i="57"/>
  <c r="BK37" i="57"/>
  <c r="BK61" i="57"/>
  <c r="BK85" i="57"/>
  <c r="BK93" i="57"/>
  <c r="BF138" i="57"/>
  <c r="BJ142" i="57"/>
  <c r="BF142" i="57"/>
  <c r="BK34" i="55"/>
  <c r="BF34" i="55"/>
  <c r="BF64" i="55"/>
  <c r="AX8" i="55"/>
  <c r="AW9" i="55"/>
  <c r="BK61" i="55"/>
  <c r="BJ113" i="55"/>
  <c r="BK119" i="55"/>
  <c r="BK144" i="55"/>
  <c r="BF145" i="55"/>
  <c r="BK145" i="55"/>
  <c r="BJ145" i="55"/>
  <c r="AX9" i="55"/>
  <c r="BF63" i="55"/>
  <c r="BF15" i="55"/>
  <c r="BJ93" i="55"/>
  <c r="BF93" i="55"/>
  <c r="BK93" i="55"/>
  <c r="BF119" i="55"/>
  <c r="BJ141" i="55"/>
  <c r="BF141" i="55"/>
  <c r="BK141" i="55"/>
  <c r="BJ137" i="55"/>
  <c r="BF89" i="55"/>
  <c r="BK89" i="55"/>
  <c r="BJ89" i="55"/>
  <c r="BJ35" i="55"/>
  <c r="BF35" i="55"/>
  <c r="BK35" i="55"/>
  <c r="BF38" i="55"/>
  <c r="BK38" i="55"/>
  <c r="BJ38" i="55"/>
  <c r="BJ86" i="55"/>
  <c r="BF90" i="55"/>
  <c r="BJ118" i="55"/>
  <c r="BK86" i="55"/>
  <c r="BF115" i="55"/>
  <c r="BJ119" i="55"/>
  <c r="BF139" i="55"/>
  <c r="BF86" i="55"/>
  <c r="BJ90" i="55"/>
  <c r="BF9" i="53"/>
  <c r="BF37" i="53"/>
  <c r="BK40" i="53"/>
  <c r="BK92" i="53"/>
  <c r="AW9" i="53"/>
  <c r="BF10" i="53"/>
  <c r="BJ33" i="53"/>
  <c r="BJ90" i="53"/>
  <c r="BF113" i="53"/>
  <c r="BK113" i="53"/>
  <c r="BJ113" i="53"/>
  <c r="BJ115" i="53"/>
  <c r="BJ117" i="53"/>
  <c r="BF117" i="53"/>
  <c r="BK117" i="53"/>
  <c r="BJ119" i="53"/>
  <c r="AX9" i="53"/>
  <c r="BF36" i="53"/>
  <c r="BF38" i="53"/>
  <c r="BJ38" i="53"/>
  <c r="BK38" i="53"/>
  <c r="BK39" i="53"/>
  <c r="BF87" i="53"/>
  <c r="BF91" i="53"/>
  <c r="BK115" i="53"/>
  <c r="BK119" i="53"/>
  <c r="BK144" i="53"/>
  <c r="BK37" i="53"/>
  <c r="BJ37" i="53"/>
  <c r="BK60" i="53"/>
  <c r="BJ9" i="53"/>
  <c r="BF35" i="53"/>
  <c r="BF62" i="53"/>
  <c r="BJ87" i="53"/>
  <c r="BF89" i="53"/>
  <c r="BK89" i="53"/>
  <c r="BJ89" i="53"/>
  <c r="BJ93" i="53"/>
  <c r="BF93" i="53"/>
  <c r="BK93" i="53"/>
  <c r="BF139" i="53"/>
  <c r="BF143" i="53"/>
  <c r="BJ36" i="53"/>
  <c r="BK41" i="53"/>
  <c r="BJ41" i="53"/>
  <c r="BF67" i="53"/>
  <c r="BK116" i="53"/>
  <c r="BF137" i="53"/>
  <c r="BK137" i="53"/>
  <c r="BJ137" i="53"/>
  <c r="BJ141" i="53"/>
  <c r="BF141" i="53"/>
  <c r="BK141" i="53"/>
  <c r="BF145" i="53"/>
  <c r="BK145" i="53"/>
  <c r="BJ145" i="53"/>
  <c r="BK61" i="53"/>
  <c r="BF115" i="53"/>
  <c r="BJ62" i="53"/>
  <c r="BF90" i="53"/>
  <c r="BJ118" i="53"/>
  <c r="BF138" i="53"/>
  <c r="BJ142" i="53"/>
  <c r="BK141" i="52"/>
  <c r="BJ142" i="52"/>
  <c r="BF141" i="52"/>
  <c r="BJ145" i="52"/>
  <c r="BK115" i="52"/>
  <c r="BK116" i="52"/>
  <c r="BJ119" i="52"/>
  <c r="BK111" i="52"/>
  <c r="BF116" i="52"/>
  <c r="BK119" i="52"/>
  <c r="BJ114" i="52"/>
  <c r="BF87" i="52"/>
  <c r="BK90" i="52"/>
  <c r="BJ92" i="52"/>
  <c r="BK92" i="52"/>
  <c r="BJ87" i="52"/>
  <c r="BJ67" i="52"/>
  <c r="BF35" i="52"/>
  <c r="BJ39" i="52"/>
  <c r="BF36" i="52"/>
  <c r="BK39" i="52"/>
  <c r="BK12" i="52"/>
  <c r="BF12" i="52"/>
  <c r="AW12" i="52"/>
  <c r="AX12" i="52"/>
  <c r="BJ12" i="52"/>
  <c r="BF8" i="52"/>
  <c r="AW8" i="52"/>
  <c r="AX8" i="52"/>
  <c r="BF118" i="53"/>
  <c r="BJ111" i="53"/>
  <c r="BJ116" i="53"/>
  <c r="BF119" i="53"/>
  <c r="BK118" i="53"/>
  <c r="BF116" i="53"/>
  <c r="BF92" i="53"/>
  <c r="BK87" i="53"/>
  <c r="BK62" i="53"/>
  <c r="BJ60" i="53"/>
  <c r="BF33" i="53"/>
  <c r="BJ35" i="53"/>
  <c r="BF41" i="53"/>
  <c r="BK9" i="53"/>
  <c r="BF8" i="53"/>
  <c r="BK8" i="53"/>
  <c r="BF119" i="52"/>
  <c r="BF111" i="52"/>
  <c r="BF115" i="52"/>
  <c r="BJ115" i="52"/>
  <c r="BF92" i="52"/>
  <c r="BK87" i="52"/>
  <c r="BF91" i="52"/>
  <c r="BJ62" i="52"/>
  <c r="BF65" i="52"/>
  <c r="BK11" i="52"/>
  <c r="AV12" i="52"/>
  <c r="BK8" i="52"/>
  <c r="BJ8" i="52"/>
  <c r="K124" i="52"/>
  <c r="G54" i="52"/>
  <c r="BK145" i="52"/>
  <c r="BK142" i="52"/>
  <c r="BJ141" i="52"/>
  <c r="BF142" i="52"/>
  <c r="AW13" i="52"/>
  <c r="AN13" i="52" s="1"/>
  <c r="BK139" i="53"/>
  <c r="BK142" i="53"/>
  <c r="BF142" i="53"/>
  <c r="BJ139" i="53"/>
  <c r="BF144" i="53"/>
  <c r="BJ138" i="53"/>
  <c r="BJ144" i="53"/>
  <c r="BK138" i="53"/>
  <c r="BJ144" i="55"/>
  <c r="BF144" i="55"/>
  <c r="BJ115" i="55"/>
  <c r="BJ64" i="55"/>
  <c r="BJ40" i="55"/>
  <c r="BJ34" i="55"/>
  <c r="BK9" i="55"/>
  <c r="BJ9" i="55"/>
  <c r="AW12" i="55"/>
  <c r="BF140" i="55"/>
  <c r="BK137" i="55"/>
  <c r="BF137" i="55"/>
  <c r="BK143" i="53"/>
  <c r="BJ143" i="53"/>
  <c r="BJ91" i="53"/>
  <c r="BF137" i="52"/>
  <c r="BK91" i="52"/>
  <c r="BJ91" i="52"/>
  <c r="BK65" i="52"/>
  <c r="BK33" i="53"/>
  <c r="AV15" i="52"/>
  <c r="BK116" i="59"/>
  <c r="BJ116" i="59"/>
  <c r="BK39" i="58"/>
  <c r="BF39" i="58"/>
  <c r="BJ39" i="58"/>
  <c r="B65" i="53"/>
  <c r="BK63" i="59"/>
  <c r="BF144" i="58"/>
  <c r="BJ115" i="57"/>
  <c r="BF115" i="57"/>
  <c r="AX10" i="53"/>
  <c r="BK115" i="55"/>
  <c r="BJ119" i="57"/>
  <c r="BK86" i="58"/>
  <c r="BJ139" i="57"/>
  <c r="BF145" i="58"/>
  <c r="BK145" i="58"/>
  <c r="BK90" i="55"/>
  <c r="BJ140" i="58"/>
  <c r="BJ11" i="59"/>
  <c r="AW11" i="59"/>
  <c r="BK11" i="59"/>
  <c r="BJ12" i="57"/>
  <c r="BK12" i="57"/>
  <c r="AW14" i="57"/>
  <c r="AX14" i="57"/>
  <c r="BJ113" i="57"/>
  <c r="BJ138" i="58"/>
  <c r="BJ67" i="53"/>
  <c r="BJ111" i="58"/>
  <c r="BJ138" i="59"/>
  <c r="BJ37" i="57"/>
  <c r="BJ93" i="57"/>
  <c r="BK33" i="58"/>
  <c r="BF118" i="58"/>
  <c r="BK118" i="58"/>
  <c r="BK138" i="59"/>
  <c r="BJ64" i="58"/>
  <c r="BJ35" i="57"/>
  <c r="BJ87" i="57"/>
  <c r="BJ91" i="58"/>
  <c r="BK116" i="57"/>
  <c r="BK138" i="57"/>
  <c r="AX7" i="58"/>
  <c r="BK7" i="58"/>
  <c r="BK11" i="58"/>
  <c r="BK139" i="58"/>
  <c r="AW14" i="59"/>
  <c r="BJ15" i="57"/>
  <c r="BK11" i="57"/>
  <c r="AW11" i="57"/>
  <c r="AX11" i="57"/>
  <c r="BK12" i="59"/>
  <c r="BF12" i="59"/>
  <c r="BJ11" i="57"/>
  <c r="BF119" i="58"/>
  <c r="BF9" i="55"/>
  <c r="BK114" i="57"/>
  <c r="AX8" i="59"/>
  <c r="BK35" i="59"/>
  <c r="BF61" i="57"/>
  <c r="BJ85" i="57"/>
  <c r="BF116" i="59"/>
  <c r="BJ141" i="57"/>
  <c r="BF142" i="58"/>
  <c r="BF60" i="59"/>
  <c r="BF87" i="59"/>
  <c r="BF144" i="59"/>
  <c r="BJ144" i="59"/>
  <c r="BK86" i="57"/>
  <c r="BK88" i="57"/>
  <c r="BK87" i="59"/>
  <c r="BJ34" i="58"/>
  <c r="BK15" i="57"/>
  <c r="BK112" i="59"/>
  <c r="BF15" i="59"/>
  <c r="BF112" i="59"/>
  <c r="BF137" i="57"/>
  <c r="BF111" i="57"/>
  <c r="BF85" i="57"/>
  <c r="BJ36" i="57"/>
  <c r="B36" i="52"/>
  <c r="B36" i="55"/>
  <c r="B117" i="55"/>
  <c r="B114" i="57"/>
  <c r="B36" i="57"/>
  <c r="DJ6" i="16"/>
  <c r="BF89" i="59"/>
  <c r="DM6" i="16"/>
  <c r="S30" i="59" s="1"/>
  <c r="DI5" i="16"/>
  <c r="B140" i="52"/>
  <c r="B137" i="53"/>
  <c r="DM5" i="16"/>
  <c r="S4" i="59" s="1"/>
  <c r="B143" i="57"/>
  <c r="B143" i="55"/>
  <c r="B141" i="52"/>
  <c r="BF119" i="59"/>
  <c r="BJ35" i="58"/>
  <c r="B59" i="52"/>
  <c r="B59" i="55"/>
  <c r="BF87" i="57"/>
  <c r="BK114" i="52"/>
  <c r="BJ61" i="57"/>
  <c r="AW15" i="59"/>
  <c r="BJ15" i="59"/>
  <c r="BK64" i="59"/>
  <c r="BF64" i="59"/>
  <c r="BK40" i="57"/>
  <c r="BJ143" i="58"/>
  <c r="BF143" i="58"/>
  <c r="AW12" i="57"/>
  <c r="BJ145" i="57"/>
  <c r="BF142" i="59"/>
  <c r="B10" i="57"/>
  <c r="B8" i="55"/>
  <c r="B137" i="55"/>
  <c r="B143" i="52"/>
  <c r="B137" i="57"/>
  <c r="B143" i="53"/>
  <c r="B85" i="53"/>
  <c r="B39" i="53"/>
  <c r="B88" i="52"/>
  <c r="B91" i="53"/>
  <c r="B85" i="55"/>
  <c r="B62" i="52"/>
  <c r="B62" i="57"/>
  <c r="B111" i="52"/>
  <c r="B111" i="57"/>
  <c r="B111" i="53"/>
  <c r="B111" i="55"/>
  <c r="B114" i="52"/>
  <c r="B114" i="53"/>
  <c r="B114" i="55"/>
  <c r="B62" i="55"/>
  <c r="B62" i="53"/>
  <c r="B13" i="57"/>
  <c r="B13" i="55"/>
  <c r="B13" i="58"/>
  <c r="B13" i="52"/>
  <c r="B85" i="58"/>
  <c r="B85" i="57"/>
  <c r="B91" i="52"/>
  <c r="B140" i="55"/>
  <c r="BK10" i="58"/>
  <c r="AW7" i="58"/>
  <c r="Q46" i="52"/>
  <c r="BJ112" i="59"/>
  <c r="B59" i="57"/>
  <c r="BJ115" i="59"/>
  <c r="BK142" i="57"/>
  <c r="BK92" i="59"/>
  <c r="BJ91" i="59"/>
  <c r="BK91" i="59"/>
  <c r="BK88" i="59"/>
  <c r="BK85" i="59"/>
  <c r="BJ85" i="59"/>
  <c r="BF85" i="59"/>
  <c r="BF143" i="59"/>
  <c r="BJ143" i="59"/>
  <c r="BK143" i="59"/>
  <c r="BK140" i="59"/>
  <c r="BJ140" i="59"/>
  <c r="BF140" i="59"/>
  <c r="BJ137" i="59"/>
  <c r="BK137" i="59"/>
  <c r="BF137" i="59"/>
  <c r="BF117" i="59"/>
  <c r="BK117" i="59"/>
  <c r="BK114" i="59"/>
  <c r="BJ114" i="59"/>
  <c r="BF114" i="59"/>
  <c r="BF111" i="59"/>
  <c r="BJ111" i="59"/>
  <c r="BK111" i="59"/>
  <c r="BJ65" i="59"/>
  <c r="BF65" i="59"/>
  <c r="BK65" i="59"/>
  <c r="BK62" i="59"/>
  <c r="BF62" i="59"/>
  <c r="BJ59" i="59"/>
  <c r="BK59" i="59"/>
  <c r="BF59" i="59"/>
  <c r="BK39" i="59"/>
  <c r="BF39" i="59"/>
  <c r="BK36" i="59"/>
  <c r="BJ36" i="59"/>
  <c r="BF36" i="59"/>
  <c r="BJ33" i="59"/>
  <c r="AV13" i="59"/>
  <c r="BK13" i="59"/>
  <c r="AX13" i="59"/>
  <c r="BF10" i="59"/>
  <c r="BJ10" i="59"/>
  <c r="AX10" i="59"/>
  <c r="BK10" i="59"/>
  <c r="AW10" i="59"/>
  <c r="BJ7" i="59"/>
  <c r="BK7" i="59"/>
  <c r="AX7" i="59"/>
  <c r="BF7" i="59"/>
  <c r="AW7" i="59"/>
  <c r="BK139" i="59"/>
  <c r="BK142" i="58"/>
  <c r="BK142" i="59"/>
  <c r="BK112" i="57"/>
  <c r="BK118" i="57"/>
  <c r="BJ117" i="59"/>
  <c r="BK90" i="57"/>
  <c r="BF93" i="57"/>
  <c r="BJ92" i="53"/>
  <c r="BK90" i="53"/>
  <c r="BJ92" i="59"/>
  <c r="BF91" i="59"/>
  <c r="BJ67" i="57"/>
  <c r="BJ62" i="59"/>
  <c r="BK64" i="55"/>
  <c r="BK67" i="53"/>
  <c r="BK34" i="58"/>
  <c r="BK35" i="53"/>
  <c r="BJ35" i="59"/>
  <c r="BF33" i="59"/>
  <c r="BJ39" i="59"/>
  <c r="BJ11" i="58"/>
  <c r="AV10" i="59"/>
  <c r="AX14" i="59"/>
  <c r="AW15" i="57"/>
  <c r="AW9" i="59"/>
  <c r="BJ13" i="59"/>
  <c r="BK12" i="58"/>
  <c r="BJ12" i="59"/>
  <c r="M4" i="99" s="1"/>
  <c r="AW13" i="59"/>
  <c r="B65" i="58"/>
  <c r="B65" i="59"/>
  <c r="B10" i="53"/>
  <c r="B10" i="55"/>
  <c r="B10" i="59"/>
  <c r="B10" i="52"/>
  <c r="B10" i="58"/>
  <c r="B88" i="57"/>
  <c r="B88" i="55"/>
  <c r="B88" i="59"/>
  <c r="B88" i="58"/>
  <c r="B117" i="53"/>
  <c r="B117" i="57"/>
  <c r="B117" i="58"/>
  <c r="B7" i="52"/>
  <c r="B7" i="53"/>
  <c r="B7" i="59"/>
  <c r="B7" i="57"/>
  <c r="B11" i="55"/>
  <c r="B7" i="55"/>
  <c r="AX116" i="53"/>
  <c r="AX115" i="53"/>
  <c r="AW116" i="53"/>
  <c r="AW115" i="53"/>
  <c r="AM116" i="53"/>
  <c r="AM113" i="53"/>
  <c r="AM115" i="53"/>
  <c r="AM90" i="53"/>
  <c r="AM86" i="53"/>
  <c r="AM92" i="53"/>
  <c r="AM87" i="53"/>
  <c r="AM89" i="53"/>
  <c r="AW86" i="53"/>
  <c r="AN86" i="53" s="1"/>
  <c r="AW90" i="53"/>
  <c r="AX92" i="53"/>
  <c r="AX87" i="53"/>
  <c r="AX89" i="53"/>
  <c r="AX64" i="53"/>
  <c r="AX63" i="53"/>
  <c r="AW64" i="53"/>
  <c r="BJ64" i="53"/>
  <c r="BK64" i="53"/>
  <c r="BF64" i="53"/>
  <c r="AM64" i="53"/>
  <c r="AM61" i="53"/>
  <c r="AM38" i="53"/>
  <c r="AO38" i="53" s="1"/>
  <c r="AX33" i="53"/>
  <c r="AX35" i="53"/>
  <c r="AW40" i="53"/>
  <c r="AM9" i="53"/>
  <c r="AX111" i="52"/>
  <c r="AW112" i="52"/>
  <c r="AW91" i="52"/>
  <c r="AX87" i="52"/>
  <c r="AW87" i="52"/>
  <c r="AW65" i="52"/>
  <c r="AX35" i="52"/>
  <c r="AW35" i="52"/>
  <c r="AX14" i="52"/>
  <c r="AW117" i="53"/>
  <c r="AW111" i="53"/>
  <c r="AW91" i="53"/>
  <c r="AN91" i="53" s="1"/>
  <c r="AW36" i="53"/>
  <c r="AW33" i="53"/>
  <c r="AW141" i="52"/>
  <c r="AX143" i="53"/>
  <c r="AW144" i="53"/>
  <c r="AX138" i="59"/>
  <c r="AW139" i="59"/>
  <c r="AX141" i="58"/>
  <c r="AW142" i="58"/>
  <c r="AW137" i="57"/>
  <c r="AW145" i="57"/>
  <c r="AX139" i="55"/>
  <c r="AW140" i="55"/>
  <c r="AW142" i="59"/>
  <c r="AW145" i="58"/>
  <c r="AW145" i="52"/>
  <c r="AW143" i="59"/>
  <c r="AW138" i="58"/>
  <c r="AW141" i="57"/>
  <c r="AN141" i="57" s="1"/>
  <c r="AW144" i="55"/>
  <c r="AW137" i="55"/>
  <c r="AX117" i="53"/>
  <c r="AW118" i="53"/>
  <c r="AX112" i="59"/>
  <c r="AW113" i="59"/>
  <c r="AW111" i="57"/>
  <c r="AX118" i="57"/>
  <c r="AW119" i="57"/>
  <c r="AX113" i="55"/>
  <c r="AW112" i="57"/>
  <c r="AW118" i="52"/>
  <c r="AW113" i="53"/>
  <c r="AW116" i="59"/>
  <c r="AW119" i="58"/>
  <c r="AW119" i="52"/>
  <c r="AW117" i="59"/>
  <c r="AW115" i="57"/>
  <c r="AW118" i="55"/>
  <c r="AX91" i="53"/>
  <c r="AW92" i="53"/>
  <c r="AX86" i="59"/>
  <c r="AW87" i="59"/>
  <c r="AW85" i="57"/>
  <c r="AW93" i="57"/>
  <c r="AX87" i="55"/>
  <c r="AW88" i="59"/>
  <c r="AW89" i="55"/>
  <c r="AW92" i="58"/>
  <c r="AW92" i="52"/>
  <c r="AW87" i="53"/>
  <c r="AW90" i="59"/>
  <c r="AW93" i="58"/>
  <c r="AW88" i="57"/>
  <c r="AW86" i="58"/>
  <c r="AW89" i="57"/>
  <c r="AW92" i="55"/>
  <c r="AW89" i="53"/>
  <c r="AW92" i="59"/>
  <c r="AW90" i="57"/>
  <c r="AW61" i="59"/>
  <c r="AW64" i="58"/>
  <c r="AW67" i="57"/>
  <c r="AW67" i="53"/>
  <c r="AW62" i="59"/>
  <c r="AW63" i="59"/>
  <c r="AW62" i="53"/>
  <c r="AN62" i="53" s="1"/>
  <c r="AW65" i="59"/>
  <c r="AW66" i="59"/>
  <c r="AW64" i="57"/>
  <c r="AW59" i="55"/>
  <c r="AW67" i="55"/>
  <c r="I42" i="59"/>
  <c r="AW37" i="59"/>
  <c r="AW35" i="57"/>
  <c r="AW35" i="53"/>
  <c r="AW38" i="59"/>
  <c r="AW33" i="58"/>
  <c r="AW40" i="55"/>
  <c r="AW34" i="52"/>
  <c r="AW37" i="53"/>
  <c r="AW40" i="59"/>
  <c r="AW38" i="57"/>
  <c r="AW41" i="55"/>
  <c r="F42" i="59"/>
  <c r="U85" i="59"/>
  <c r="U64" i="59"/>
  <c r="U87" i="59"/>
  <c r="F16" i="59"/>
  <c r="U8" i="59"/>
  <c r="U12" i="59"/>
  <c r="U36" i="59"/>
  <c r="U65" i="59"/>
  <c r="U116" i="59"/>
  <c r="I16" i="59"/>
  <c r="T16" i="59"/>
  <c r="AR17" i="59" s="1"/>
  <c r="U137" i="59"/>
  <c r="U139" i="59"/>
  <c r="U67" i="59"/>
  <c r="U114" i="59"/>
  <c r="U38" i="59"/>
  <c r="T42" i="59"/>
  <c r="U86" i="59"/>
  <c r="T94" i="59"/>
  <c r="AR95" i="59" s="1"/>
  <c r="O16" i="59"/>
  <c r="U61" i="59"/>
  <c r="I146" i="59"/>
  <c r="U93" i="59"/>
  <c r="T146" i="59"/>
  <c r="AR147" i="59" s="1"/>
  <c r="T68" i="58"/>
  <c r="AR69" i="58" s="1"/>
  <c r="T146" i="58"/>
  <c r="AR147" i="58" s="1"/>
  <c r="T42" i="58"/>
  <c r="AR43" i="58" s="1"/>
  <c r="U37" i="58"/>
  <c r="BF40" i="55"/>
  <c r="BF8" i="55"/>
  <c r="BF142" i="55"/>
  <c r="BF67" i="55"/>
  <c r="BJ14" i="55"/>
  <c r="BK37" i="55"/>
  <c r="BF12" i="55"/>
  <c r="BK113" i="55"/>
  <c r="AV14" i="55"/>
  <c r="AW8" i="55"/>
  <c r="BJ41" i="55"/>
  <c r="BK14" i="55"/>
  <c r="BK92" i="55"/>
  <c r="BF113" i="55"/>
  <c r="BK67" i="55"/>
  <c r="AX12" i="55"/>
  <c r="BF118" i="55"/>
  <c r="BK118" i="55"/>
  <c r="AW14" i="55"/>
  <c r="BF87" i="55"/>
  <c r="AX14" i="55"/>
  <c r="BJ67" i="55"/>
  <c r="BK139" i="55"/>
  <c r="BK116" i="55"/>
  <c r="BJ8" i="55"/>
  <c r="BK112" i="55"/>
  <c r="AW15" i="55"/>
  <c r="BF37" i="55"/>
  <c r="BK40" i="55"/>
  <c r="BJ61" i="55"/>
  <c r="BJ112" i="55"/>
  <c r="BF92" i="55"/>
  <c r="AX15" i="55"/>
  <c r="BJ12" i="55"/>
  <c r="BJ142" i="55"/>
  <c r="BK15" i="55"/>
  <c r="BJ87" i="55"/>
  <c r="U59" i="59"/>
  <c r="BF145" i="52"/>
  <c r="E20" i="52"/>
  <c r="BK64" i="57"/>
  <c r="BF113" i="57"/>
  <c r="BF12" i="57"/>
  <c r="BK113" i="58"/>
  <c r="AX15" i="52"/>
  <c r="BJ116" i="55"/>
  <c r="BJ39" i="57"/>
  <c r="BK66" i="57"/>
  <c r="BJ138" i="57"/>
  <c r="BJ9" i="57"/>
  <c r="BF145" i="57"/>
  <c r="BF11" i="57"/>
  <c r="BJ41" i="57"/>
  <c r="AX14" i="58"/>
  <c r="BK115" i="59"/>
  <c r="L59" i="53"/>
  <c r="I62" i="53"/>
  <c r="R62" i="53"/>
  <c r="R33" i="53"/>
  <c r="O33" i="53"/>
  <c r="L33" i="53"/>
  <c r="I33" i="53"/>
  <c r="O39" i="53"/>
  <c r="R39" i="53"/>
  <c r="R36" i="53"/>
  <c r="O36" i="53"/>
  <c r="R65" i="53"/>
  <c r="L65" i="53"/>
  <c r="R114" i="53"/>
  <c r="O62" i="52"/>
  <c r="L10" i="53"/>
  <c r="R10" i="53"/>
  <c r="O10" i="53"/>
  <c r="R39" i="52"/>
  <c r="O39" i="52"/>
  <c r="O117" i="52"/>
  <c r="R117" i="52"/>
  <c r="O59" i="52"/>
  <c r="R114" i="52"/>
  <c r="O114" i="52"/>
  <c r="R111" i="52"/>
  <c r="O111" i="52"/>
  <c r="L111" i="52"/>
  <c r="R36" i="52"/>
  <c r="O36" i="52"/>
  <c r="L36" i="52"/>
  <c r="R33" i="52"/>
  <c r="O33" i="52"/>
  <c r="L33" i="52"/>
  <c r="AN15" i="55"/>
  <c r="AM15" i="55"/>
  <c r="AN8" i="55"/>
  <c r="AM8" i="55"/>
  <c r="BK12" i="55"/>
  <c r="AN7" i="59"/>
  <c r="AM7" i="59"/>
  <c r="AN9" i="59"/>
  <c r="AM9" i="59"/>
  <c r="AN11" i="59"/>
  <c r="AM11" i="59"/>
  <c r="AN13" i="59"/>
  <c r="AM13" i="59"/>
  <c r="AM8" i="52"/>
  <c r="AN8" i="52"/>
  <c r="BF14" i="55"/>
  <c r="AN9" i="57"/>
  <c r="AM11" i="57"/>
  <c r="AN11" i="57"/>
  <c r="AN15" i="57"/>
  <c r="AM15" i="57"/>
  <c r="AN15" i="59"/>
  <c r="AM15" i="59"/>
  <c r="AN12" i="52"/>
  <c r="AM12" i="52"/>
  <c r="AM14" i="52"/>
  <c r="AN14" i="52"/>
  <c r="AX36" i="59"/>
  <c r="AN37" i="58"/>
  <c r="AM37" i="58"/>
  <c r="AX39" i="57"/>
  <c r="AX34" i="55"/>
  <c r="AN67" i="59"/>
  <c r="AM67" i="59"/>
  <c r="AO67" i="59" s="1"/>
  <c r="AW59" i="58"/>
  <c r="AX67" i="57"/>
  <c r="AM89" i="58"/>
  <c r="AX89" i="55"/>
  <c r="AX92" i="55"/>
  <c r="AX118" i="59"/>
  <c r="AN139" i="52"/>
  <c r="AM139" i="52"/>
  <c r="AN145" i="52"/>
  <c r="AM145" i="52"/>
  <c r="AX145" i="59"/>
  <c r="AM141" i="58"/>
  <c r="AM61" i="52"/>
  <c r="AM41" i="57"/>
  <c r="AM116" i="57"/>
  <c r="AN35" i="59"/>
  <c r="AM35" i="59"/>
  <c r="AN37" i="55"/>
  <c r="AM37" i="55"/>
  <c r="AM65" i="58"/>
  <c r="AN67" i="55"/>
  <c r="AM67" i="55"/>
  <c r="AN85" i="59"/>
  <c r="AM85" i="59"/>
  <c r="AN88" i="59"/>
  <c r="AM88" i="59"/>
  <c r="AO88" i="59" s="1"/>
  <c r="AN91" i="59"/>
  <c r="AM91" i="59"/>
  <c r="AM117" i="58"/>
  <c r="AN142" i="53"/>
  <c r="AM142" i="53"/>
  <c r="AX145" i="53"/>
  <c r="AN139" i="59"/>
  <c r="AM139" i="59"/>
  <c r="AM12" i="55"/>
  <c r="AM87" i="55"/>
  <c r="AN33" i="58"/>
  <c r="AM33" i="58"/>
  <c r="AO33" i="58" s="1"/>
  <c r="AN38" i="57"/>
  <c r="AM38" i="57"/>
  <c r="AN60" i="59"/>
  <c r="AM60" i="59"/>
  <c r="AM89" i="57"/>
  <c r="AX86" i="55"/>
  <c r="AW86" i="55"/>
  <c r="AM111" i="58"/>
  <c r="AX116" i="55"/>
  <c r="AX142" i="52"/>
  <c r="AW139" i="53"/>
  <c r="AN138" i="58"/>
  <c r="AM138" i="58"/>
  <c r="AN41" i="52"/>
  <c r="AM41" i="52"/>
  <c r="AW35" i="59"/>
  <c r="AN38" i="59"/>
  <c r="AM38" i="59"/>
  <c r="AM36" i="58"/>
  <c r="AN40" i="58"/>
  <c r="AM40" i="58"/>
  <c r="AO40" i="58" s="1"/>
  <c r="AN64" i="52"/>
  <c r="AM64" i="52"/>
  <c r="AN63" i="59"/>
  <c r="AM63" i="59"/>
  <c r="AM61" i="58"/>
  <c r="AW91" i="59"/>
  <c r="AM88" i="58"/>
  <c r="AN117" i="59"/>
  <c r="AM117" i="59"/>
  <c r="AO117" i="59" s="1"/>
  <c r="AN119" i="58"/>
  <c r="AM119" i="58"/>
  <c r="AN119" i="57"/>
  <c r="AM119" i="57"/>
  <c r="AM140" i="57"/>
  <c r="AM9" i="52"/>
  <c r="AM67" i="52"/>
  <c r="AN119" i="52"/>
  <c r="AN34" i="55"/>
  <c r="AN34" i="59"/>
  <c r="AM34" i="59"/>
  <c r="AN41" i="59"/>
  <c r="AM41" i="59"/>
  <c r="AN66" i="59"/>
  <c r="AM66" i="59"/>
  <c r="AN93" i="53"/>
  <c r="AM93" i="53"/>
  <c r="AM85" i="58"/>
  <c r="AM91" i="58"/>
  <c r="AN114" i="59"/>
  <c r="AM114" i="59"/>
  <c r="AN118" i="55"/>
  <c r="AM118" i="55"/>
  <c r="AN141" i="53"/>
  <c r="AM141" i="53"/>
  <c r="AX142" i="53"/>
  <c r="AM143" i="58"/>
  <c r="AM35" i="55"/>
  <c r="AM93" i="55"/>
  <c r="AM139" i="57"/>
  <c r="AN9" i="58"/>
  <c r="AM9" i="58"/>
  <c r="AN11" i="58"/>
  <c r="AM11" i="58"/>
  <c r="AO11" i="58" s="1"/>
  <c r="AM13" i="58"/>
  <c r="AN15" i="58"/>
  <c r="AM15" i="58"/>
  <c r="AN37" i="57"/>
  <c r="AM37" i="57"/>
  <c r="AX37" i="55"/>
  <c r="AN59" i="59"/>
  <c r="AM59" i="59"/>
  <c r="AN64" i="58"/>
  <c r="AM64" i="58"/>
  <c r="AO64" i="58" s="1"/>
  <c r="AN90" i="55"/>
  <c r="AM90" i="55"/>
  <c r="AX117" i="59"/>
  <c r="AN116" i="58"/>
  <c r="AM116" i="58"/>
  <c r="AW116" i="57"/>
  <c r="AN141" i="59"/>
  <c r="AM141" i="59"/>
  <c r="AW143" i="57"/>
  <c r="AN143" i="57" s="1"/>
  <c r="AM38" i="52"/>
  <c r="AW34" i="59"/>
  <c r="AX41" i="59"/>
  <c r="AM39" i="58"/>
  <c r="AX41" i="57"/>
  <c r="AN67" i="58"/>
  <c r="AM67" i="58"/>
  <c r="AN87" i="59"/>
  <c r="AM87" i="59"/>
  <c r="AO87" i="59" s="1"/>
  <c r="AN90" i="59"/>
  <c r="AM90" i="59"/>
  <c r="AN111" i="59"/>
  <c r="AM111" i="59"/>
  <c r="AO111" i="59" s="1"/>
  <c r="AX114" i="59"/>
  <c r="AW114" i="59"/>
  <c r="AN119" i="59"/>
  <c r="AM119" i="59"/>
  <c r="AN112" i="55"/>
  <c r="AM112" i="55"/>
  <c r="AX141" i="52"/>
  <c r="AW141" i="53"/>
  <c r="AN142" i="57"/>
  <c r="AM142" i="57"/>
  <c r="AN145" i="57"/>
  <c r="AM145" i="57"/>
  <c r="AN40" i="55"/>
  <c r="AN115" i="55"/>
  <c r="AM12" i="57"/>
  <c r="AN8" i="59"/>
  <c r="AM8" i="59"/>
  <c r="AO8" i="59" s="1"/>
  <c r="AN33" i="59"/>
  <c r="AM33" i="59"/>
  <c r="AN37" i="59"/>
  <c r="AM37" i="59"/>
  <c r="AN35" i="58"/>
  <c r="AM35" i="58"/>
  <c r="AO35" i="58" s="1"/>
  <c r="AW37" i="57"/>
  <c r="AX59" i="59"/>
  <c r="AN62" i="59"/>
  <c r="AM62" i="59"/>
  <c r="AM60" i="58"/>
  <c r="AW93" i="53"/>
  <c r="AN87" i="58"/>
  <c r="AM87" i="58"/>
  <c r="AN93" i="58"/>
  <c r="AX93" i="55"/>
  <c r="AW119" i="59"/>
  <c r="AX115" i="55"/>
  <c r="AW115" i="55"/>
  <c r="AW141" i="59"/>
  <c r="AN143" i="59"/>
  <c r="AM143" i="59"/>
  <c r="AX140" i="58"/>
  <c r="AW140" i="58"/>
  <c r="AN145" i="58"/>
  <c r="AM145" i="58"/>
  <c r="AO145" i="58" s="1"/>
  <c r="AM141" i="55"/>
  <c r="AM41" i="55"/>
  <c r="AN14" i="57"/>
  <c r="AN10" i="59"/>
  <c r="AM10" i="59"/>
  <c r="AN12" i="59"/>
  <c r="AM12" i="59"/>
  <c r="AN40" i="59"/>
  <c r="AM40" i="59"/>
  <c r="AN65" i="59"/>
  <c r="AM65" i="59"/>
  <c r="AO65" i="59" s="1"/>
  <c r="AM63" i="58"/>
  <c r="AX87" i="59"/>
  <c r="AM90" i="58"/>
  <c r="AN119" i="53"/>
  <c r="AM119" i="53"/>
  <c r="AW112" i="55"/>
  <c r="AW138" i="59"/>
  <c r="AN140" i="59"/>
  <c r="AM140" i="59"/>
  <c r="AM137" i="58"/>
  <c r="AW139" i="55"/>
  <c r="AM90" i="52"/>
  <c r="AN14" i="59"/>
  <c r="AM14" i="59"/>
  <c r="AO14" i="59" s="1"/>
  <c r="AN38" i="58"/>
  <c r="AM38" i="58"/>
  <c r="AW40" i="57"/>
  <c r="AW35" i="55"/>
  <c r="AM66" i="58"/>
  <c r="AN89" i="59"/>
  <c r="AM89" i="59"/>
  <c r="AO89" i="59" s="1"/>
  <c r="AX93" i="59"/>
  <c r="AN90" i="57"/>
  <c r="AM90" i="57"/>
  <c r="AW93" i="55"/>
  <c r="AW111" i="59"/>
  <c r="AM112" i="58"/>
  <c r="AW113" i="58"/>
  <c r="AM140" i="53"/>
  <c r="AX141" i="55"/>
  <c r="AM93" i="57"/>
  <c r="AN36" i="59"/>
  <c r="AM36" i="59"/>
  <c r="AO36" i="59" s="1"/>
  <c r="AN38" i="55"/>
  <c r="AM38" i="55"/>
  <c r="AN59" i="58"/>
  <c r="AM59" i="58"/>
  <c r="AW61" i="57"/>
  <c r="AN67" i="57"/>
  <c r="AM67" i="57"/>
  <c r="AN86" i="59"/>
  <c r="AM86" i="59"/>
  <c r="AN92" i="59"/>
  <c r="AM92" i="59"/>
  <c r="AX116" i="59"/>
  <c r="AN118" i="59"/>
  <c r="AM118" i="59"/>
  <c r="AM115" i="58"/>
  <c r="AX118" i="58"/>
  <c r="AW118" i="58"/>
  <c r="AX115" i="57"/>
  <c r="AN139" i="58"/>
  <c r="AM139" i="58"/>
  <c r="AX139" i="57"/>
  <c r="AM15" i="52"/>
  <c r="AM145" i="53"/>
  <c r="AM64" i="55"/>
  <c r="AM139" i="55"/>
  <c r="AN9" i="55"/>
  <c r="AM9" i="55"/>
  <c r="AN8" i="58"/>
  <c r="AM8" i="58"/>
  <c r="AM10" i="58"/>
  <c r="AN14" i="58"/>
  <c r="AM14" i="58"/>
  <c r="AN39" i="59"/>
  <c r="AM39" i="59"/>
  <c r="AN41" i="58"/>
  <c r="AM41" i="58"/>
  <c r="AO41" i="58" s="1"/>
  <c r="AN61" i="59"/>
  <c r="AM61" i="59"/>
  <c r="AN64" i="59"/>
  <c r="AM64" i="59"/>
  <c r="AM62" i="58"/>
  <c r="AN86" i="58"/>
  <c r="AM86" i="58"/>
  <c r="AN92" i="58"/>
  <c r="AM92" i="58"/>
  <c r="AO92" i="58" s="1"/>
  <c r="AN89" i="55"/>
  <c r="AM89" i="55"/>
  <c r="AX113" i="59"/>
  <c r="AN119" i="55"/>
  <c r="AM119" i="55"/>
  <c r="AX137" i="53"/>
  <c r="AW143" i="53"/>
  <c r="AN145" i="59"/>
  <c r="AM145" i="59"/>
  <c r="AW139" i="58"/>
  <c r="AN144" i="58"/>
  <c r="AM144" i="58"/>
  <c r="AX142" i="57"/>
  <c r="AN40" i="57"/>
  <c r="AN115" i="57"/>
  <c r="AN140" i="58"/>
  <c r="AM112" i="59"/>
  <c r="AM113" i="58"/>
  <c r="AM113" i="59"/>
  <c r="AM142" i="59"/>
  <c r="AN113" i="58"/>
  <c r="AN142" i="58"/>
  <c r="AM114" i="58"/>
  <c r="AM137" i="59"/>
  <c r="AM118" i="57"/>
  <c r="AM115" i="59"/>
  <c r="AO115" i="59" s="1"/>
  <c r="AM138" i="59"/>
  <c r="AM144" i="59"/>
  <c r="AM87" i="52"/>
  <c r="AM113" i="55"/>
  <c r="AM142" i="55"/>
  <c r="AM93" i="59"/>
  <c r="AM116" i="59"/>
  <c r="R146" i="59"/>
  <c r="U15" i="59"/>
  <c r="U33" i="59"/>
  <c r="L42" i="59"/>
  <c r="R42" i="59"/>
  <c r="U40" i="59"/>
  <c r="F68" i="59"/>
  <c r="U90" i="59"/>
  <c r="U34" i="59"/>
  <c r="U145" i="59"/>
  <c r="U89" i="59"/>
  <c r="U41" i="59"/>
  <c r="R94" i="59"/>
  <c r="U10" i="59"/>
  <c r="U35" i="59"/>
  <c r="U14" i="59"/>
  <c r="O68" i="59"/>
  <c r="U13" i="59"/>
  <c r="U88" i="59"/>
  <c r="R120" i="59"/>
  <c r="U140" i="59"/>
  <c r="U7" i="59"/>
  <c r="F120" i="59"/>
  <c r="U112" i="59"/>
  <c r="N150" i="52"/>
  <c r="BC5" i="16"/>
  <c r="M4" i="55" s="1"/>
  <c r="BD5" i="16"/>
  <c r="AL15" i="52"/>
  <c r="AN15" i="52"/>
  <c r="B52" i="41"/>
  <c r="G69" i="41" s="1"/>
  <c r="G70" i="41" s="1"/>
  <c r="AN35" i="55"/>
  <c r="AX119" i="53"/>
  <c r="AW119" i="53"/>
  <c r="AW118" i="57"/>
  <c r="AX141" i="53"/>
  <c r="AN145" i="53"/>
  <c r="AW67" i="59"/>
  <c r="AM140" i="58"/>
  <c r="AX92" i="52"/>
  <c r="AW138" i="53"/>
  <c r="AM142" i="58"/>
  <c r="AO142" i="58" s="1"/>
  <c r="AN116" i="59"/>
  <c r="AX114" i="58"/>
  <c r="AM115" i="55"/>
  <c r="AW138" i="57"/>
  <c r="AX138" i="57"/>
  <c r="AN145" i="55"/>
  <c r="AM145" i="55"/>
  <c r="AW38" i="53"/>
  <c r="AX38" i="53"/>
  <c r="AX139" i="52"/>
  <c r="AX144" i="58"/>
  <c r="AW144" i="58"/>
  <c r="AW142" i="57"/>
  <c r="F146" i="59"/>
  <c r="AW39" i="58"/>
  <c r="AN39" i="58" s="1"/>
  <c r="AW37" i="55"/>
  <c r="AN64" i="55"/>
  <c r="AW87" i="57"/>
  <c r="AN116" i="57"/>
  <c r="AO116" i="57" s="1"/>
  <c r="AX138" i="53"/>
  <c r="AM138" i="52"/>
  <c r="U111" i="59"/>
  <c r="AX39" i="52"/>
  <c r="AX38" i="59"/>
  <c r="AW119" i="55"/>
  <c r="AN139" i="57"/>
  <c r="AW142" i="55"/>
  <c r="AN138" i="52"/>
  <c r="AX33" i="59"/>
  <c r="AX37" i="57"/>
  <c r="AX40" i="57"/>
  <c r="AX93" i="53"/>
  <c r="AX89" i="59"/>
  <c r="AX113" i="58"/>
  <c r="AX140" i="59"/>
  <c r="AW143" i="58"/>
  <c r="AN143" i="58" s="1"/>
  <c r="AX60" i="59"/>
  <c r="AX86" i="57"/>
  <c r="AW90" i="55"/>
  <c r="AW115" i="59"/>
  <c r="AW139" i="57"/>
  <c r="AX144" i="57"/>
  <c r="AN139" i="55"/>
  <c r="AN144" i="55"/>
  <c r="U11" i="59"/>
  <c r="AN38" i="52"/>
  <c r="AW34" i="58"/>
  <c r="AX62" i="53"/>
  <c r="AM92" i="55"/>
  <c r="AX115" i="59"/>
  <c r="AX145" i="52"/>
  <c r="AW140" i="59"/>
  <c r="AX144" i="55"/>
  <c r="AN86" i="55"/>
  <c r="AM144" i="57"/>
  <c r="AW41" i="53"/>
  <c r="AW89" i="59"/>
  <c r="AM34" i="57"/>
  <c r="AM40" i="55"/>
  <c r="AW64" i="59"/>
  <c r="AX66" i="58"/>
  <c r="AX66" i="57"/>
  <c r="AN87" i="52"/>
  <c r="AX90" i="55"/>
  <c r="AM141" i="52"/>
  <c r="AN118" i="58"/>
  <c r="AL85" i="52"/>
  <c r="AN64" i="53"/>
  <c r="AX119" i="55"/>
  <c r="AM144" i="52"/>
  <c r="AL144" i="52"/>
  <c r="AN116" i="55"/>
  <c r="E69" i="41"/>
  <c r="E70" i="41" s="1"/>
  <c r="AL34" i="52"/>
  <c r="AL59" i="52"/>
  <c r="AL88" i="52"/>
  <c r="AX91" i="52"/>
  <c r="G54" i="59"/>
  <c r="G2" i="59"/>
  <c r="H46" i="52"/>
  <c r="U9" i="59"/>
  <c r="T120" i="59"/>
  <c r="AR121" i="59" s="1"/>
  <c r="AW41" i="59"/>
  <c r="AW38" i="55"/>
  <c r="AX38" i="55"/>
  <c r="AN67" i="52"/>
  <c r="AN92" i="53"/>
  <c r="AX111" i="59"/>
  <c r="AM115" i="57"/>
  <c r="AW116" i="55"/>
  <c r="AN113" i="59"/>
  <c r="AM138" i="57"/>
  <c r="AM118" i="58"/>
  <c r="AN113" i="55"/>
  <c r="AX141" i="59"/>
  <c r="AM143" i="55"/>
  <c r="AX59" i="57"/>
  <c r="AX87" i="58"/>
  <c r="AX92" i="58"/>
  <c r="AN116" i="53"/>
  <c r="AN112" i="59"/>
  <c r="AX64" i="55"/>
  <c r="AL90" i="52"/>
  <c r="AX35" i="57"/>
  <c r="AX65" i="58"/>
  <c r="AN113" i="53"/>
  <c r="AN142" i="59"/>
  <c r="AO142" i="59" s="1"/>
  <c r="AX93" i="57"/>
  <c r="AM119" i="52"/>
  <c r="AX137" i="59"/>
  <c r="AX143" i="58"/>
  <c r="AW144" i="57"/>
  <c r="AX39" i="59"/>
  <c r="AW145" i="55"/>
  <c r="AX145" i="55"/>
  <c r="U63" i="59"/>
  <c r="AN61" i="53"/>
  <c r="AX86" i="58"/>
  <c r="AL116" i="52"/>
  <c r="AW33" i="59"/>
  <c r="AX66" i="59"/>
  <c r="AX92" i="59"/>
  <c r="AW118" i="59"/>
  <c r="AX142" i="59"/>
  <c r="AN138" i="59"/>
  <c r="AN144" i="59"/>
  <c r="AO144" i="59" s="1"/>
  <c r="O116" i="52"/>
  <c r="BJ8" i="53"/>
  <c r="AW8" i="53"/>
  <c r="AN8" i="53" s="1"/>
  <c r="AX8" i="53"/>
  <c r="T120" i="58"/>
  <c r="AR121" i="58" s="1"/>
  <c r="BF38" i="57"/>
  <c r="BK38" i="57"/>
  <c r="BJ38" i="57"/>
  <c r="BK41" i="55"/>
  <c r="AX41" i="55"/>
  <c r="BF41" i="55"/>
  <c r="E69" i="84"/>
  <c r="E70" i="84" s="1"/>
  <c r="AX38" i="57"/>
  <c r="AW144" i="59"/>
  <c r="AX144" i="59"/>
  <c r="K72" i="52"/>
  <c r="Q72" i="52"/>
  <c r="E124" i="52"/>
  <c r="AX37" i="53"/>
  <c r="AX85" i="59"/>
  <c r="AW85" i="59"/>
  <c r="AN12" i="55"/>
  <c r="AX63" i="59"/>
  <c r="AM66" i="52"/>
  <c r="AL11" i="52"/>
  <c r="AM11" i="52"/>
  <c r="AN12" i="57"/>
  <c r="AN93" i="57"/>
  <c r="AN87" i="55"/>
  <c r="AN41" i="57"/>
  <c r="L146" i="59"/>
  <c r="L16" i="59"/>
  <c r="U119" i="59"/>
  <c r="U113" i="59"/>
  <c r="U118" i="59"/>
  <c r="L120" i="59"/>
  <c r="U138" i="59"/>
  <c r="O146" i="59"/>
  <c r="O120" i="59"/>
  <c r="I120" i="59"/>
  <c r="U115" i="59"/>
  <c r="U144" i="58"/>
  <c r="O42" i="59"/>
  <c r="U37" i="59"/>
  <c r="U39" i="59"/>
  <c r="R68" i="59"/>
  <c r="L68" i="59"/>
  <c r="U62" i="59"/>
  <c r="I68" i="59"/>
  <c r="L94" i="59"/>
  <c r="F94" i="59"/>
  <c r="I94" i="59"/>
  <c r="U92" i="59"/>
  <c r="U143" i="59"/>
  <c r="O94" i="59"/>
  <c r="U94" i="59" s="1"/>
  <c r="AS95" i="59" s="1"/>
  <c r="U142" i="59"/>
  <c r="U60" i="59"/>
  <c r="U91" i="59"/>
  <c r="U141" i="59"/>
  <c r="BK111" i="53"/>
  <c r="AX111" i="53"/>
  <c r="BF111" i="53"/>
  <c r="T120" i="53"/>
  <c r="AR121" i="53" s="1"/>
  <c r="BF40" i="53"/>
  <c r="AM34" i="53"/>
  <c r="BK34" i="53"/>
  <c r="BF34" i="53"/>
  <c r="AX34" i="53"/>
  <c r="AM11" i="53"/>
  <c r="AV8" i="53"/>
  <c r="AM8" i="53"/>
  <c r="BF63" i="53"/>
  <c r="BK63" i="53"/>
  <c r="AW63" i="53"/>
  <c r="AN63" i="53" s="1"/>
  <c r="AX60" i="53"/>
  <c r="AW60" i="53"/>
  <c r="AN60" i="53" s="1"/>
  <c r="AV91" i="53"/>
  <c r="AM91" i="53" s="1"/>
  <c r="T94" i="53"/>
  <c r="AR95" i="53" s="1"/>
  <c r="BK85" i="53"/>
  <c r="BF85" i="53"/>
  <c r="AX85" i="53"/>
  <c r="AV62" i="53"/>
  <c r="BJ59" i="53"/>
  <c r="AX59" i="53"/>
  <c r="BF59" i="53"/>
  <c r="BF39" i="53"/>
  <c r="AW39" i="53"/>
  <c r="BJ39" i="53"/>
  <c r="AX36" i="53"/>
  <c r="AW34" i="53"/>
  <c r="BK11" i="53"/>
  <c r="M9" i="99"/>
  <c r="AV114" i="53"/>
  <c r="CO5" i="16"/>
  <c r="G4" i="58" s="1"/>
  <c r="CP6" i="16"/>
  <c r="J30" i="58" s="1"/>
  <c r="CP5" i="16"/>
  <c r="J4" i="58" s="1"/>
  <c r="CS6" i="16"/>
  <c r="S30" i="58" s="1"/>
  <c r="CR5" i="16"/>
  <c r="P4" i="58" s="1"/>
  <c r="BW6" i="16"/>
  <c r="AX144" i="52"/>
  <c r="AM66" i="53"/>
  <c r="BK88" i="58"/>
  <c r="U117" i="59"/>
  <c r="BJ62" i="55"/>
  <c r="AV62" i="59"/>
  <c r="AN93" i="59"/>
  <c r="AO93" i="59"/>
  <c r="B11" i="52"/>
  <c r="AW61" i="55"/>
  <c r="AX61" i="55"/>
  <c r="AX38" i="52"/>
  <c r="AN9" i="53"/>
  <c r="AX145" i="58"/>
  <c r="AL9" i="52"/>
  <c r="AN9" i="52"/>
  <c r="AX93" i="58"/>
  <c r="AX119" i="52"/>
  <c r="AW85" i="53"/>
  <c r="AN85" i="53" s="1"/>
  <c r="BJ85" i="53"/>
  <c r="AN118" i="57"/>
  <c r="AX40" i="53"/>
  <c r="AN141" i="52"/>
  <c r="AV36" i="53"/>
  <c r="U41" i="58"/>
  <c r="U142" i="58"/>
  <c r="U9" i="58"/>
  <c r="U116" i="58"/>
  <c r="AN35" i="53"/>
  <c r="B52" i="85"/>
  <c r="B77" i="85" s="1"/>
  <c r="B28" i="85"/>
  <c r="I44" i="85"/>
  <c r="I45" i="85" s="1"/>
  <c r="E44" i="85"/>
  <c r="E45" i="85" s="1"/>
  <c r="AO86" i="59"/>
  <c r="AO38" i="59"/>
  <c r="CQ5" i="16"/>
  <c r="M4" i="58" s="1"/>
  <c r="CO6" i="16"/>
  <c r="G30" i="58" s="1"/>
  <c r="CS5" i="16"/>
  <c r="S4" i="58" s="1"/>
  <c r="CR6" i="16"/>
  <c r="P30" i="58" s="1"/>
  <c r="AO140" i="59"/>
  <c r="AR43" i="59"/>
  <c r="AV63" i="57"/>
  <c r="AV85" i="59"/>
  <c r="K98" i="52"/>
  <c r="T94" i="58"/>
  <c r="AR95" i="58" s="1"/>
  <c r="AN90" i="53"/>
  <c r="AL90" i="53"/>
  <c r="AL40" i="57"/>
  <c r="AM40" i="57"/>
  <c r="AW36" i="58"/>
  <c r="AN36" i="58" s="1"/>
  <c r="AW93" i="59"/>
  <c r="AL7" i="58"/>
  <c r="U66" i="59"/>
  <c r="AW86" i="59"/>
  <c r="AX34" i="59"/>
  <c r="AW36" i="59"/>
  <c r="AW41" i="57"/>
  <c r="AW59" i="59"/>
  <c r="AW66" i="57"/>
  <c r="AN137" i="59"/>
  <c r="AL88" i="53"/>
  <c r="AL89" i="53"/>
  <c r="AM116" i="55"/>
  <c r="AL142" i="55"/>
  <c r="AL86" i="55"/>
  <c r="AL63" i="57"/>
  <c r="AN93" i="55"/>
  <c r="AM34" i="55"/>
  <c r="AL112" i="57"/>
  <c r="AL137" i="55"/>
  <c r="AN92" i="55"/>
  <c r="BJ13" i="55"/>
  <c r="BK66" i="55"/>
  <c r="AX66" i="55"/>
  <c r="BF66" i="55"/>
  <c r="BK62" i="55"/>
  <c r="BF62" i="55"/>
  <c r="AM39" i="55"/>
  <c r="BJ111" i="55"/>
  <c r="BF114" i="55"/>
  <c r="BK114" i="55"/>
  <c r="BJ114" i="55"/>
  <c r="AX114" i="55"/>
  <c r="AX117" i="55"/>
  <c r="AW117" i="55"/>
  <c r="AN117" i="55" s="1"/>
  <c r="AM117" i="55"/>
  <c r="AM111" i="55"/>
  <c r="T94" i="55"/>
  <c r="BJ63" i="55"/>
  <c r="AX59" i="55"/>
  <c r="BK59" i="55"/>
  <c r="AM59" i="55"/>
  <c r="BJ36" i="55"/>
  <c r="BF33" i="55"/>
  <c r="BJ33" i="55"/>
  <c r="AW33" i="55"/>
  <c r="AN33" i="55" s="1"/>
  <c r="T42" i="55"/>
  <c r="AR43" i="55" s="1"/>
  <c r="BF13" i="55"/>
  <c r="AX13" i="55"/>
  <c r="AW13" i="55"/>
  <c r="BF11" i="55"/>
  <c r="AV11" i="55"/>
  <c r="AM11" i="55" s="1"/>
  <c r="AW11" i="55"/>
  <c r="AN11" i="55" s="1"/>
  <c r="AN14" i="55"/>
  <c r="BJ11" i="55"/>
  <c r="BK11" i="55"/>
  <c r="BF10" i="55"/>
  <c r="AM14" i="55"/>
  <c r="BK33" i="57"/>
  <c r="BJ33" i="57"/>
  <c r="AW33" i="57"/>
  <c r="AN33" i="57" s="1"/>
  <c r="BF33" i="57"/>
  <c r="BF63" i="57"/>
  <c r="AW63" i="57"/>
  <c r="AN63" i="57" s="1"/>
  <c r="BJ63" i="57"/>
  <c r="BK63" i="57"/>
  <c r="AN66" i="57"/>
  <c r="AM63" i="57"/>
  <c r="AW39" i="57"/>
  <c r="AN39" i="57" s="1"/>
  <c r="BF65" i="57"/>
  <c r="BK62" i="57"/>
  <c r="O193" i="58" l="1"/>
  <c r="R193" i="58"/>
  <c r="R198" i="58"/>
  <c r="U196" i="58"/>
  <c r="L169" i="58"/>
  <c r="O169" i="58"/>
  <c r="F190" i="58"/>
  <c r="O190" i="58"/>
  <c r="O198" i="58" s="1"/>
  <c r="L166" i="58"/>
  <c r="O166" i="58"/>
  <c r="L163" i="58"/>
  <c r="L172" i="58" s="1"/>
  <c r="O163" i="58"/>
  <c r="O172" i="58" s="1"/>
  <c r="I193" i="58"/>
  <c r="L193" i="58"/>
  <c r="L198" i="58"/>
  <c r="U195" i="58"/>
  <c r="F189" i="58"/>
  <c r="I189" i="58"/>
  <c r="I198" i="58" s="1"/>
  <c r="F169" i="58"/>
  <c r="I169" i="58"/>
  <c r="F166" i="58"/>
  <c r="I166" i="58"/>
  <c r="F163" i="58"/>
  <c r="I163" i="58"/>
  <c r="I172" i="58" s="1"/>
  <c r="F172" i="58"/>
  <c r="U172" i="58" s="1"/>
  <c r="AS173" i="58" s="1"/>
  <c r="U163" i="58"/>
  <c r="BG88" i="59"/>
  <c r="U14" i="58"/>
  <c r="U38" i="58"/>
  <c r="U40" i="58"/>
  <c r="R16" i="59"/>
  <c r="U16" i="59" s="1"/>
  <c r="AS17" i="59" s="1"/>
  <c r="BK85" i="52"/>
  <c r="BF89" i="57"/>
  <c r="BF114" i="57"/>
  <c r="BJ137" i="57"/>
  <c r="BF141" i="57"/>
  <c r="BK143" i="57"/>
  <c r="AN195" i="52"/>
  <c r="U190" i="58"/>
  <c r="F198" i="58"/>
  <c r="U198" i="58" s="1"/>
  <c r="AS199" i="58" s="1"/>
  <c r="U34" i="58"/>
  <c r="BJ59" i="57"/>
  <c r="M30" i="99"/>
  <c r="S105" i="59"/>
  <c r="BG87" i="59"/>
  <c r="AM33" i="55"/>
  <c r="E44" i="87"/>
  <c r="E45" i="87" s="1"/>
  <c r="AO14" i="58"/>
  <c r="AO37" i="59"/>
  <c r="U42" i="59"/>
  <c r="AS43" i="59" s="1"/>
  <c r="AN41" i="53"/>
  <c r="BG12" i="59"/>
  <c r="BG11" i="59"/>
  <c r="AM66" i="55"/>
  <c r="AM36" i="57"/>
  <c r="T146" i="57"/>
  <c r="AR147" i="57" s="1"/>
  <c r="BJ65" i="52"/>
  <c r="AX91" i="57"/>
  <c r="BG138" i="59"/>
  <c r="I44" i="87"/>
  <c r="I45" i="87" s="1"/>
  <c r="BG141" i="59"/>
  <c r="AG5" i="16"/>
  <c r="G4" i="53" s="1"/>
  <c r="BG90" i="59"/>
  <c r="M44" i="87"/>
  <c r="M45" i="87" s="1"/>
  <c r="BK91" i="55"/>
  <c r="BJ59" i="55"/>
  <c r="BF61" i="55"/>
  <c r="AX88" i="52"/>
  <c r="M104" i="99"/>
  <c r="AN67" i="53"/>
  <c r="AO63" i="59"/>
  <c r="AN115" i="53"/>
  <c r="G44" i="87"/>
  <c r="G45" i="87" s="1"/>
  <c r="BJ34" i="57"/>
  <c r="AL41" i="55"/>
  <c r="BJ114" i="53"/>
  <c r="BF111" i="55"/>
  <c r="BK117" i="55"/>
  <c r="AN197" i="52"/>
  <c r="BG118" i="59"/>
  <c r="BK91" i="53"/>
  <c r="AO113" i="58"/>
  <c r="AW9" i="52"/>
  <c r="BJ13" i="52"/>
  <c r="N29" i="87"/>
  <c r="AO137" i="59"/>
  <c r="AH5" i="16"/>
  <c r="J4" i="53" s="1"/>
  <c r="S27" i="58"/>
  <c r="AO118" i="58"/>
  <c r="AO119" i="55"/>
  <c r="AO143" i="59"/>
  <c r="BJ13" i="57"/>
  <c r="AW33" i="52"/>
  <c r="BJ40" i="53"/>
  <c r="AN88" i="57"/>
  <c r="M61" i="99"/>
  <c r="AO92" i="55"/>
  <c r="AP92" i="55" s="1"/>
  <c r="S1" i="58"/>
  <c r="AO140" i="58"/>
  <c r="AO59" i="58"/>
  <c r="AO39" i="58"/>
  <c r="AN139" i="53"/>
  <c r="AO35" i="59"/>
  <c r="BG41" i="59"/>
  <c r="R172" i="57"/>
  <c r="T120" i="57"/>
  <c r="AR121" i="57" s="1"/>
  <c r="BK65" i="57"/>
  <c r="AM92" i="57"/>
  <c r="BK92" i="57"/>
  <c r="BJ89" i="57"/>
  <c r="T94" i="57"/>
  <c r="AR95" i="57" s="1"/>
  <c r="AM35" i="57"/>
  <c r="BK39" i="57"/>
  <c r="BK36" i="57"/>
  <c r="AX7" i="57"/>
  <c r="T42" i="57"/>
  <c r="AR43" i="57" s="1"/>
  <c r="BF143" i="57"/>
  <c r="BJ143" i="57"/>
  <c r="BK141" i="57"/>
  <c r="AX141" i="57"/>
  <c r="BK137" i="57"/>
  <c r="AX137" i="57"/>
  <c r="AW114" i="57"/>
  <c r="AN114" i="57" s="1"/>
  <c r="AO114" i="57" s="1"/>
  <c r="AP114" i="57" s="1"/>
  <c r="D114" i="57" s="1"/>
  <c r="AM62" i="57"/>
  <c r="BF59" i="57"/>
  <c r="AW59" i="57"/>
  <c r="AN64" i="57" s="1"/>
  <c r="AO64" i="57" s="1"/>
  <c r="AP64" i="57" s="1"/>
  <c r="D64" i="57" s="1"/>
  <c r="O64" i="57" s="1"/>
  <c r="L192" i="57"/>
  <c r="O192" i="57"/>
  <c r="L189" i="57"/>
  <c r="O189" i="57"/>
  <c r="AW92" i="57"/>
  <c r="AN85" i="57" s="1"/>
  <c r="AX92" i="57"/>
  <c r="L169" i="57"/>
  <c r="O169" i="57"/>
  <c r="L166" i="57"/>
  <c r="O166" i="57"/>
  <c r="L163" i="57"/>
  <c r="O163" i="57"/>
  <c r="AM10" i="57"/>
  <c r="AX117" i="57"/>
  <c r="AW65" i="57"/>
  <c r="AN65" i="57" s="1"/>
  <c r="BJ65" i="57"/>
  <c r="AX65" i="57"/>
  <c r="T68" i="57"/>
  <c r="AR69" i="57" s="1"/>
  <c r="AL92" i="57"/>
  <c r="AW13" i="57"/>
  <c r="AN13" i="57" s="1"/>
  <c r="F192" i="57"/>
  <c r="I192" i="57"/>
  <c r="F189" i="57"/>
  <c r="I189" i="57"/>
  <c r="F169" i="57"/>
  <c r="I169" i="57"/>
  <c r="F166" i="57"/>
  <c r="I166" i="57"/>
  <c r="F163" i="57"/>
  <c r="I163" i="57"/>
  <c r="BK13" i="57"/>
  <c r="AX13" i="57"/>
  <c r="BF13" i="57"/>
  <c r="BF10" i="57"/>
  <c r="BJ91" i="57"/>
  <c r="BF91" i="57"/>
  <c r="AW91" i="57"/>
  <c r="AN89" i="57" s="1"/>
  <c r="AO89" i="57" s="1"/>
  <c r="AP89" i="57" s="1"/>
  <c r="D89" i="57" s="1"/>
  <c r="BF140" i="57"/>
  <c r="AW140" i="57"/>
  <c r="BK140" i="57"/>
  <c r="AO142" i="57"/>
  <c r="AP142" i="57" s="1"/>
  <c r="D142" i="57" s="1"/>
  <c r="BF117" i="57"/>
  <c r="BJ117" i="57"/>
  <c r="BK117" i="57"/>
  <c r="AW117" i="57"/>
  <c r="AN117" i="57" s="1"/>
  <c r="AM112" i="57"/>
  <c r="AM113" i="57"/>
  <c r="AM87" i="57"/>
  <c r="AN87" i="57"/>
  <c r="AM88" i="57"/>
  <c r="AO88" i="57" s="1"/>
  <c r="AP88" i="57" s="1"/>
  <c r="D88" i="57" s="1"/>
  <c r="AX60" i="57"/>
  <c r="BF60" i="57"/>
  <c r="AW62" i="57"/>
  <c r="BF62" i="57"/>
  <c r="AW36" i="57"/>
  <c r="AN36" i="57" s="1"/>
  <c r="AO36" i="57" s="1"/>
  <c r="AP36" i="57" s="1"/>
  <c r="D36" i="57" s="1"/>
  <c r="BF36" i="57"/>
  <c r="AM33" i="57"/>
  <c r="AO33" i="57" s="1"/>
  <c r="AP33" i="57" s="1"/>
  <c r="D33" i="57" s="1"/>
  <c r="AN35" i="57"/>
  <c r="AM39" i="57"/>
  <c r="AO39" i="57" s="1"/>
  <c r="AP39" i="57" s="1"/>
  <c r="D39" i="57" s="1"/>
  <c r="BF8" i="57"/>
  <c r="AX10" i="57"/>
  <c r="BK10" i="57"/>
  <c r="AW10" i="57"/>
  <c r="AN10" i="57" s="1"/>
  <c r="AO10" i="57" s="1"/>
  <c r="AP10" i="57" s="1"/>
  <c r="D10" i="57" s="1"/>
  <c r="F10" i="57" s="1"/>
  <c r="BJ10" i="57"/>
  <c r="U90" i="57"/>
  <c r="BK113" i="57"/>
  <c r="AW113" i="57"/>
  <c r="AN113" i="57" s="1"/>
  <c r="AN112" i="57"/>
  <c r="AX111" i="57"/>
  <c r="BK34" i="57"/>
  <c r="BF34" i="57"/>
  <c r="AW34" i="57"/>
  <c r="AN34" i="57" s="1"/>
  <c r="AO34" i="57" s="1"/>
  <c r="AP34" i="57" s="1"/>
  <c r="D34" i="57" s="1"/>
  <c r="F34" i="57" s="1"/>
  <c r="U34" i="57" s="1"/>
  <c r="BJ60" i="57"/>
  <c r="AW60" i="57"/>
  <c r="AX8" i="57"/>
  <c r="AW8" i="57"/>
  <c r="AM8" i="57"/>
  <c r="AN8" i="57"/>
  <c r="AN138" i="57"/>
  <c r="AO138" i="57" s="1"/>
  <c r="AP138" i="57" s="1"/>
  <c r="AN137" i="57"/>
  <c r="AO137" i="57" s="1"/>
  <c r="AP137" i="57" s="1"/>
  <c r="U139" i="57"/>
  <c r="U145" i="57"/>
  <c r="AO145" i="57"/>
  <c r="AP145" i="57" s="1"/>
  <c r="D145" i="57" s="1"/>
  <c r="AM60" i="57"/>
  <c r="AN59" i="57"/>
  <c r="AN60" i="57"/>
  <c r="AM59" i="57"/>
  <c r="AO67" i="57"/>
  <c r="AP67" i="57" s="1"/>
  <c r="D67" i="57" s="1"/>
  <c r="AO66" i="57"/>
  <c r="AP66" i="57" s="1"/>
  <c r="D66" i="57" s="1"/>
  <c r="R66" i="57" s="1"/>
  <c r="AO41" i="57"/>
  <c r="AP41" i="57" s="1"/>
  <c r="D41" i="57" s="1"/>
  <c r="AM86" i="57"/>
  <c r="AO90" i="57"/>
  <c r="AP90" i="57" s="1"/>
  <c r="D90" i="57" s="1"/>
  <c r="AM85" i="57"/>
  <c r="U116" i="57"/>
  <c r="U119" i="57"/>
  <c r="AO40" i="57"/>
  <c r="AP40" i="57" s="1"/>
  <c r="D40" i="57" s="1"/>
  <c r="BJ7" i="57"/>
  <c r="U41" i="57"/>
  <c r="AO38" i="57"/>
  <c r="AP38" i="57" s="1"/>
  <c r="D38" i="57" s="1"/>
  <c r="T16" i="57"/>
  <c r="AR17" i="57" s="1"/>
  <c r="AO12" i="57"/>
  <c r="AP12" i="57" s="1"/>
  <c r="D12" i="57" s="1"/>
  <c r="BK7" i="57"/>
  <c r="AW7" i="57"/>
  <c r="BF7" i="57"/>
  <c r="U38" i="57"/>
  <c r="AO15" i="57"/>
  <c r="AP15" i="57" s="1"/>
  <c r="D15" i="57" s="1"/>
  <c r="U12" i="57"/>
  <c r="U15" i="57"/>
  <c r="U11" i="57"/>
  <c r="U93" i="57"/>
  <c r="U37" i="57"/>
  <c r="U40" i="57"/>
  <c r="U67" i="57"/>
  <c r="U115" i="57"/>
  <c r="U118" i="57"/>
  <c r="U138" i="57"/>
  <c r="U142" i="57"/>
  <c r="M26" i="85"/>
  <c r="S131" i="57"/>
  <c r="S105" i="58"/>
  <c r="E27" i="86"/>
  <c r="G80" i="58"/>
  <c r="G2" i="58"/>
  <c r="M101" i="85"/>
  <c r="S53" i="57"/>
  <c r="M54" i="99"/>
  <c r="M102" i="99"/>
  <c r="AM15" i="53"/>
  <c r="BK63" i="55"/>
  <c r="AW88" i="55"/>
  <c r="AN88" i="55" s="1"/>
  <c r="BJ111" i="52"/>
  <c r="BJ140" i="53"/>
  <c r="AM114" i="55"/>
  <c r="BK35" i="52"/>
  <c r="AX88" i="59"/>
  <c r="AX90" i="59"/>
  <c r="AX143" i="57"/>
  <c r="AM63" i="53"/>
  <c r="T68" i="55"/>
  <c r="AR69" i="55" s="1"/>
  <c r="AM138" i="55"/>
  <c r="K204" i="59"/>
  <c r="M189" i="59" s="1"/>
  <c r="BF66" i="52"/>
  <c r="AX142" i="58"/>
  <c r="AN191" i="52"/>
  <c r="AO191" i="52" s="1"/>
  <c r="AP191" i="52" s="1"/>
  <c r="D191" i="52" s="1"/>
  <c r="O191" i="52" s="1"/>
  <c r="BJ64" i="52"/>
  <c r="AX66" i="52"/>
  <c r="AX61" i="53"/>
  <c r="AW115" i="52"/>
  <c r="AO138" i="59"/>
  <c r="M44" i="41"/>
  <c r="M45" i="41" s="1"/>
  <c r="AO119" i="58"/>
  <c r="BG62" i="59"/>
  <c r="AO11" i="57"/>
  <c r="AP11" i="57" s="1"/>
  <c r="D11" i="57" s="1"/>
  <c r="M69" i="85"/>
  <c r="M70" i="85" s="1"/>
  <c r="J29" i="86"/>
  <c r="AO37" i="58"/>
  <c r="AP37" i="58" s="1"/>
  <c r="D37" i="58" s="1"/>
  <c r="AW17" i="59"/>
  <c r="BG85" i="59"/>
  <c r="K44" i="45"/>
  <c r="K45" i="45" s="1"/>
  <c r="B52" i="45"/>
  <c r="I44" i="45"/>
  <c r="I45" i="45" s="1"/>
  <c r="AO116" i="55"/>
  <c r="M101" i="87"/>
  <c r="I69" i="84"/>
  <c r="I70" i="84" s="1"/>
  <c r="AO115" i="57"/>
  <c r="AP115" i="57" s="1"/>
  <c r="D115" i="57" s="1"/>
  <c r="I69" i="41"/>
  <c r="I70" i="41" s="1"/>
  <c r="U146" i="59"/>
  <c r="AS147" i="59" s="1"/>
  <c r="BB6" i="16"/>
  <c r="AO62" i="59"/>
  <c r="AO37" i="57"/>
  <c r="AP37" i="57" s="1"/>
  <c r="D37" i="57" s="1"/>
  <c r="AO143" i="58"/>
  <c r="AP143" i="58" s="1"/>
  <c r="D143" i="58" s="1"/>
  <c r="R143" i="58" s="1"/>
  <c r="DL6" i="16"/>
  <c r="P30" i="59" s="1"/>
  <c r="I44" i="86"/>
  <c r="I45" i="86" s="1"/>
  <c r="I44" i="41"/>
  <c r="I45" i="41" s="1"/>
  <c r="B193" i="55"/>
  <c r="B195" i="55"/>
  <c r="B193" i="53"/>
  <c r="B197" i="52"/>
  <c r="B192" i="52"/>
  <c r="K44" i="87"/>
  <c r="K45" i="87" s="1"/>
  <c r="AW11" i="53"/>
  <c r="AN11" i="53" s="1"/>
  <c r="AO11" i="53" s="1"/>
  <c r="AP11" i="53" s="1"/>
  <c r="D11" i="53" s="1"/>
  <c r="BF13" i="53"/>
  <c r="AM67" i="53"/>
  <c r="AM62" i="55"/>
  <c r="BK112" i="53"/>
  <c r="BK138" i="55"/>
  <c r="BG140" i="59"/>
  <c r="G69" i="85"/>
  <c r="G70" i="85" s="1"/>
  <c r="AO7" i="59"/>
  <c r="DK6" i="16"/>
  <c r="M30" i="59" s="1"/>
  <c r="M26" i="87"/>
  <c r="AO91" i="59"/>
  <c r="N4" i="87"/>
  <c r="AO10" i="59"/>
  <c r="DI6" i="16"/>
  <c r="G44" i="45"/>
  <c r="G45" i="45" s="1"/>
  <c r="M51" i="87"/>
  <c r="M69" i="84"/>
  <c r="M70" i="84" s="1"/>
  <c r="DJ5" i="16"/>
  <c r="J4" i="59" s="1"/>
  <c r="B28" i="41"/>
  <c r="M85" i="99"/>
  <c r="AX10" i="55"/>
  <c r="BK140" i="52"/>
  <c r="BJ138" i="55"/>
  <c r="BK142" i="55"/>
  <c r="AO119" i="57"/>
  <c r="AP119" i="57" s="1"/>
  <c r="D119" i="57" s="1"/>
  <c r="M1" i="87"/>
  <c r="Q6" i="94" s="1"/>
  <c r="S131" i="59"/>
  <c r="M76" i="87"/>
  <c r="AO92" i="59"/>
  <c r="B77" i="84"/>
  <c r="E127" i="85"/>
  <c r="BE5" i="16"/>
  <c r="S4" i="55" s="1"/>
  <c r="AO118" i="57"/>
  <c r="AP118" i="57" s="1"/>
  <c r="D118" i="57" s="1"/>
  <c r="U68" i="59"/>
  <c r="AS69" i="59" s="1"/>
  <c r="U120" i="59"/>
  <c r="AS121" i="59" s="1"/>
  <c r="BD6" i="16"/>
  <c r="P30" i="55" s="1"/>
  <c r="AO85" i="59"/>
  <c r="AO13" i="59"/>
  <c r="B52" i="87"/>
  <c r="K44" i="41"/>
  <c r="K45" i="41" s="1"/>
  <c r="M86" i="99"/>
  <c r="AM143" i="52"/>
  <c r="BJ40" i="52"/>
  <c r="AX33" i="58"/>
  <c r="AX86" i="53"/>
  <c r="BF114" i="52"/>
  <c r="R172" i="53"/>
  <c r="M3" i="99"/>
  <c r="BJ14" i="53"/>
  <c r="AW40" i="52"/>
  <c r="AX39" i="58"/>
  <c r="AX61" i="59"/>
  <c r="BJ139" i="55"/>
  <c r="AN196" i="52"/>
  <c r="AO196" i="52" s="1"/>
  <c r="M28" i="99"/>
  <c r="AX12" i="53"/>
  <c r="AM41" i="53"/>
  <c r="AO41" i="53" s="1"/>
  <c r="AP41" i="53" s="1"/>
  <c r="D41" i="53" s="1"/>
  <c r="R41" i="53" s="1"/>
  <c r="U41" i="53" s="1"/>
  <c r="BK13" i="55"/>
  <c r="AX36" i="57"/>
  <c r="AW85" i="55"/>
  <c r="AN85" i="55" s="1"/>
  <c r="AX139" i="58"/>
  <c r="AX143" i="55"/>
  <c r="BK33" i="52"/>
  <c r="AW39" i="52"/>
  <c r="BJ61" i="52"/>
  <c r="AX88" i="53"/>
  <c r="AX144" i="53"/>
  <c r="AW137" i="59"/>
  <c r="AX143" i="59"/>
  <c r="AO169" i="52"/>
  <c r="BF36" i="55"/>
  <c r="AO40" i="55"/>
  <c r="BK33" i="55"/>
  <c r="BF60" i="55"/>
  <c r="O190" i="55"/>
  <c r="R190" i="55"/>
  <c r="R198" i="55" s="1"/>
  <c r="BJ140" i="55"/>
  <c r="AX138" i="55"/>
  <c r="BF138" i="55"/>
  <c r="AX85" i="55"/>
  <c r="BJ85" i="55"/>
  <c r="BF85" i="55"/>
  <c r="BK10" i="55"/>
  <c r="AW10" i="55"/>
  <c r="AN10" i="55" s="1"/>
  <c r="BF7" i="55"/>
  <c r="L193" i="55"/>
  <c r="L198" i="55" s="1"/>
  <c r="O193" i="55"/>
  <c r="O198" i="55" s="1"/>
  <c r="U190" i="55"/>
  <c r="L169" i="55"/>
  <c r="K102" i="55" s="1"/>
  <c r="O169" i="55"/>
  <c r="L166" i="55"/>
  <c r="O166" i="55"/>
  <c r="N205" i="55" s="1"/>
  <c r="AW63" i="55"/>
  <c r="AN63" i="55" s="1"/>
  <c r="AM60" i="55"/>
  <c r="BJ39" i="55"/>
  <c r="AO37" i="55"/>
  <c r="AP37" i="55" s="1"/>
  <c r="D37" i="55" s="1"/>
  <c r="BF91" i="55"/>
  <c r="BJ60" i="55"/>
  <c r="AW60" i="55"/>
  <c r="BK60" i="55"/>
  <c r="AX88" i="55"/>
  <c r="BJ88" i="55"/>
  <c r="BK88" i="55"/>
  <c r="BF88" i="55"/>
  <c r="T16" i="55"/>
  <c r="AR17" i="55" s="1"/>
  <c r="BK7" i="55"/>
  <c r="T146" i="55"/>
  <c r="U196" i="55"/>
  <c r="AO34" i="55"/>
  <c r="AP34" i="55" s="1"/>
  <c r="D34" i="55" s="1"/>
  <c r="AO35" i="55"/>
  <c r="AP35" i="55" s="1"/>
  <c r="D35" i="55" s="1"/>
  <c r="F169" i="55"/>
  <c r="I169" i="55"/>
  <c r="F166" i="55"/>
  <c r="I166" i="55"/>
  <c r="H153" i="55" s="1"/>
  <c r="BJ143" i="55"/>
  <c r="BK143" i="55"/>
  <c r="AW143" i="55"/>
  <c r="AN143" i="55" s="1"/>
  <c r="AO143" i="55" s="1"/>
  <c r="BF143" i="55"/>
  <c r="AO139" i="55"/>
  <c r="AP139" i="55" s="1"/>
  <c r="D139" i="55" s="1"/>
  <c r="AO142" i="55"/>
  <c r="AP142" i="55" s="1"/>
  <c r="D142" i="55" s="1"/>
  <c r="AX7" i="55"/>
  <c r="AW65" i="55"/>
  <c r="AN61" i="55" s="1"/>
  <c r="AO41" i="55"/>
  <c r="AW36" i="55"/>
  <c r="AN36" i="55" s="1"/>
  <c r="F192" i="55"/>
  <c r="I192" i="55"/>
  <c r="F189" i="55"/>
  <c r="I189" i="55"/>
  <c r="BJ117" i="55"/>
  <c r="BK111" i="55"/>
  <c r="AW111" i="55"/>
  <c r="AN111" i="55" s="1"/>
  <c r="AW91" i="55"/>
  <c r="AN91" i="55" s="1"/>
  <c r="AM91" i="55"/>
  <c r="BJ91" i="55"/>
  <c r="U113" i="55"/>
  <c r="BK140" i="55"/>
  <c r="BJ65" i="55"/>
  <c r="BK65" i="55"/>
  <c r="AW39" i="55"/>
  <c r="AN39" i="55" s="1"/>
  <c r="AO39" i="55" s="1"/>
  <c r="AP39" i="55" s="1"/>
  <c r="D39" i="55" s="1"/>
  <c r="F39" i="55" s="1"/>
  <c r="E128" i="55" s="1"/>
  <c r="BK39" i="55"/>
  <c r="AX39" i="55"/>
  <c r="BF39" i="55"/>
  <c r="U35" i="55"/>
  <c r="AO89" i="55"/>
  <c r="AP89" i="55" s="1"/>
  <c r="D89" i="55" s="1"/>
  <c r="AO90" i="55"/>
  <c r="AP90" i="55" s="1"/>
  <c r="D90" i="55" s="1"/>
  <c r="U86" i="55"/>
  <c r="AM88" i="55"/>
  <c r="U40" i="55"/>
  <c r="AO64" i="55"/>
  <c r="AP64" i="55" s="1"/>
  <c r="D64" i="55" s="1"/>
  <c r="U67" i="55"/>
  <c r="AO67" i="55"/>
  <c r="AP67" i="55" s="1"/>
  <c r="D67" i="55" s="1"/>
  <c r="U64" i="55"/>
  <c r="AM10" i="55"/>
  <c r="AN13" i="55"/>
  <c r="AO9" i="55"/>
  <c r="AP9" i="55" s="1"/>
  <c r="D9" i="55" s="1"/>
  <c r="AO112" i="55"/>
  <c r="AP112" i="55" s="1"/>
  <c r="D112" i="55" s="1"/>
  <c r="AN140" i="55"/>
  <c r="AO140" i="55" s="1"/>
  <c r="AM137" i="55"/>
  <c r="AO8" i="55"/>
  <c r="U8" i="55"/>
  <c r="U118" i="55"/>
  <c r="U41" i="55"/>
  <c r="U14" i="55"/>
  <c r="U92" i="55"/>
  <c r="U38" i="55"/>
  <c r="U87" i="55"/>
  <c r="U116" i="55"/>
  <c r="U90" i="55"/>
  <c r="U119" i="55"/>
  <c r="U93" i="55"/>
  <c r="U112" i="55"/>
  <c r="U34" i="55"/>
  <c r="U37" i="55"/>
  <c r="U115" i="55"/>
  <c r="U144" i="55"/>
  <c r="U89" i="55"/>
  <c r="U139" i="55"/>
  <c r="AO12" i="55"/>
  <c r="AP12" i="55" s="1"/>
  <c r="D12" i="55" s="1"/>
  <c r="U9" i="55"/>
  <c r="U12" i="55"/>
  <c r="AM7" i="55"/>
  <c r="BK66" i="53"/>
  <c r="AW140" i="53"/>
  <c r="AN140" i="53" s="1"/>
  <c r="AO140" i="53" s="1"/>
  <c r="AP140" i="53" s="1"/>
  <c r="BF140" i="53"/>
  <c r="BK140" i="53"/>
  <c r="BJ112" i="53"/>
  <c r="AX112" i="53"/>
  <c r="BF88" i="53"/>
  <c r="AW59" i="53"/>
  <c r="AX11" i="53"/>
  <c r="BF11" i="53"/>
  <c r="BK7" i="53"/>
  <c r="O196" i="53"/>
  <c r="R196" i="53"/>
  <c r="R198" i="53" s="1"/>
  <c r="L193" i="53"/>
  <c r="O193" i="53"/>
  <c r="N23" i="53" s="1"/>
  <c r="L190" i="53"/>
  <c r="O190" i="53"/>
  <c r="L169" i="53"/>
  <c r="K128" i="53" s="1"/>
  <c r="O169" i="53"/>
  <c r="N76" i="53" s="1"/>
  <c r="L166" i="53"/>
  <c r="O166" i="53"/>
  <c r="L163" i="53"/>
  <c r="O163" i="53"/>
  <c r="N74" i="53" s="1"/>
  <c r="AN143" i="53"/>
  <c r="AM137" i="53"/>
  <c r="AM143" i="53"/>
  <c r="AM138" i="53"/>
  <c r="AN138" i="53"/>
  <c r="AN144" i="53"/>
  <c r="AM118" i="53"/>
  <c r="AN117" i="53"/>
  <c r="AM117" i="53"/>
  <c r="AM112" i="53"/>
  <c r="AM114" i="53"/>
  <c r="AN111" i="53"/>
  <c r="AM111" i="53"/>
  <c r="AN118" i="53"/>
  <c r="T42" i="53"/>
  <c r="AR43" i="53" s="1"/>
  <c r="AM36" i="53"/>
  <c r="AN39" i="53"/>
  <c r="AN34" i="53"/>
  <c r="AO34" i="53" s="1"/>
  <c r="AP34" i="53" s="1"/>
  <c r="D34" i="53" s="1"/>
  <c r="R34" i="53" s="1"/>
  <c r="AN37" i="53"/>
  <c r="AN40" i="53"/>
  <c r="AW15" i="53"/>
  <c r="U141" i="53"/>
  <c r="T146" i="53"/>
  <c r="AR147" i="53" s="1"/>
  <c r="AW112" i="53"/>
  <c r="AN112" i="53" s="1"/>
  <c r="BF112" i="53"/>
  <c r="BK88" i="53"/>
  <c r="BJ88" i="53"/>
  <c r="AW88" i="53"/>
  <c r="AN88" i="53" s="1"/>
  <c r="BF66" i="53"/>
  <c r="AW66" i="53"/>
  <c r="BJ66" i="53"/>
  <c r="AX66" i="53"/>
  <c r="T68" i="53"/>
  <c r="AR69" i="53" s="1"/>
  <c r="AO145" i="53"/>
  <c r="AP145" i="53" s="1"/>
  <c r="D145" i="53" s="1"/>
  <c r="F193" i="53"/>
  <c r="I193" i="53"/>
  <c r="H49" i="53" s="1"/>
  <c r="F189" i="53"/>
  <c r="I189" i="53"/>
  <c r="F169" i="53"/>
  <c r="I169" i="53"/>
  <c r="H102" i="53" s="1"/>
  <c r="F166" i="53"/>
  <c r="E153" i="53" s="1"/>
  <c r="I166" i="53"/>
  <c r="H101" i="53" s="1"/>
  <c r="F163" i="53"/>
  <c r="I163" i="53"/>
  <c r="U116" i="53"/>
  <c r="BK114" i="53"/>
  <c r="BF114" i="53"/>
  <c r="AW114" i="53"/>
  <c r="AN114" i="53" s="1"/>
  <c r="BF86" i="53"/>
  <c r="BJ86" i="53"/>
  <c r="BK86" i="53"/>
  <c r="AM62" i="53"/>
  <c r="AO62" i="53" s="1"/>
  <c r="AP62" i="53" s="1"/>
  <c r="D62" i="53" s="1"/>
  <c r="L62" i="53" s="1"/>
  <c r="AO64" i="53"/>
  <c r="AP64" i="53" s="1"/>
  <c r="D64" i="53" s="1"/>
  <c r="AO89" i="53"/>
  <c r="AP89" i="53" s="1"/>
  <c r="D89" i="53" s="1"/>
  <c r="U145" i="53"/>
  <c r="AO142" i="53"/>
  <c r="AP142" i="53" s="1"/>
  <c r="D142" i="53" s="1"/>
  <c r="AO116" i="53"/>
  <c r="AP116" i="53" s="1"/>
  <c r="D116" i="53" s="1"/>
  <c r="AO119" i="53"/>
  <c r="AP119" i="53" s="1"/>
  <c r="D119" i="53" s="1"/>
  <c r="AO61" i="53"/>
  <c r="AP61" i="53" s="1"/>
  <c r="D61" i="53" s="1"/>
  <c r="AO63" i="53"/>
  <c r="AP63" i="53" s="1"/>
  <c r="D63" i="53" s="1"/>
  <c r="O63" i="53" s="1"/>
  <c r="AM33" i="53"/>
  <c r="AN36" i="53"/>
  <c r="AN33" i="53"/>
  <c r="AN13" i="53"/>
  <c r="BF12" i="53"/>
  <c r="BJ15" i="53"/>
  <c r="AM13" i="53"/>
  <c r="BK12" i="53"/>
  <c r="BJ12" i="53"/>
  <c r="BF15" i="53"/>
  <c r="AM14" i="53"/>
  <c r="AM10" i="53"/>
  <c r="AW12" i="53"/>
  <c r="AN12" i="53" s="1"/>
  <c r="AO12" i="53" s="1"/>
  <c r="AP12" i="53" s="1"/>
  <c r="D12" i="53" s="1"/>
  <c r="T16" i="53"/>
  <c r="AR17" i="53" s="1"/>
  <c r="AW13" i="53"/>
  <c r="BK13" i="53"/>
  <c r="AX13" i="53"/>
  <c r="AX15" i="53"/>
  <c r="BJ13" i="53"/>
  <c r="BK15" i="53"/>
  <c r="BJ7" i="53"/>
  <c r="AX7" i="53"/>
  <c r="BF7" i="53"/>
  <c r="U38" i="53"/>
  <c r="U89" i="53"/>
  <c r="U113" i="53"/>
  <c r="U142" i="53"/>
  <c r="U93" i="53"/>
  <c r="AO113" i="53"/>
  <c r="AP113" i="53" s="1"/>
  <c r="D113" i="53" s="1"/>
  <c r="U92" i="53"/>
  <c r="AW43" i="53"/>
  <c r="AW7" i="53"/>
  <c r="AN7" i="53" s="1"/>
  <c r="AM7" i="53"/>
  <c r="U64" i="53"/>
  <c r="AO139" i="53"/>
  <c r="AP139" i="53" s="1"/>
  <c r="D139" i="53" s="1"/>
  <c r="R139" i="53" s="1"/>
  <c r="U139" i="53" s="1"/>
  <c r="AO141" i="53"/>
  <c r="AP141" i="53" s="1"/>
  <c r="D141" i="53" s="1"/>
  <c r="AO90" i="53"/>
  <c r="AP90" i="53" s="1"/>
  <c r="D90" i="53" s="1"/>
  <c r="AO91" i="53"/>
  <c r="AP91" i="53" s="1"/>
  <c r="D91" i="53" s="1"/>
  <c r="I91" i="53" s="1"/>
  <c r="H180" i="53" s="1"/>
  <c r="AM59" i="53"/>
  <c r="AO9" i="53"/>
  <c r="AP9" i="53" s="1"/>
  <c r="D9" i="53" s="1"/>
  <c r="AO8" i="53"/>
  <c r="AP8" i="53" s="1"/>
  <c r="D8" i="53" s="1"/>
  <c r="F8" i="53" s="1"/>
  <c r="BF40" i="52"/>
  <c r="BK40" i="52"/>
  <c r="BJ35" i="52"/>
  <c r="BK66" i="52"/>
  <c r="T68" i="52"/>
  <c r="AR69" i="52" s="1"/>
  <c r="BK61" i="52"/>
  <c r="AW61" i="52"/>
  <c r="AX61" i="52"/>
  <c r="BF60" i="52"/>
  <c r="BF61" i="52"/>
  <c r="AM93" i="52"/>
  <c r="AM89" i="52"/>
  <c r="AM86" i="52"/>
  <c r="AM113" i="52"/>
  <c r="AN118" i="52"/>
  <c r="AX115" i="52"/>
  <c r="AO197" i="52"/>
  <c r="AN192" i="52"/>
  <c r="AO192" i="52" s="1"/>
  <c r="AP192" i="52" s="1"/>
  <c r="D192" i="52" s="1"/>
  <c r="T146" i="52"/>
  <c r="AR147" i="52" s="1"/>
  <c r="AX10" i="52"/>
  <c r="AN189" i="52"/>
  <c r="AO189" i="52" s="1"/>
  <c r="AO190" i="52"/>
  <c r="AP190" i="52" s="1"/>
  <c r="D190" i="52" s="1"/>
  <c r="R190" i="52" s="1"/>
  <c r="AO166" i="52"/>
  <c r="AP166" i="52" s="1"/>
  <c r="D166" i="52" s="1"/>
  <c r="R166" i="52" s="1"/>
  <c r="Q23" i="52" s="1"/>
  <c r="AO145" i="52"/>
  <c r="AP145" i="52" s="1"/>
  <c r="AW114" i="52"/>
  <c r="T120" i="52"/>
  <c r="AR121" i="52" s="1"/>
  <c r="AX114" i="52"/>
  <c r="AW111" i="52"/>
  <c r="AN111" i="52" s="1"/>
  <c r="BF86" i="52"/>
  <c r="AO90" i="52"/>
  <c r="AP90" i="52" s="1"/>
  <c r="D90" i="52" s="1"/>
  <c r="BJ66" i="52"/>
  <c r="AW66" i="52"/>
  <c r="BK60" i="52"/>
  <c r="BF39" i="52"/>
  <c r="T42" i="52"/>
  <c r="AR43" i="52" s="1"/>
  <c r="AW7" i="52"/>
  <c r="BK7" i="52"/>
  <c r="AX7" i="52"/>
  <c r="BF7" i="52"/>
  <c r="AO195" i="52"/>
  <c r="AP195" i="52" s="1"/>
  <c r="D195" i="52" s="1"/>
  <c r="AO163" i="52"/>
  <c r="AO119" i="52"/>
  <c r="AP119" i="52" s="1"/>
  <c r="D119" i="52" s="1"/>
  <c r="AM140" i="52"/>
  <c r="AO144" i="52"/>
  <c r="AP144" i="52" s="1"/>
  <c r="D144" i="52" s="1"/>
  <c r="AM137" i="52"/>
  <c r="AO87" i="52"/>
  <c r="AP87" i="52" s="1"/>
  <c r="D87" i="52" s="1"/>
  <c r="AO67" i="52"/>
  <c r="AP67" i="52" s="1"/>
  <c r="D67" i="52" s="1"/>
  <c r="AM59" i="52"/>
  <c r="AN39" i="52"/>
  <c r="AM10" i="52"/>
  <c r="BF10" i="52"/>
  <c r="AM7" i="52"/>
  <c r="U41" i="52"/>
  <c r="U15" i="52"/>
  <c r="U141" i="52"/>
  <c r="U90" i="52"/>
  <c r="U138" i="52"/>
  <c r="U12" i="52"/>
  <c r="P102" i="120"/>
  <c r="P98" i="120"/>
  <c r="P14" i="120"/>
  <c r="P53" i="120"/>
  <c r="P66" i="120"/>
  <c r="P84" i="120"/>
  <c r="P64" i="120"/>
  <c r="P38" i="120"/>
  <c r="P28" i="120"/>
  <c r="P95" i="120"/>
  <c r="P7" i="120"/>
  <c r="P37" i="120"/>
  <c r="P8" i="120"/>
  <c r="P92" i="120"/>
  <c r="P75" i="120"/>
  <c r="P72" i="120"/>
  <c r="P48" i="120"/>
  <c r="P15" i="120"/>
  <c r="P12" i="120"/>
  <c r="P57" i="120"/>
  <c r="P93" i="120"/>
  <c r="P23" i="120"/>
  <c r="P58" i="120"/>
  <c r="P9" i="120"/>
  <c r="P85" i="120"/>
  <c r="P46" i="120"/>
  <c r="P59" i="120"/>
  <c r="P70" i="120"/>
  <c r="P83" i="120"/>
  <c r="P26" i="120"/>
  <c r="P74" i="120"/>
  <c r="P71" i="120"/>
  <c r="P13" i="120"/>
  <c r="P100" i="120"/>
  <c r="G2" i="57"/>
  <c r="A3" i="70" s="1"/>
  <c r="E2" i="85"/>
  <c r="E8" i="92" s="1"/>
  <c r="G106" i="57"/>
  <c r="E27" i="85"/>
  <c r="G132" i="58"/>
  <c r="M51" i="45"/>
  <c r="S1" i="53"/>
  <c r="A2" i="66" s="1"/>
  <c r="M26" i="45"/>
  <c r="G106" i="58"/>
  <c r="M126" i="45"/>
  <c r="S105" i="55"/>
  <c r="G132" i="55"/>
  <c r="M51" i="84"/>
  <c r="M76" i="45"/>
  <c r="S131" i="53"/>
  <c r="S53" i="53"/>
  <c r="E27" i="84"/>
  <c r="G54" i="58"/>
  <c r="M26" i="84"/>
  <c r="N1" i="63"/>
  <c r="M51" i="41"/>
  <c r="S131" i="52"/>
  <c r="S79" i="55"/>
  <c r="S79" i="52"/>
  <c r="S53" i="55"/>
  <c r="G106" i="55"/>
  <c r="S105" i="53"/>
  <c r="S79" i="53"/>
  <c r="M126" i="84"/>
  <c r="M76" i="84"/>
  <c r="M1" i="84"/>
  <c r="Q6" i="91" s="1"/>
  <c r="S27" i="53"/>
  <c r="M1" i="45"/>
  <c r="Q6" i="90" s="1"/>
  <c r="M1" i="41"/>
  <c r="Q6" i="89" s="1"/>
  <c r="E2" i="84"/>
  <c r="E8" i="91" s="1"/>
  <c r="M101" i="41"/>
  <c r="G54" i="55"/>
  <c r="E102" i="84"/>
  <c r="M76" i="41"/>
  <c r="E127" i="84"/>
  <c r="M26" i="41"/>
  <c r="G80" i="55"/>
  <c r="M101" i="84"/>
  <c r="S53" i="52"/>
  <c r="A3" i="63"/>
  <c r="S1" i="55"/>
  <c r="E2" i="86"/>
  <c r="E8" i="93" s="1"/>
  <c r="S131" i="55"/>
  <c r="S105" i="52"/>
  <c r="AO141" i="59"/>
  <c r="AP141" i="59" s="1"/>
  <c r="D141" i="59" s="1"/>
  <c r="BG10" i="59"/>
  <c r="BG61" i="59"/>
  <c r="M11" i="99"/>
  <c r="M89" i="99"/>
  <c r="M81" i="99"/>
  <c r="M44" i="99"/>
  <c r="M80" i="99"/>
  <c r="M65" i="99"/>
  <c r="M84" i="99"/>
  <c r="M16" i="99"/>
  <c r="M48" i="99"/>
  <c r="M75" i="99"/>
  <c r="M47" i="99"/>
  <c r="M94" i="99"/>
  <c r="M76" i="99"/>
  <c r="M25" i="99"/>
  <c r="M37" i="99"/>
  <c r="M49" i="99"/>
  <c r="M22" i="99"/>
  <c r="M35" i="99"/>
  <c r="M101" i="99"/>
  <c r="M6" i="99"/>
  <c r="M83" i="99"/>
  <c r="M32" i="99"/>
  <c r="M77" i="99"/>
  <c r="M88" i="99"/>
  <c r="M14" i="99"/>
  <c r="M62" i="99"/>
  <c r="M56" i="99"/>
  <c r="M96" i="99"/>
  <c r="M59" i="99"/>
  <c r="M92" i="99"/>
  <c r="M19" i="99"/>
  <c r="M52" i="99"/>
  <c r="M5" i="99"/>
  <c r="M68" i="99"/>
  <c r="M78" i="99"/>
  <c r="M72" i="99"/>
  <c r="M46" i="99"/>
  <c r="M20" i="99"/>
  <c r="M36" i="99"/>
  <c r="M51" i="99"/>
  <c r="M41" i="99"/>
  <c r="M60" i="99"/>
  <c r="M64" i="99"/>
  <c r="M21" i="99"/>
  <c r="M69" i="99"/>
  <c r="M100" i="99"/>
  <c r="M38" i="99"/>
  <c r="M12" i="99"/>
  <c r="M40" i="99"/>
  <c r="M57" i="99"/>
  <c r="M67" i="99"/>
  <c r="M70" i="99"/>
  <c r="M97" i="99"/>
  <c r="J4" i="55"/>
  <c r="H4" i="84"/>
  <c r="M17" i="99"/>
  <c r="BG139" i="59"/>
  <c r="L29" i="45"/>
  <c r="P30" i="53"/>
  <c r="BG93" i="59"/>
  <c r="BG137" i="59"/>
  <c r="BG33" i="59"/>
  <c r="BG67" i="59"/>
  <c r="BG39" i="59"/>
  <c r="BG64" i="59"/>
  <c r="BG8" i="59"/>
  <c r="BG114" i="59"/>
  <c r="BG34" i="59"/>
  <c r="BG116" i="59"/>
  <c r="BG111" i="59"/>
  <c r="J30" i="59"/>
  <c r="H29" i="87"/>
  <c r="AO112" i="59"/>
  <c r="AP112" i="59" s="1"/>
  <c r="H29" i="84"/>
  <c r="J30" i="55"/>
  <c r="G94" i="85"/>
  <c r="G95" i="85" s="1"/>
  <c r="I94" i="85"/>
  <c r="I95" i="85" s="1"/>
  <c r="B78" i="85"/>
  <c r="B102" i="85"/>
  <c r="K94" i="85"/>
  <c r="K95" i="85" s="1"/>
  <c r="M94" i="85"/>
  <c r="M95" i="85" s="1"/>
  <c r="E94" i="85"/>
  <c r="E95" i="85" s="1"/>
  <c r="I69" i="85"/>
  <c r="I70" i="85" s="1"/>
  <c r="K69" i="85"/>
  <c r="K70" i="85" s="1"/>
  <c r="E69" i="85"/>
  <c r="E70" i="85" s="1"/>
  <c r="B53" i="85"/>
  <c r="AO113" i="59"/>
  <c r="AP113" i="59" s="1"/>
  <c r="D113" i="59" s="1"/>
  <c r="L4" i="84"/>
  <c r="P4" i="55"/>
  <c r="G132" i="57"/>
  <c r="AP63" i="59"/>
  <c r="D63" i="59" s="1"/>
  <c r="AP87" i="59"/>
  <c r="D87" i="59" s="1"/>
  <c r="AO14" i="55"/>
  <c r="AP14" i="55" s="1"/>
  <c r="D14" i="55" s="1"/>
  <c r="L29" i="86"/>
  <c r="G28" i="57"/>
  <c r="BG115" i="59"/>
  <c r="BG65" i="59"/>
  <c r="BG86" i="59"/>
  <c r="J4" i="84"/>
  <c r="S105" i="57"/>
  <c r="BG143" i="59"/>
  <c r="BA5" i="16"/>
  <c r="AO67" i="58"/>
  <c r="AO143" i="57"/>
  <c r="AP143" i="57" s="1"/>
  <c r="AO86" i="53"/>
  <c r="AP86" i="53" s="1"/>
  <c r="D86" i="53" s="1"/>
  <c r="BG59" i="59"/>
  <c r="E102" i="86"/>
  <c r="BG14" i="59"/>
  <c r="BG40" i="59"/>
  <c r="BG35" i="59"/>
  <c r="BG117" i="59"/>
  <c r="BG113" i="59"/>
  <c r="B77" i="87"/>
  <c r="AP92" i="58"/>
  <c r="D92" i="58" s="1"/>
  <c r="R92" i="58" s="1"/>
  <c r="G44" i="85"/>
  <c r="G45" i="85" s="1"/>
  <c r="BG7" i="59"/>
  <c r="BG38" i="59"/>
  <c r="BG9" i="59"/>
  <c r="BG13" i="59"/>
  <c r="BG63" i="59"/>
  <c r="AO38" i="58"/>
  <c r="AO114" i="59"/>
  <c r="AP114" i="59" s="1"/>
  <c r="AO60" i="59"/>
  <c r="AO115" i="53"/>
  <c r="AP115" i="53" s="1"/>
  <c r="D115" i="53" s="1"/>
  <c r="K44" i="84"/>
  <c r="K45" i="84" s="1"/>
  <c r="G44" i="84"/>
  <c r="G45" i="84" s="1"/>
  <c r="B28" i="84"/>
  <c r="M44" i="84"/>
  <c r="M45" i="84" s="1"/>
  <c r="I44" i="84"/>
  <c r="I45" i="84" s="1"/>
  <c r="AP119" i="58"/>
  <c r="E177" i="85"/>
  <c r="G158" i="57"/>
  <c r="G184" i="57"/>
  <c r="E152" i="85"/>
  <c r="G80" i="57"/>
  <c r="BY12" i="16"/>
  <c r="S186" i="57" s="1"/>
  <c r="BY11" i="16"/>
  <c r="S160" i="57" s="1"/>
  <c r="BU12" i="16"/>
  <c r="G186" i="57" s="1"/>
  <c r="BW9" i="16"/>
  <c r="M108" i="57" s="1"/>
  <c r="BU7" i="16"/>
  <c r="BX11" i="16"/>
  <c r="P160" i="57" s="1"/>
  <c r="BV9" i="16"/>
  <c r="J108" i="57" s="1"/>
  <c r="BW11" i="16"/>
  <c r="M160" i="57" s="1"/>
  <c r="BU9" i="16"/>
  <c r="G108" i="57" s="1"/>
  <c r="BV11" i="16"/>
  <c r="J160" i="57" s="1"/>
  <c r="BY8" i="16"/>
  <c r="BX10" i="16"/>
  <c r="P134" i="57" s="1"/>
  <c r="BU11" i="16"/>
  <c r="BX8" i="16"/>
  <c r="BY10" i="16"/>
  <c r="S134" i="57" s="1"/>
  <c r="BW8" i="16"/>
  <c r="BV8" i="16"/>
  <c r="J82" i="57" s="1"/>
  <c r="BV12" i="16"/>
  <c r="J186" i="57" s="1"/>
  <c r="BX9" i="16"/>
  <c r="P108" i="57" s="1"/>
  <c r="BV7" i="16"/>
  <c r="J56" i="57" s="1"/>
  <c r="BY7" i="16"/>
  <c r="S56" i="57" s="1"/>
  <c r="BW7" i="16"/>
  <c r="M56" i="57" s="1"/>
  <c r="BX7" i="16"/>
  <c r="P56" i="57" s="1"/>
  <c r="BU10" i="16"/>
  <c r="BV10" i="16"/>
  <c r="J134" i="57" s="1"/>
  <c r="BX12" i="16"/>
  <c r="P186" i="57" s="1"/>
  <c r="BW12" i="16"/>
  <c r="BY9" i="16"/>
  <c r="BW10" i="16"/>
  <c r="M134" i="57" s="1"/>
  <c r="BU8" i="16"/>
  <c r="G82" i="57" s="1"/>
  <c r="BX6" i="16"/>
  <c r="P30" i="57" s="1"/>
  <c r="BU5" i="16"/>
  <c r="G4" i="57" s="1"/>
  <c r="BW5" i="16"/>
  <c r="E102" i="85"/>
  <c r="K44" i="85"/>
  <c r="K45" i="85" s="1"/>
  <c r="BG15" i="59"/>
  <c r="BG60" i="59"/>
  <c r="BV5" i="16"/>
  <c r="J4" i="57" s="1"/>
  <c r="BG144" i="59"/>
  <c r="AO8" i="58"/>
  <c r="AP8" i="58" s="1"/>
  <c r="AO34" i="59"/>
  <c r="AP34" i="59" s="1"/>
  <c r="M126" i="85"/>
  <c r="S183" i="57"/>
  <c r="S157" i="57"/>
  <c r="M176" i="85"/>
  <c r="M151" i="85"/>
  <c r="S1" i="57"/>
  <c r="A2" i="70" s="1"/>
  <c r="M1" i="85"/>
  <c r="Q6" i="92" s="1"/>
  <c r="S79" i="57"/>
  <c r="S27" i="57"/>
  <c r="M76" i="85"/>
  <c r="BD10" i="16"/>
  <c r="P134" i="55" s="1"/>
  <c r="BC8" i="16"/>
  <c r="M82" i="55" s="1"/>
  <c r="BE12" i="16"/>
  <c r="S186" i="55" s="1"/>
  <c r="BC10" i="16"/>
  <c r="M134" i="55" s="1"/>
  <c r="BB8" i="16"/>
  <c r="BD12" i="16"/>
  <c r="P186" i="55" s="1"/>
  <c r="BB10" i="16"/>
  <c r="J134" i="55" s="1"/>
  <c r="BA8" i="16"/>
  <c r="BC12" i="16"/>
  <c r="M186" i="55" s="1"/>
  <c r="BA10" i="16"/>
  <c r="BE7" i="16"/>
  <c r="S56" i="55" s="1"/>
  <c r="BD9" i="16"/>
  <c r="P108" i="55" s="1"/>
  <c r="BB12" i="16"/>
  <c r="J186" i="55" s="1"/>
  <c r="BD7" i="16"/>
  <c r="P56" i="55" s="1"/>
  <c r="BE11" i="16"/>
  <c r="S160" i="55" s="1"/>
  <c r="BA12" i="16"/>
  <c r="BE9" i="16"/>
  <c r="S108" i="55" s="1"/>
  <c r="BC7" i="16"/>
  <c r="M56" i="55" s="1"/>
  <c r="BB7" i="16"/>
  <c r="BE10" i="16"/>
  <c r="BD8" i="16"/>
  <c r="P82" i="55" s="1"/>
  <c r="BA7" i="16"/>
  <c r="BD11" i="16"/>
  <c r="P160" i="55" s="1"/>
  <c r="BC11" i="16"/>
  <c r="M160" i="55" s="1"/>
  <c r="BA9" i="16"/>
  <c r="BB11" i="16"/>
  <c r="BA11" i="16"/>
  <c r="G160" i="55" s="1"/>
  <c r="BB9" i="16"/>
  <c r="BC9" i="16"/>
  <c r="BE8" i="16"/>
  <c r="S82" i="55" s="1"/>
  <c r="BC6" i="16"/>
  <c r="M30" i="55" s="1"/>
  <c r="BE6" i="16"/>
  <c r="B28" i="86"/>
  <c r="M44" i="86"/>
  <c r="M45" i="86" s="1"/>
  <c r="E44" i="86"/>
  <c r="E45" i="86" s="1"/>
  <c r="G44" i="86"/>
  <c r="G45" i="86" s="1"/>
  <c r="BG89" i="59"/>
  <c r="BG145" i="59"/>
  <c r="BG66" i="59"/>
  <c r="F4" i="45"/>
  <c r="BG142" i="59"/>
  <c r="B53" i="41"/>
  <c r="K69" i="41"/>
  <c r="K70" i="41" s="1"/>
  <c r="B77" i="41"/>
  <c r="B78" i="41" s="1"/>
  <c r="AO8" i="52"/>
  <c r="AP8" i="52" s="1"/>
  <c r="D8" i="52" s="1"/>
  <c r="E77" i="86"/>
  <c r="G158" i="58"/>
  <c r="E177" i="86"/>
  <c r="E152" i="86"/>
  <c r="G184" i="58"/>
  <c r="G28" i="58"/>
  <c r="E52" i="86"/>
  <c r="AG12" i="16"/>
  <c r="AK9" i="16"/>
  <c r="S108" i="53" s="1"/>
  <c r="AI7" i="16"/>
  <c r="M56" i="53" s="1"/>
  <c r="AK11" i="16"/>
  <c r="S160" i="53" s="1"/>
  <c r="AJ9" i="16"/>
  <c r="P108" i="53" s="1"/>
  <c r="AH7" i="16"/>
  <c r="AJ11" i="16"/>
  <c r="P160" i="53" s="1"/>
  <c r="AI9" i="16"/>
  <c r="M108" i="53" s="1"/>
  <c r="AG7" i="16"/>
  <c r="AI11" i="16"/>
  <c r="M160" i="53" s="1"/>
  <c r="AH9" i="16"/>
  <c r="J108" i="53" s="1"/>
  <c r="AJ8" i="16"/>
  <c r="P82" i="53" s="1"/>
  <c r="AH11" i="16"/>
  <c r="AG9" i="16"/>
  <c r="AG11" i="16"/>
  <c r="G160" i="53" s="1"/>
  <c r="AK8" i="16"/>
  <c r="S82" i="53" s="1"/>
  <c r="AK10" i="16"/>
  <c r="S134" i="53" s="1"/>
  <c r="AH12" i="16"/>
  <c r="J186" i="53" s="1"/>
  <c r="AJ7" i="16"/>
  <c r="P56" i="53" s="1"/>
  <c r="AK12" i="16"/>
  <c r="S186" i="53" s="1"/>
  <c r="AJ12" i="16"/>
  <c r="P186" i="53" s="1"/>
  <c r="AI12" i="16"/>
  <c r="M186" i="53" s="1"/>
  <c r="AK7" i="16"/>
  <c r="AJ10" i="16"/>
  <c r="P134" i="53" s="1"/>
  <c r="AI10" i="16"/>
  <c r="M134" i="53" s="1"/>
  <c r="AH10" i="16"/>
  <c r="J134" i="53" s="1"/>
  <c r="AG10" i="16"/>
  <c r="AG8" i="16"/>
  <c r="AI8" i="16"/>
  <c r="M82" i="53" s="1"/>
  <c r="AH8" i="16"/>
  <c r="J82" i="53" s="1"/>
  <c r="AH6" i="16"/>
  <c r="AJ5" i="16"/>
  <c r="P4" i="53" s="1"/>
  <c r="AI5" i="16"/>
  <c r="AK6" i="16"/>
  <c r="S30" i="53" s="1"/>
  <c r="AI6" i="16"/>
  <c r="M30" i="53" s="1"/>
  <c r="AG6" i="16"/>
  <c r="AK5" i="16"/>
  <c r="BG37" i="59"/>
  <c r="BY5" i="16"/>
  <c r="BG91" i="59"/>
  <c r="BJ7" i="52"/>
  <c r="K69" i="84"/>
  <c r="K70" i="84" s="1"/>
  <c r="B53" i="84"/>
  <c r="M26" i="86"/>
  <c r="S157" i="58"/>
  <c r="M151" i="86"/>
  <c r="M176" i="86"/>
  <c r="S183" i="58"/>
  <c r="S53" i="58"/>
  <c r="M126" i="86"/>
  <c r="M1" i="86"/>
  <c r="Q6" i="93" s="1"/>
  <c r="S131" i="58"/>
  <c r="S79" i="58"/>
  <c r="M51" i="86"/>
  <c r="M101" i="86"/>
  <c r="BU6" i="16"/>
  <c r="BG36" i="59"/>
  <c r="BG112" i="59"/>
  <c r="BA6" i="16"/>
  <c r="J29" i="85"/>
  <c r="M30" i="57"/>
  <c r="AN111" i="57"/>
  <c r="H4" i="87"/>
  <c r="BV6" i="16"/>
  <c r="J30" i="57" s="1"/>
  <c r="AO33" i="55"/>
  <c r="AP33" i="55" s="1"/>
  <c r="D33" i="55" s="1"/>
  <c r="G54" i="57"/>
  <c r="BG92" i="59"/>
  <c r="I94" i="84"/>
  <c r="I95" i="84" s="1"/>
  <c r="M69" i="41"/>
  <c r="M70" i="41" s="1"/>
  <c r="E52" i="85"/>
  <c r="M27" i="99"/>
  <c r="M29" i="99"/>
  <c r="M91" i="99"/>
  <c r="M33" i="99"/>
  <c r="M26" i="99"/>
  <c r="M39" i="99"/>
  <c r="M74" i="99"/>
  <c r="M93" i="99"/>
  <c r="M24" i="99"/>
  <c r="M73" i="99"/>
  <c r="M8" i="99"/>
  <c r="M45" i="99"/>
  <c r="M13" i="99"/>
  <c r="M99" i="99"/>
  <c r="M43" i="99"/>
  <c r="L4" i="87"/>
  <c r="P4" i="59"/>
  <c r="BY6" i="16"/>
  <c r="B52" i="86"/>
  <c r="BX5" i="16"/>
  <c r="AP140" i="59"/>
  <c r="D140" i="59" s="1"/>
  <c r="AO92" i="53"/>
  <c r="AP92" i="53" s="1"/>
  <c r="D92" i="53" s="1"/>
  <c r="AO9" i="58"/>
  <c r="AP9" i="58" s="1"/>
  <c r="D9" i="58" s="1"/>
  <c r="BG119" i="59"/>
  <c r="E52" i="84"/>
  <c r="E152" i="84"/>
  <c r="G158" i="55"/>
  <c r="E177" i="84"/>
  <c r="G184" i="55"/>
  <c r="CO11" i="16"/>
  <c r="CR8" i="16"/>
  <c r="P82" i="58" s="1"/>
  <c r="CS10" i="16"/>
  <c r="CQ8" i="16"/>
  <c r="M82" i="58" s="1"/>
  <c r="CR10" i="16"/>
  <c r="P134" i="58" s="1"/>
  <c r="CP8" i="16"/>
  <c r="J82" i="58" s="1"/>
  <c r="CS12" i="16"/>
  <c r="S186" i="58" s="1"/>
  <c r="CQ10" i="16"/>
  <c r="M134" i="58" s="1"/>
  <c r="CO8" i="16"/>
  <c r="CR12" i="16"/>
  <c r="P186" i="58" s="1"/>
  <c r="CP10" i="16"/>
  <c r="J134" i="58" s="1"/>
  <c r="CS7" i="16"/>
  <c r="S56" i="58" s="1"/>
  <c r="CP12" i="16"/>
  <c r="J186" i="58" s="1"/>
  <c r="CQ12" i="16"/>
  <c r="M186" i="58" s="1"/>
  <c r="CO10" i="16"/>
  <c r="G134" i="58" s="1"/>
  <c r="CR7" i="16"/>
  <c r="P56" i="58" s="1"/>
  <c r="CS9" i="16"/>
  <c r="S108" i="58" s="1"/>
  <c r="CQ7" i="16"/>
  <c r="M56" i="58" s="1"/>
  <c r="CP11" i="16"/>
  <c r="J160" i="58" s="1"/>
  <c r="CS8" i="16"/>
  <c r="S82" i="58" s="1"/>
  <c r="CP9" i="16"/>
  <c r="J108" i="58" s="1"/>
  <c r="CP7" i="16"/>
  <c r="J56" i="58" s="1"/>
  <c r="CO9" i="16"/>
  <c r="G108" i="58" s="1"/>
  <c r="CO7" i="16"/>
  <c r="CR9" i="16"/>
  <c r="P108" i="58" s="1"/>
  <c r="CS11" i="16"/>
  <c r="S160" i="58" s="1"/>
  <c r="CR11" i="16"/>
  <c r="P160" i="58" s="1"/>
  <c r="CO12" i="16"/>
  <c r="CQ11" i="16"/>
  <c r="M160" i="58" s="1"/>
  <c r="AW11" i="52"/>
  <c r="BK15" i="52"/>
  <c r="AP33" i="58"/>
  <c r="D33" i="58" s="1"/>
  <c r="R33" i="58" s="1"/>
  <c r="AP35" i="58"/>
  <c r="D35" i="58" s="1"/>
  <c r="AX59" i="58"/>
  <c r="AP118" i="58"/>
  <c r="AP137" i="59"/>
  <c r="D137" i="59" s="1"/>
  <c r="BG192" i="59"/>
  <c r="P42" i="120"/>
  <c r="P24" i="120"/>
  <c r="P67" i="120"/>
  <c r="P17" i="120"/>
  <c r="P88" i="120"/>
  <c r="AP14" i="58"/>
  <c r="D14" i="58" s="1"/>
  <c r="AP88" i="59"/>
  <c r="D88" i="59" s="1"/>
  <c r="AP92" i="59"/>
  <c r="D92" i="59" s="1"/>
  <c r="BG166" i="59"/>
  <c r="BG195" i="59"/>
  <c r="M31" i="99"/>
  <c r="AP7" i="59"/>
  <c r="D7" i="59" s="1"/>
  <c r="T16" i="58"/>
  <c r="AR17" i="58" s="1"/>
  <c r="AP39" i="58"/>
  <c r="D39" i="58" s="1"/>
  <c r="R39" i="58" s="1"/>
  <c r="AP41" i="58"/>
  <c r="D41" i="58" s="1"/>
  <c r="BK67" i="52"/>
  <c r="AP67" i="58"/>
  <c r="BJ118" i="52"/>
  <c r="BG168" i="59"/>
  <c r="P6" i="120"/>
  <c r="P27" i="120"/>
  <c r="P39" i="120"/>
  <c r="P78" i="120"/>
  <c r="P3" i="120"/>
  <c r="P55" i="120"/>
  <c r="P30" i="120"/>
  <c r="P32" i="120"/>
  <c r="AP13" i="59"/>
  <c r="D13" i="59" s="1"/>
  <c r="BK37" i="52"/>
  <c r="AW41" i="52"/>
  <c r="BK59" i="52"/>
  <c r="BK63" i="52"/>
  <c r="AP65" i="59"/>
  <c r="D65" i="59" s="1"/>
  <c r="AP67" i="59"/>
  <c r="D67" i="59" s="1"/>
  <c r="BF138" i="52"/>
  <c r="AP140" i="58"/>
  <c r="D140" i="58" s="1"/>
  <c r="AW173" i="52"/>
  <c r="AP191" i="57"/>
  <c r="D191" i="57" s="1"/>
  <c r="F191" i="57" s="1"/>
  <c r="U191" i="57" s="1"/>
  <c r="BG197" i="59"/>
  <c r="AP10" i="117"/>
  <c r="D10" i="117" s="1"/>
  <c r="P16" i="120"/>
  <c r="P54" i="120"/>
  <c r="P35" i="120"/>
  <c r="P47" i="120"/>
  <c r="P60" i="120"/>
  <c r="P50" i="120"/>
  <c r="P90" i="120"/>
  <c r="P62" i="120"/>
  <c r="BG196" i="59"/>
  <c r="BG164" i="59"/>
  <c r="AP113" i="58"/>
  <c r="D113" i="58" s="1"/>
  <c r="AX139" i="59"/>
  <c r="AP142" i="58"/>
  <c r="D142" i="58" s="1"/>
  <c r="BG194" i="59"/>
  <c r="AP190" i="117"/>
  <c r="D190" i="117" s="1"/>
  <c r="P94" i="120"/>
  <c r="P34" i="120"/>
  <c r="P80" i="120"/>
  <c r="P56" i="120"/>
  <c r="P82" i="120"/>
  <c r="P99" i="120"/>
  <c r="P63" i="120"/>
  <c r="P79" i="120"/>
  <c r="M10" i="99"/>
  <c r="AP35" i="59"/>
  <c r="D35" i="59" s="1"/>
  <c r="AP37" i="59"/>
  <c r="D37" i="59" s="1"/>
  <c r="AX67" i="59"/>
  <c r="AX85" i="52"/>
  <c r="BF93" i="52"/>
  <c r="AX90" i="53"/>
  <c r="AP85" i="59"/>
  <c r="D85" i="59" s="1"/>
  <c r="AX114" i="53"/>
  <c r="AX118" i="53"/>
  <c r="AP111" i="59"/>
  <c r="D111" i="59" s="1"/>
  <c r="BK144" i="52"/>
  <c r="AP195" i="57"/>
  <c r="D195" i="57" s="1"/>
  <c r="R195" i="57" s="1"/>
  <c r="R198" i="57" s="1"/>
  <c r="AP137" i="117"/>
  <c r="D137" i="117" s="1"/>
  <c r="P33" i="120"/>
  <c r="P69" i="120"/>
  <c r="P49" i="120"/>
  <c r="P81" i="120"/>
  <c r="P61" i="120"/>
  <c r="P21" i="120"/>
  <c r="S183" i="59"/>
  <c r="S157" i="59"/>
  <c r="M151" i="87"/>
  <c r="M176" i="87"/>
  <c r="U145" i="58"/>
  <c r="AX90" i="57"/>
  <c r="AW113" i="52"/>
  <c r="AN113" i="52" s="1"/>
  <c r="AO113" i="52" s="1"/>
  <c r="AP113" i="52" s="1"/>
  <c r="D113" i="52" s="1"/>
  <c r="R113" i="52" s="1"/>
  <c r="U113" i="52" s="1"/>
  <c r="BJ117" i="52"/>
  <c r="AX140" i="52"/>
  <c r="AW145" i="53"/>
  <c r="AP138" i="59"/>
  <c r="D138" i="59" s="1"/>
  <c r="P97" i="120"/>
  <c r="P77" i="120"/>
  <c r="P31" i="120"/>
  <c r="P68" i="120"/>
  <c r="P2" i="120"/>
  <c r="BG189" i="59"/>
  <c r="G2" i="52"/>
  <c r="E152" i="41"/>
  <c r="G184" i="52"/>
  <c r="E177" i="41"/>
  <c r="G158" i="52"/>
  <c r="AP11" i="58"/>
  <c r="D11" i="58" s="1"/>
  <c r="AP38" i="58"/>
  <c r="BF62" i="52"/>
  <c r="AP64" i="58"/>
  <c r="D64" i="58" s="1"/>
  <c r="O64" i="58" s="1"/>
  <c r="U64" i="58" s="1"/>
  <c r="AX65" i="55"/>
  <c r="AP89" i="59"/>
  <c r="D89" i="59" s="1"/>
  <c r="AP91" i="59"/>
  <c r="D91" i="59" s="1"/>
  <c r="AP93" i="59"/>
  <c r="AX88" i="57"/>
  <c r="AL115" i="59"/>
  <c r="AP115" i="59" s="1"/>
  <c r="D115" i="59" s="1"/>
  <c r="AW137" i="52"/>
  <c r="AN137" i="52" s="1"/>
  <c r="AP142" i="59"/>
  <c r="D142" i="59" s="1"/>
  <c r="AP144" i="59"/>
  <c r="D144" i="59" s="1"/>
  <c r="BG167" i="59"/>
  <c r="BG191" i="59"/>
  <c r="P101" i="120"/>
  <c r="P96" i="120"/>
  <c r="A2" i="118"/>
  <c r="A2" i="119"/>
  <c r="M126" i="41"/>
  <c r="M176" i="41"/>
  <c r="M151" i="41"/>
  <c r="S183" i="52"/>
  <c r="S157" i="52"/>
  <c r="V22" i="16"/>
  <c r="AP8" i="59"/>
  <c r="D8" i="59" s="1"/>
  <c r="AP10" i="59"/>
  <c r="D10" i="59" s="1"/>
  <c r="U144" i="59"/>
  <c r="BJ36" i="52"/>
  <c r="AW39" i="59"/>
  <c r="AW43" i="59" s="1"/>
  <c r="AX34" i="58"/>
  <c r="AP40" i="58"/>
  <c r="D40" i="58" s="1"/>
  <c r="AP60" i="59"/>
  <c r="D60" i="59" s="1"/>
  <c r="AP62" i="59"/>
  <c r="D62" i="59" s="1"/>
  <c r="AX64" i="58"/>
  <c r="AP117" i="59"/>
  <c r="D117" i="59" s="1"/>
  <c r="AX119" i="58"/>
  <c r="AX145" i="57"/>
  <c r="H79" i="116"/>
  <c r="F79" i="116"/>
  <c r="M94" i="116"/>
  <c r="M95" i="116" s="1"/>
  <c r="K94" i="116"/>
  <c r="K95" i="116" s="1"/>
  <c r="G94" i="116"/>
  <c r="G95" i="116" s="1"/>
  <c r="I94" i="116"/>
  <c r="I95" i="116" s="1"/>
  <c r="J79" i="116"/>
  <c r="N79" i="116"/>
  <c r="E94" i="116"/>
  <c r="E95" i="116" s="1"/>
  <c r="L79" i="116"/>
  <c r="BG165" i="59"/>
  <c r="BG193" i="59"/>
  <c r="P103" i="120"/>
  <c r="P91" i="120"/>
  <c r="P65" i="120"/>
  <c r="P52" i="120"/>
  <c r="P19" i="120"/>
  <c r="P5" i="120"/>
  <c r="P73" i="120"/>
  <c r="AP195" i="55"/>
  <c r="D195" i="55" s="1"/>
  <c r="F195" i="55" s="1"/>
  <c r="U195" i="55" s="1"/>
  <c r="AO144" i="58"/>
  <c r="AP144" i="58" s="1"/>
  <c r="D144" i="58" s="1"/>
  <c r="S79" i="59"/>
  <c r="S1" i="52"/>
  <c r="A2" i="60" s="1"/>
  <c r="S1" i="59"/>
  <c r="A2" i="69" s="1"/>
  <c r="G106" i="53"/>
  <c r="G184" i="53"/>
  <c r="G158" i="53"/>
  <c r="E177" i="45"/>
  <c r="E152" i="45"/>
  <c r="AP14" i="59"/>
  <c r="D14" i="59" s="1"/>
  <c r="BJ63" i="53"/>
  <c r="AX91" i="59"/>
  <c r="AX90" i="58"/>
  <c r="AX119" i="59"/>
  <c r="BJ143" i="52"/>
  <c r="AM144" i="53"/>
  <c r="AX140" i="55"/>
  <c r="AX142" i="55"/>
  <c r="BG163" i="59"/>
  <c r="P18" i="120"/>
  <c r="P29" i="120"/>
  <c r="P40" i="120"/>
  <c r="P76" i="120"/>
  <c r="P86" i="120"/>
  <c r="P25" i="120"/>
  <c r="P104" i="120"/>
  <c r="P87" i="120"/>
  <c r="BG171" i="59"/>
  <c r="AW147" i="59"/>
  <c r="M126" i="87"/>
  <c r="G132" i="52"/>
  <c r="S183" i="53"/>
  <c r="S157" i="53"/>
  <c r="M176" i="45"/>
  <c r="M151" i="45"/>
  <c r="O11" i="16"/>
  <c r="M160" i="52" s="1"/>
  <c r="O6" i="16"/>
  <c r="Q8" i="16"/>
  <c r="S82" i="52" s="1"/>
  <c r="N11" i="16"/>
  <c r="J160" i="52" s="1"/>
  <c r="P6" i="16"/>
  <c r="P30" i="52" s="1"/>
  <c r="M9" i="16"/>
  <c r="M11" i="16"/>
  <c r="Q6" i="16"/>
  <c r="N9" i="16"/>
  <c r="J108" i="52" s="1"/>
  <c r="Q10" i="16"/>
  <c r="S134" i="52" s="1"/>
  <c r="M7" i="16"/>
  <c r="G56" i="52" s="1"/>
  <c r="O9" i="16"/>
  <c r="M108" i="52" s="1"/>
  <c r="N5" i="16"/>
  <c r="J4" i="52" s="1"/>
  <c r="P10" i="16"/>
  <c r="P134" i="52" s="1"/>
  <c r="N7" i="16"/>
  <c r="J56" i="52" s="1"/>
  <c r="P9" i="16"/>
  <c r="P108" i="52" s="1"/>
  <c r="P12" i="16"/>
  <c r="P186" i="52" s="1"/>
  <c r="Q12" i="16"/>
  <c r="S186" i="52" s="1"/>
  <c r="O10" i="16"/>
  <c r="M134" i="52" s="1"/>
  <c r="M5" i="16"/>
  <c r="O7" i="16"/>
  <c r="M56" i="52" s="1"/>
  <c r="Q9" i="16"/>
  <c r="S108" i="52" s="1"/>
  <c r="P7" i="16"/>
  <c r="P56" i="52" s="1"/>
  <c r="N10" i="16"/>
  <c r="J134" i="52" s="1"/>
  <c r="P11" i="16"/>
  <c r="P160" i="52" s="1"/>
  <c r="N6" i="16"/>
  <c r="J30" i="52" s="1"/>
  <c r="P8" i="16"/>
  <c r="P82" i="52" s="1"/>
  <c r="N12" i="16"/>
  <c r="J186" i="52" s="1"/>
  <c r="M12" i="16"/>
  <c r="G186" i="52" s="1"/>
  <c r="O5" i="16"/>
  <c r="Q11" i="16"/>
  <c r="S160" i="52" s="1"/>
  <c r="P5" i="16"/>
  <c r="M10" i="16"/>
  <c r="Q5" i="16"/>
  <c r="O12" i="16"/>
  <c r="M186" i="52" s="1"/>
  <c r="M6" i="16"/>
  <c r="O8" i="16"/>
  <c r="M82" i="52" s="1"/>
  <c r="Q7" i="16"/>
  <c r="S56" i="52" s="1"/>
  <c r="M8" i="16"/>
  <c r="G82" i="52" s="1"/>
  <c r="N8" i="16"/>
  <c r="J82" i="52" s="1"/>
  <c r="N179" i="59"/>
  <c r="P166" i="59" s="1"/>
  <c r="AX64" i="59"/>
  <c r="BF112" i="52"/>
  <c r="AW116" i="52"/>
  <c r="AW139" i="52"/>
  <c r="AX140" i="53"/>
  <c r="BK137" i="58"/>
  <c r="AP191" i="55"/>
  <c r="D191" i="55" s="1"/>
  <c r="AP140" i="117"/>
  <c r="D140" i="117" s="1"/>
  <c r="P22" i="120"/>
  <c r="P51" i="120"/>
  <c r="P89" i="120"/>
  <c r="P4" i="120"/>
  <c r="P43" i="120"/>
  <c r="P41" i="120"/>
  <c r="AO139" i="57"/>
  <c r="AP139" i="57" s="1"/>
  <c r="D139" i="57" s="1"/>
  <c r="AO116" i="59"/>
  <c r="S53" i="59"/>
  <c r="F4" i="87"/>
  <c r="G4" i="59"/>
  <c r="S157" i="55"/>
  <c r="M176" i="84"/>
  <c r="M151" i="84"/>
  <c r="S183" i="55"/>
  <c r="DK5" i="16"/>
  <c r="M4" i="59" s="1"/>
  <c r="DJ12" i="16"/>
  <c r="J186" i="59" s="1"/>
  <c r="DM9" i="16"/>
  <c r="S108" i="59" s="1"/>
  <c r="DK7" i="16"/>
  <c r="M56" i="59" s="1"/>
  <c r="DI12" i="16"/>
  <c r="DL9" i="16"/>
  <c r="P108" i="59" s="1"/>
  <c r="DJ7" i="16"/>
  <c r="DM11" i="16"/>
  <c r="S160" i="59" s="1"/>
  <c r="DK9" i="16"/>
  <c r="DI7" i="16"/>
  <c r="DL11" i="16"/>
  <c r="P160" i="59" s="1"/>
  <c r="DJ9" i="16"/>
  <c r="J108" i="59" s="1"/>
  <c r="DL8" i="16"/>
  <c r="P82" i="59" s="1"/>
  <c r="DK11" i="16"/>
  <c r="M160" i="59" s="1"/>
  <c r="DI9" i="16"/>
  <c r="G108" i="59" s="1"/>
  <c r="DJ11" i="16"/>
  <c r="J160" i="59" s="1"/>
  <c r="DM8" i="16"/>
  <c r="S82" i="59" s="1"/>
  <c r="DI11" i="16"/>
  <c r="DK12" i="16"/>
  <c r="M186" i="59" s="1"/>
  <c r="DI10" i="16"/>
  <c r="G134" i="59" s="1"/>
  <c r="DL7" i="16"/>
  <c r="DL10" i="16"/>
  <c r="P134" i="59" s="1"/>
  <c r="DJ10" i="16"/>
  <c r="J134" i="59" s="1"/>
  <c r="DM12" i="16"/>
  <c r="S186" i="59" s="1"/>
  <c r="DK10" i="16"/>
  <c r="M134" i="59" s="1"/>
  <c r="DK8" i="16"/>
  <c r="M82" i="59" s="1"/>
  <c r="DM10" i="16"/>
  <c r="DL12" i="16"/>
  <c r="P186" i="59" s="1"/>
  <c r="DJ8" i="16"/>
  <c r="J82" i="59" s="1"/>
  <c r="DI8" i="16"/>
  <c r="DM7" i="16"/>
  <c r="S56" i="59" s="1"/>
  <c r="BK10" i="53"/>
  <c r="BK14" i="53"/>
  <c r="AM117" i="57"/>
  <c r="AP36" i="59"/>
  <c r="D36" i="59" s="1"/>
  <c r="AP38" i="59"/>
  <c r="D38" i="59" s="1"/>
  <c r="AP59" i="58"/>
  <c r="D59" i="58" s="1"/>
  <c r="BK59" i="57"/>
  <c r="AX63" i="57"/>
  <c r="AP86" i="59"/>
  <c r="D86" i="59" s="1"/>
  <c r="AW142" i="53"/>
  <c r="AW141" i="58"/>
  <c r="AN141" i="58" s="1"/>
  <c r="AP145" i="58"/>
  <c r="D145" i="58" s="1"/>
  <c r="BG190" i="59"/>
  <c r="BG170" i="59"/>
  <c r="AP196" i="117"/>
  <c r="D196" i="117" s="1"/>
  <c r="P20" i="120"/>
  <c r="P11" i="120"/>
  <c r="P45" i="120"/>
  <c r="P36" i="120"/>
  <c r="P44" i="120"/>
  <c r="P10" i="120"/>
  <c r="BG169" i="59"/>
  <c r="AP143" i="59"/>
  <c r="D143" i="59" s="1"/>
  <c r="AP197" i="52"/>
  <c r="D197" i="52" s="1"/>
  <c r="R197" i="52" s="1"/>
  <c r="U197" i="52" s="1"/>
  <c r="AP171" i="52"/>
  <c r="D171" i="52" s="1"/>
  <c r="AP196" i="52"/>
  <c r="D196" i="52" s="1"/>
  <c r="AP170" i="52"/>
  <c r="D170" i="52" s="1"/>
  <c r="AP167" i="52"/>
  <c r="D167" i="52" s="1"/>
  <c r="AX116" i="57"/>
  <c r="AO112" i="57"/>
  <c r="AP112" i="57" s="1"/>
  <c r="D112" i="57" s="1"/>
  <c r="F112" i="57" s="1"/>
  <c r="U112" i="57" s="1"/>
  <c r="AP116" i="57"/>
  <c r="D116" i="57" s="1"/>
  <c r="AX85" i="57"/>
  <c r="AX87" i="57"/>
  <c r="AO93" i="57"/>
  <c r="AP93" i="57" s="1"/>
  <c r="D93" i="57" s="1"/>
  <c r="AW86" i="57"/>
  <c r="AX61" i="57"/>
  <c r="N9" i="97" s="1"/>
  <c r="O9" i="97" s="1"/>
  <c r="AO63" i="57"/>
  <c r="AP63" i="57" s="1"/>
  <c r="AX34" i="57"/>
  <c r="AX33" i="57"/>
  <c r="N10" i="97" s="1"/>
  <c r="O10" i="97" s="1"/>
  <c r="D163" i="55"/>
  <c r="R163" i="55" s="1"/>
  <c r="R172" i="55" s="1"/>
  <c r="U142" i="55"/>
  <c r="AO115" i="55"/>
  <c r="AP115" i="55" s="1"/>
  <c r="D115" i="55" s="1"/>
  <c r="AW114" i="55"/>
  <c r="AN114" i="55" s="1"/>
  <c r="AO118" i="55"/>
  <c r="AP118" i="55" s="1"/>
  <c r="D118" i="55" s="1"/>
  <c r="AO113" i="55"/>
  <c r="AP113" i="55" s="1"/>
  <c r="AP119" i="55"/>
  <c r="D119" i="55" s="1"/>
  <c r="AP116" i="55"/>
  <c r="D116" i="55" s="1"/>
  <c r="AO117" i="55"/>
  <c r="AP117" i="55" s="1"/>
  <c r="D117" i="55" s="1"/>
  <c r="BJ92" i="55"/>
  <c r="AW87" i="55"/>
  <c r="AO86" i="55"/>
  <c r="AP86" i="55" s="1"/>
  <c r="D86" i="55" s="1"/>
  <c r="AO87" i="55"/>
  <c r="D92" i="55"/>
  <c r="AW62" i="55"/>
  <c r="AN62" i="55" s="1"/>
  <c r="AO62" i="55" s="1"/>
  <c r="AP62" i="55" s="1"/>
  <c r="D62" i="55" s="1"/>
  <c r="AO38" i="55"/>
  <c r="AP38" i="55" s="1"/>
  <c r="D38" i="55" s="1"/>
  <c r="AP41" i="55"/>
  <c r="D41" i="55" s="1"/>
  <c r="AP40" i="55"/>
  <c r="D40" i="55" s="1"/>
  <c r="AO15" i="55"/>
  <c r="AP15" i="55" s="1"/>
  <c r="D15" i="55" s="1"/>
  <c r="AP8" i="55"/>
  <c r="D8" i="55" s="1"/>
  <c r="AO11" i="55"/>
  <c r="AP11" i="55" s="1"/>
  <c r="AP195" i="53"/>
  <c r="D195" i="53" s="1"/>
  <c r="L195" i="53" s="1"/>
  <c r="L198" i="53" s="1"/>
  <c r="AP191" i="53"/>
  <c r="D191" i="53" s="1"/>
  <c r="AO85" i="53"/>
  <c r="AP85" i="53" s="1"/>
  <c r="D85" i="53" s="1"/>
  <c r="AN87" i="53"/>
  <c r="AO87" i="53" s="1"/>
  <c r="BF65" i="53"/>
  <c r="BF61" i="53"/>
  <c r="BJ61" i="53"/>
  <c r="AW65" i="53"/>
  <c r="AN65" i="53" s="1"/>
  <c r="BJ65" i="53"/>
  <c r="BK65" i="53"/>
  <c r="AX65" i="53"/>
  <c r="BK59" i="53"/>
  <c r="BF60" i="53"/>
  <c r="BJ34" i="53"/>
  <c r="BF14" i="53"/>
  <c r="AW10" i="53"/>
  <c r="BJ10" i="53"/>
  <c r="AX14" i="53"/>
  <c r="AW14" i="53"/>
  <c r="AN14" i="53" s="1"/>
  <c r="AP194" i="52"/>
  <c r="D194" i="52" s="1"/>
  <c r="AP193" i="52"/>
  <c r="D193" i="52" s="1"/>
  <c r="R193" i="52" s="1"/>
  <c r="AP164" i="52"/>
  <c r="D164" i="52" s="1"/>
  <c r="AP165" i="52"/>
  <c r="D165" i="52" s="1"/>
  <c r="AP168" i="52"/>
  <c r="D168" i="52" s="1"/>
  <c r="AP169" i="52"/>
  <c r="D169" i="52" s="1"/>
  <c r="R169" i="52" s="1"/>
  <c r="AP163" i="52"/>
  <c r="D163" i="52" s="1"/>
  <c r="R163" i="52" s="1"/>
  <c r="U145" i="52"/>
  <c r="BF88" i="52"/>
  <c r="BF89" i="52"/>
  <c r="BJ90" i="52"/>
  <c r="T94" i="52"/>
  <c r="AR95" i="52" s="1"/>
  <c r="U87" i="52"/>
  <c r="U64" i="52"/>
  <c r="AO64" i="52"/>
  <c r="AP64" i="52" s="1"/>
  <c r="D64" i="52" s="1"/>
  <c r="AX34" i="52"/>
  <c r="AX33" i="52"/>
  <c r="U38" i="52"/>
  <c r="AO41" i="52"/>
  <c r="AP41" i="52" s="1"/>
  <c r="D41" i="52" s="1"/>
  <c r="AW38" i="52"/>
  <c r="T16" i="52"/>
  <c r="AR17" i="52" s="1"/>
  <c r="BF14" i="52"/>
  <c r="AO9" i="52"/>
  <c r="AP9" i="52" s="1"/>
  <c r="D9" i="52" s="1"/>
  <c r="AO14" i="52"/>
  <c r="AP14" i="52" s="1"/>
  <c r="D14" i="52" s="1"/>
  <c r="AM13" i="52"/>
  <c r="AO13" i="52" s="1"/>
  <c r="AN11" i="52"/>
  <c r="AO11" i="52" s="1"/>
  <c r="AP11" i="52" s="1"/>
  <c r="D11" i="52" s="1"/>
  <c r="Q179" i="59"/>
  <c r="S166" i="59" s="1"/>
  <c r="Q179" i="57"/>
  <c r="S166" i="57" s="1"/>
  <c r="Q180" i="57"/>
  <c r="S169" i="57" s="1"/>
  <c r="Q178" i="57"/>
  <c r="Q206" i="57"/>
  <c r="S195" i="57" s="1"/>
  <c r="Q204" i="57"/>
  <c r="Q205" i="57"/>
  <c r="S192" i="57" s="1"/>
  <c r="E180" i="59"/>
  <c r="G169" i="59" s="1"/>
  <c r="E179" i="59"/>
  <c r="G166" i="59" s="1"/>
  <c r="E205" i="59"/>
  <c r="G192" i="59" s="1"/>
  <c r="E204" i="59"/>
  <c r="E206" i="59"/>
  <c r="G195" i="59" s="1"/>
  <c r="E178" i="59"/>
  <c r="K179" i="59"/>
  <c r="M166" i="59" s="1"/>
  <c r="Q204" i="59"/>
  <c r="Q180" i="59"/>
  <c r="S169" i="59" s="1"/>
  <c r="Q180" i="58"/>
  <c r="S169" i="58" s="1"/>
  <c r="K180" i="59"/>
  <c r="M169" i="59" s="1"/>
  <c r="Q205" i="59"/>
  <c r="S192" i="59" s="1"/>
  <c r="H205" i="59"/>
  <c r="J192" i="59" s="1"/>
  <c r="Q204" i="58"/>
  <c r="S189" i="58" s="1"/>
  <c r="K178" i="59"/>
  <c r="M163" i="59" s="1"/>
  <c r="H178" i="59"/>
  <c r="J163" i="59" s="1"/>
  <c r="Q206" i="59"/>
  <c r="S195" i="59" s="1"/>
  <c r="H206" i="59"/>
  <c r="J195" i="59" s="1"/>
  <c r="U8" i="52"/>
  <c r="U93" i="58"/>
  <c r="U35" i="58"/>
  <c r="U8" i="58"/>
  <c r="U11" i="58"/>
  <c r="U15" i="58"/>
  <c r="Q206" i="58"/>
  <c r="S195" i="58" s="1"/>
  <c r="H180" i="59"/>
  <c r="J169" i="59" s="1"/>
  <c r="N206" i="59"/>
  <c r="P195" i="59" s="1"/>
  <c r="Q178" i="59"/>
  <c r="N178" i="59"/>
  <c r="N204" i="59"/>
  <c r="K205" i="59"/>
  <c r="M192" i="59" s="1"/>
  <c r="H179" i="59"/>
  <c r="J166" i="59" s="1"/>
  <c r="K206" i="59"/>
  <c r="M195" i="59" s="1"/>
  <c r="N205" i="59"/>
  <c r="P192" i="59" s="1"/>
  <c r="H204" i="59"/>
  <c r="U145" i="55"/>
  <c r="AO145" i="55"/>
  <c r="N206" i="55"/>
  <c r="P195" i="55" s="1"/>
  <c r="N178" i="55"/>
  <c r="N179" i="55"/>
  <c r="N180" i="55"/>
  <c r="P169" i="55" s="1"/>
  <c r="S121" i="117"/>
  <c r="BI15" i="117"/>
  <c r="BI190" i="117"/>
  <c r="BM39" i="117"/>
  <c r="BM168" i="117"/>
  <c r="J43" i="117"/>
  <c r="M121" i="117"/>
  <c r="M147" i="117"/>
  <c r="P147" i="117"/>
  <c r="V120" i="117"/>
  <c r="P121" i="117"/>
  <c r="M199" i="117"/>
  <c r="P173" i="117"/>
  <c r="S43" i="117"/>
  <c r="V16" i="117"/>
  <c r="BM13" i="117"/>
  <c r="S17" i="117"/>
  <c r="V172" i="117"/>
  <c r="J69" i="117"/>
  <c r="BI116" i="117"/>
  <c r="BM114" i="117"/>
  <c r="BI170" i="117"/>
  <c r="BI7" i="117"/>
  <c r="BM7" i="117"/>
  <c r="S69" i="117"/>
  <c r="BM195" i="117"/>
  <c r="BI36" i="117"/>
  <c r="V146" i="117"/>
  <c r="P199" i="117"/>
  <c r="BM34" i="117"/>
  <c r="BM88" i="117"/>
  <c r="BM38" i="117"/>
  <c r="BM117" i="117"/>
  <c r="V198" i="117"/>
  <c r="BM41" i="117"/>
  <c r="BI92" i="117"/>
  <c r="BI62" i="117"/>
  <c r="V42" i="117"/>
  <c r="BM137" i="117"/>
  <c r="BM164" i="117"/>
  <c r="BM37" i="117"/>
  <c r="V94" i="117"/>
  <c r="P69" i="117"/>
  <c r="V85" i="117"/>
  <c r="G95" i="117"/>
  <c r="BI143" i="117"/>
  <c r="BM169" i="117"/>
  <c r="BI34" i="117"/>
  <c r="BM143" i="117"/>
  <c r="BM63" i="117"/>
  <c r="BI117" i="117"/>
  <c r="BM67" i="117"/>
  <c r="BI41" i="117"/>
  <c r="P17" i="117"/>
  <c r="BI169" i="117"/>
  <c r="BM12" i="117"/>
  <c r="BI115" i="117"/>
  <c r="BI118" i="117"/>
  <c r="G43" i="117"/>
  <c r="V33" i="117"/>
  <c r="BI112" i="117"/>
  <c r="BI193" i="117"/>
  <c r="BI65" i="117"/>
  <c r="BM62" i="117"/>
  <c r="V59" i="117"/>
  <c r="G69" i="117"/>
  <c r="BM90" i="117"/>
  <c r="BM59" i="117"/>
  <c r="BM11" i="117"/>
  <c r="G121" i="117"/>
  <c r="V111" i="117"/>
  <c r="BI8" i="117"/>
  <c r="BM170" i="117"/>
  <c r="BM66" i="117"/>
  <c r="BI38" i="117"/>
  <c r="BM165" i="117"/>
  <c r="BM166" i="117"/>
  <c r="S173" i="117"/>
  <c r="BI144" i="117"/>
  <c r="BI40" i="117"/>
  <c r="BI194" i="117"/>
  <c r="BI39" i="117"/>
  <c r="BI85" i="117"/>
  <c r="BM140" i="117"/>
  <c r="BM144" i="117"/>
  <c r="BI90" i="117"/>
  <c r="J173" i="117"/>
  <c r="BI119" i="117"/>
  <c r="BM194" i="117"/>
  <c r="BM139" i="117"/>
  <c r="V68" i="117"/>
  <c r="BM141" i="117"/>
  <c r="V7" i="117"/>
  <c r="G17" i="117"/>
  <c r="J199" i="117"/>
  <c r="BI197" i="117"/>
  <c r="BI64" i="117"/>
  <c r="P43" i="117"/>
  <c r="BM115" i="117"/>
  <c r="BM61" i="117"/>
  <c r="BM190" i="117"/>
  <c r="BI140" i="117"/>
  <c r="BM65" i="117"/>
  <c r="BI167" i="117"/>
  <c r="BI63" i="117"/>
  <c r="BI87" i="117"/>
  <c r="BM196" i="117"/>
  <c r="BM111" i="117"/>
  <c r="BI171" i="117"/>
  <c r="S199" i="117"/>
  <c r="BI196" i="117"/>
  <c r="BI137" i="117"/>
  <c r="BI59" i="117"/>
  <c r="BM142" i="117"/>
  <c r="M69" i="117"/>
  <c r="BI191" i="117"/>
  <c r="M43" i="117"/>
  <c r="BM35" i="117"/>
  <c r="BI114" i="117"/>
  <c r="BI93" i="117"/>
  <c r="BI192" i="117"/>
  <c r="BM89" i="117"/>
  <c r="V163" i="117"/>
  <c r="G173" i="117"/>
  <c r="BI165" i="117"/>
  <c r="BM145" i="117"/>
  <c r="M95" i="117"/>
  <c r="BM197" i="117"/>
  <c r="BM9" i="117"/>
  <c r="BM112" i="117"/>
  <c r="S95" i="117"/>
  <c r="J95" i="117"/>
  <c r="BM171" i="117"/>
  <c r="BM36" i="117"/>
  <c r="BM92" i="117"/>
  <c r="BM189" i="117"/>
  <c r="M17" i="117"/>
  <c r="BI113" i="117"/>
  <c r="BI91" i="117"/>
  <c r="BI168" i="117"/>
  <c r="BM93" i="117"/>
  <c r="BM85" i="117"/>
  <c r="BM14" i="117"/>
  <c r="BI163" i="117"/>
  <c r="BI12" i="117"/>
  <c r="V189" i="117"/>
  <c r="G199" i="117"/>
  <c r="BI10" i="117"/>
  <c r="BI11" i="117"/>
  <c r="BI13" i="117"/>
  <c r="BM116" i="117"/>
  <c r="S147" i="117"/>
  <c r="BM193" i="117"/>
  <c r="BI35" i="117"/>
  <c r="BM86" i="117"/>
  <c r="P95" i="117"/>
  <c r="BI9" i="117"/>
  <c r="BM138" i="117"/>
  <c r="BM113" i="117"/>
  <c r="J17" i="117"/>
  <c r="BI14" i="117"/>
  <c r="BI164" i="117"/>
  <c r="BM10" i="117"/>
  <c r="BM118" i="117"/>
  <c r="BM167" i="117"/>
  <c r="BI86" i="117"/>
  <c r="BI66" i="117"/>
  <c r="BM192" i="117"/>
  <c r="BI67" i="117"/>
  <c r="BI111" i="117"/>
  <c r="J121" i="117"/>
  <c r="BI141" i="117"/>
  <c r="BI88" i="117"/>
  <c r="BI142" i="117"/>
  <c r="M173" i="117"/>
  <c r="BM91" i="117"/>
  <c r="BI60" i="117"/>
  <c r="BM15" i="117"/>
  <c r="BI195" i="117"/>
  <c r="J147" i="117"/>
  <c r="BI139" i="117"/>
  <c r="BM64" i="117"/>
  <c r="BM33" i="117"/>
  <c r="BM119" i="117"/>
  <c r="BM60" i="117"/>
  <c r="V137" i="117"/>
  <c r="G147" i="117"/>
  <c r="BI33" i="117"/>
  <c r="BM87" i="117"/>
  <c r="BM163" i="117"/>
  <c r="BI189" i="117"/>
  <c r="BM40" i="117"/>
  <c r="BM191" i="117"/>
  <c r="BM8" i="117"/>
  <c r="BI145" i="117"/>
  <c r="BI166" i="117"/>
  <c r="BI37" i="117"/>
  <c r="BI138" i="117"/>
  <c r="BI89" i="117"/>
  <c r="BI61" i="117"/>
  <c r="AW95" i="59"/>
  <c r="AO40" i="59"/>
  <c r="AO119" i="59"/>
  <c r="AP119" i="59" s="1"/>
  <c r="AO90" i="59"/>
  <c r="AO41" i="59"/>
  <c r="AP41" i="59" s="1"/>
  <c r="BK33" i="59"/>
  <c r="BL171" i="59" s="1"/>
  <c r="AX37" i="59"/>
  <c r="N31" i="99" s="1"/>
  <c r="O31" i="99" s="1"/>
  <c r="AW60" i="59"/>
  <c r="AW69" i="59" s="1"/>
  <c r="AX65" i="59"/>
  <c r="AO11" i="59"/>
  <c r="AP11" i="59" s="1"/>
  <c r="M79" i="99"/>
  <c r="M87" i="99"/>
  <c r="M95" i="99"/>
  <c r="AW112" i="59"/>
  <c r="AW121" i="59" s="1"/>
  <c r="AO39" i="59"/>
  <c r="AP39" i="59" s="1"/>
  <c r="AO12" i="59"/>
  <c r="AP12" i="59" s="1"/>
  <c r="AO59" i="59"/>
  <c r="D93" i="59"/>
  <c r="T68" i="59"/>
  <c r="AR69" i="59" s="1"/>
  <c r="AO145" i="59"/>
  <c r="AP145" i="59" s="1"/>
  <c r="AO64" i="59"/>
  <c r="AP64" i="59" s="1"/>
  <c r="AO118" i="59"/>
  <c r="AO9" i="59"/>
  <c r="AP9" i="59" s="1"/>
  <c r="M34" i="99"/>
  <c r="M42" i="99"/>
  <c r="M50" i="99"/>
  <c r="M58" i="99"/>
  <c r="M82" i="99"/>
  <c r="M90" i="99"/>
  <c r="M98" i="99"/>
  <c r="AX35" i="59"/>
  <c r="N12" i="99" s="1"/>
  <c r="O12" i="99" s="1"/>
  <c r="AX40" i="59"/>
  <c r="AO15" i="59"/>
  <c r="AX62" i="59"/>
  <c r="AO61" i="59"/>
  <c r="AP61" i="59" s="1"/>
  <c r="AO33" i="59"/>
  <c r="AP33" i="59" s="1"/>
  <c r="M53" i="99"/>
  <c r="BF89" i="58"/>
  <c r="BJ89" i="58"/>
  <c r="AW89" i="58"/>
  <c r="AN89" i="58" s="1"/>
  <c r="AO89" i="58" s="1"/>
  <c r="AP89" i="58" s="1"/>
  <c r="D89" i="58" s="1"/>
  <c r="O89" i="58" s="1"/>
  <c r="BK89" i="58"/>
  <c r="AX89" i="58"/>
  <c r="BK14" i="58"/>
  <c r="AW14" i="58"/>
  <c r="BJ14" i="58"/>
  <c r="BF14" i="58"/>
  <c r="BJ15" i="58"/>
  <c r="AX15" i="58"/>
  <c r="AW15" i="58"/>
  <c r="BK15" i="58"/>
  <c r="BF15" i="58"/>
  <c r="AX85" i="58"/>
  <c r="AW85" i="58"/>
  <c r="BJ85" i="58"/>
  <c r="BF85" i="58"/>
  <c r="BK87" i="58"/>
  <c r="BJ87" i="58"/>
  <c r="AW87" i="58"/>
  <c r="BF87" i="58"/>
  <c r="BJ88" i="58"/>
  <c r="AX88" i="58"/>
  <c r="BF88" i="58"/>
  <c r="AW88" i="58"/>
  <c r="AN88" i="58" s="1"/>
  <c r="AO88" i="58" s="1"/>
  <c r="AP88" i="58" s="1"/>
  <c r="D88" i="58" s="1"/>
  <c r="F88" i="58" s="1"/>
  <c r="U88" i="58" s="1"/>
  <c r="AL12" i="58"/>
  <c r="AN12" i="58"/>
  <c r="AM12" i="58"/>
  <c r="AW13" i="58"/>
  <c r="AN13" i="58" s="1"/>
  <c r="AO13" i="58" s="1"/>
  <c r="AP13" i="58" s="1"/>
  <c r="D13" i="58" s="1"/>
  <c r="R13" i="58" s="1"/>
  <c r="BK13" i="58"/>
  <c r="BJ13" i="58"/>
  <c r="AX67" i="58"/>
  <c r="BJ67" i="58"/>
  <c r="M4" i="98" s="1"/>
  <c r="BF67" i="58"/>
  <c r="AO86" i="58"/>
  <c r="AP86" i="58" s="1"/>
  <c r="AX9" i="58"/>
  <c r="AW9" i="58"/>
  <c r="BF9" i="58"/>
  <c r="BJ9" i="58"/>
  <c r="BK9" i="58"/>
  <c r="AW10" i="58"/>
  <c r="AN10" i="58" s="1"/>
  <c r="AO10" i="58" s="1"/>
  <c r="BJ10" i="58"/>
  <c r="M12" i="98" s="1"/>
  <c r="AX10" i="58"/>
  <c r="BF10" i="58"/>
  <c r="AX35" i="58"/>
  <c r="AW35" i="58"/>
  <c r="BF35" i="58"/>
  <c r="BK35" i="58"/>
  <c r="BF36" i="58"/>
  <c r="BK36" i="58"/>
  <c r="BJ36" i="58"/>
  <c r="AX36" i="58"/>
  <c r="BJ37" i="58"/>
  <c r="M17" i="98" s="1"/>
  <c r="BF37" i="58"/>
  <c r="BK37" i="58"/>
  <c r="AW37" i="58"/>
  <c r="AX37" i="58"/>
  <c r="BJ38" i="58"/>
  <c r="BK38" i="58"/>
  <c r="AW38" i="58"/>
  <c r="BF38" i="58"/>
  <c r="AX38" i="58"/>
  <c r="AX40" i="58"/>
  <c r="BK40" i="58"/>
  <c r="BF40" i="58"/>
  <c r="BJ40" i="58"/>
  <c r="AW40" i="58"/>
  <c r="BJ41" i="58"/>
  <c r="AX41" i="58"/>
  <c r="AW41" i="58"/>
  <c r="BK41" i="58"/>
  <c r="AX60" i="58"/>
  <c r="BF60" i="58"/>
  <c r="BK60" i="58"/>
  <c r="AW60" i="58"/>
  <c r="AN60" i="58" s="1"/>
  <c r="BJ60" i="58"/>
  <c r="BK61" i="58"/>
  <c r="AX61" i="58"/>
  <c r="BJ61" i="58"/>
  <c r="AW61" i="58"/>
  <c r="AN61" i="58" s="1"/>
  <c r="AO61" i="58" s="1"/>
  <c r="AP61" i="58" s="1"/>
  <c r="D61" i="58" s="1"/>
  <c r="R61" i="58" s="1"/>
  <c r="U61" i="58" s="1"/>
  <c r="BK62" i="58"/>
  <c r="AX62" i="58"/>
  <c r="BF62" i="58"/>
  <c r="AW62" i="58"/>
  <c r="AN62" i="58" s="1"/>
  <c r="AO62" i="58" s="1"/>
  <c r="AP62" i="58" s="1"/>
  <c r="D62" i="58" s="1"/>
  <c r="F62" i="58" s="1"/>
  <c r="U62" i="58" s="1"/>
  <c r="BJ62" i="58"/>
  <c r="BJ63" i="58"/>
  <c r="AW63" i="58"/>
  <c r="AN63" i="58" s="1"/>
  <c r="AO63" i="58" s="1"/>
  <c r="AP63" i="58" s="1"/>
  <c r="D63" i="58" s="1"/>
  <c r="R63" i="58" s="1"/>
  <c r="BK63" i="58"/>
  <c r="BF63" i="58"/>
  <c r="AX63" i="58"/>
  <c r="BF65" i="58"/>
  <c r="BJ65" i="58"/>
  <c r="BK65" i="58"/>
  <c r="AW65" i="58"/>
  <c r="AN65" i="58" s="1"/>
  <c r="BF66" i="58"/>
  <c r="BJ66" i="58"/>
  <c r="BK66" i="58"/>
  <c r="AW66" i="58"/>
  <c r="AN66" i="58" s="1"/>
  <c r="AO66" i="58" s="1"/>
  <c r="AP66" i="58" s="1"/>
  <c r="D66" i="58" s="1"/>
  <c r="R66" i="58" s="1"/>
  <c r="N22" i="98"/>
  <c r="M11" i="98"/>
  <c r="AN7" i="58"/>
  <c r="AM7" i="58"/>
  <c r="AX8" i="58"/>
  <c r="N11" i="98" s="1"/>
  <c r="O11" i="98" s="1"/>
  <c r="AW8" i="58"/>
  <c r="BJ8" i="58"/>
  <c r="M25" i="98" s="1"/>
  <c r="BK8" i="58"/>
  <c r="BF8" i="58"/>
  <c r="U67" i="58"/>
  <c r="R68" i="58"/>
  <c r="AL34" i="58"/>
  <c r="AN34" i="58"/>
  <c r="AM34" i="58"/>
  <c r="D119" i="58"/>
  <c r="U113" i="58"/>
  <c r="BF91" i="58"/>
  <c r="BK91" i="58"/>
  <c r="AW91" i="58"/>
  <c r="AN91" i="58" s="1"/>
  <c r="AO91" i="58" s="1"/>
  <c r="AP91" i="58" s="1"/>
  <c r="D91" i="58" s="1"/>
  <c r="AL93" i="58"/>
  <c r="AM93" i="58"/>
  <c r="AO93" i="58" s="1"/>
  <c r="BF111" i="58"/>
  <c r="AX111" i="58"/>
  <c r="BK111" i="58"/>
  <c r="AW111" i="58"/>
  <c r="BK112" i="58"/>
  <c r="BJ112" i="58"/>
  <c r="AX112" i="58"/>
  <c r="BF112" i="58"/>
  <c r="AW112" i="58"/>
  <c r="AN112" i="58" s="1"/>
  <c r="AW114" i="58"/>
  <c r="AN114" i="58" s="1"/>
  <c r="BK114" i="58"/>
  <c r="BJ114" i="58"/>
  <c r="BF114" i="58"/>
  <c r="AX115" i="58"/>
  <c r="BJ115" i="58"/>
  <c r="BK115" i="58"/>
  <c r="AW115" i="58"/>
  <c r="AN115" i="58" s="1"/>
  <c r="BK116" i="58"/>
  <c r="AW116" i="58"/>
  <c r="BF116" i="58"/>
  <c r="BJ116" i="58"/>
  <c r="BJ117" i="58"/>
  <c r="BF117" i="58"/>
  <c r="AW117" i="58"/>
  <c r="AN117" i="58" s="1"/>
  <c r="AO117" i="58" s="1"/>
  <c r="AP117" i="58" s="1"/>
  <c r="D117" i="58" s="1"/>
  <c r="AO112" i="58"/>
  <c r="AP112" i="58" s="1"/>
  <c r="BF90" i="58"/>
  <c r="BK90" i="58"/>
  <c r="AW90" i="58"/>
  <c r="AN90" i="58" s="1"/>
  <c r="AO115" i="58"/>
  <c r="AP115" i="58" s="1"/>
  <c r="AO87" i="58"/>
  <c r="AP87" i="58" s="1"/>
  <c r="BF137" i="58"/>
  <c r="D118" i="58"/>
  <c r="R118" i="58" s="1"/>
  <c r="U118" i="58" s="1"/>
  <c r="AX137" i="58"/>
  <c r="BJ137" i="58"/>
  <c r="AO15" i="58"/>
  <c r="AP15" i="58" s="1"/>
  <c r="AO65" i="58"/>
  <c r="AP65" i="58" s="1"/>
  <c r="AO139" i="58"/>
  <c r="AP139" i="58" s="1"/>
  <c r="AO60" i="58"/>
  <c r="AP60" i="58" s="1"/>
  <c r="AO116" i="58"/>
  <c r="AP116" i="58" s="1"/>
  <c r="AO141" i="58"/>
  <c r="AX91" i="58"/>
  <c r="AX117" i="58"/>
  <c r="AO36" i="58"/>
  <c r="AP36" i="58" s="1"/>
  <c r="AX116" i="58"/>
  <c r="AW137" i="58"/>
  <c r="AN137" i="58" s="1"/>
  <c r="AO137" i="58" s="1"/>
  <c r="AP137" i="58" s="1"/>
  <c r="U12" i="58"/>
  <c r="AX138" i="58"/>
  <c r="AO90" i="58"/>
  <c r="AP90" i="58" s="1"/>
  <c r="AO138" i="58"/>
  <c r="AM7" i="57"/>
  <c r="AM14" i="57"/>
  <c r="AO14" i="57" s="1"/>
  <c r="AM65" i="57"/>
  <c r="AO65" i="57" s="1"/>
  <c r="AM61" i="57"/>
  <c r="AM91" i="57"/>
  <c r="BK91" i="57"/>
  <c r="AM9" i="57"/>
  <c r="AO9" i="57" s="1"/>
  <c r="AM13" i="57"/>
  <c r="AO13" i="57" s="1"/>
  <c r="AM111" i="57"/>
  <c r="BK111" i="57"/>
  <c r="AO141" i="57"/>
  <c r="AP141" i="57" s="1"/>
  <c r="AX140" i="57"/>
  <c r="BJ8" i="57"/>
  <c r="M4" i="97" s="1"/>
  <c r="AX114" i="57"/>
  <c r="N22" i="97" s="1"/>
  <c r="AX119" i="57"/>
  <c r="AL86" i="57"/>
  <c r="AX64" i="57"/>
  <c r="AX89" i="57"/>
  <c r="AX112" i="57"/>
  <c r="AX62" i="57"/>
  <c r="N20" i="97" s="1"/>
  <c r="AM36" i="55"/>
  <c r="BK36" i="55"/>
  <c r="AM65" i="55"/>
  <c r="AM61" i="55"/>
  <c r="AO111" i="55"/>
  <c r="AP111" i="55" s="1"/>
  <c r="BJ7" i="55"/>
  <c r="M9" i="96" s="1"/>
  <c r="BK8" i="55"/>
  <c r="AX36" i="55"/>
  <c r="BF59" i="55"/>
  <c r="AX67" i="55"/>
  <c r="N15" i="96" s="1"/>
  <c r="O15" i="96" s="1"/>
  <c r="AX112" i="55"/>
  <c r="AO93" i="55"/>
  <c r="AW7" i="55"/>
  <c r="AW34" i="55"/>
  <c r="AW66" i="55"/>
  <c r="AX111" i="55"/>
  <c r="BF116" i="55"/>
  <c r="AX118" i="55"/>
  <c r="AX11" i="55"/>
  <c r="AX62" i="55"/>
  <c r="AW64" i="55"/>
  <c r="BF65" i="55"/>
  <c r="AX91" i="55"/>
  <c r="BF117" i="55"/>
  <c r="BJ10" i="55"/>
  <c r="AX63" i="55"/>
  <c r="BJ66" i="55"/>
  <c r="M18" i="96" s="1"/>
  <c r="AW138" i="55"/>
  <c r="AX40" i="55"/>
  <c r="AX60" i="55"/>
  <c r="AW113" i="55"/>
  <c r="AX137" i="55"/>
  <c r="N31" i="96" s="1"/>
  <c r="O31" i="96" s="1"/>
  <c r="BJ15" i="55"/>
  <c r="M10" i="96" s="1"/>
  <c r="U15" i="55"/>
  <c r="AX33" i="55"/>
  <c r="AX35" i="55"/>
  <c r="BJ37" i="55"/>
  <c r="AW141" i="55"/>
  <c r="AN141" i="55" s="1"/>
  <c r="AO141" i="55" s="1"/>
  <c r="AM35" i="53"/>
  <c r="AO35" i="53" s="1"/>
  <c r="AP35" i="53" s="1"/>
  <c r="AM39" i="53"/>
  <c r="AO39" i="53" s="1"/>
  <c r="AM65" i="53"/>
  <c r="AM60" i="53"/>
  <c r="AO60" i="53" s="1"/>
  <c r="AP60" i="53" s="1"/>
  <c r="AM37" i="53"/>
  <c r="BK36" i="53"/>
  <c r="AW61" i="53"/>
  <c r="AX113" i="53"/>
  <c r="AM40" i="53"/>
  <c r="BJ11" i="53"/>
  <c r="M16" i="95" s="1"/>
  <c r="AW137" i="53"/>
  <c r="AN137" i="53" s="1"/>
  <c r="AO137" i="53" s="1"/>
  <c r="AP137" i="53" s="1"/>
  <c r="D137" i="53" s="1"/>
  <c r="L137" i="53" s="1"/>
  <c r="AL38" i="53"/>
  <c r="AP38" i="53" s="1"/>
  <c r="D38" i="53" s="1"/>
  <c r="AX39" i="53"/>
  <c r="AO93" i="53"/>
  <c r="U87" i="53"/>
  <c r="AM88" i="53"/>
  <c r="U90" i="53"/>
  <c r="AX67" i="53"/>
  <c r="AX41" i="53"/>
  <c r="AX139" i="53"/>
  <c r="U142" i="52"/>
  <c r="U139" i="52"/>
  <c r="M7" i="99"/>
  <c r="M26" i="96"/>
  <c r="M103" i="99"/>
  <c r="M23" i="99"/>
  <c r="M28" i="97"/>
  <c r="M71" i="99"/>
  <c r="M63" i="99"/>
  <c r="M55" i="99"/>
  <c r="M15" i="99"/>
  <c r="M2" i="99"/>
  <c r="M66" i="99"/>
  <c r="N10" i="99"/>
  <c r="O10" i="99" s="1"/>
  <c r="M18" i="99"/>
  <c r="Q102" i="53"/>
  <c r="Q128" i="58"/>
  <c r="N75" i="53"/>
  <c r="K101" i="59"/>
  <c r="M88" i="59" s="1"/>
  <c r="K76" i="58"/>
  <c r="E127" i="58"/>
  <c r="H22" i="59"/>
  <c r="J7" i="59" s="1"/>
  <c r="N74" i="59"/>
  <c r="P59" i="59" s="1"/>
  <c r="H126" i="59"/>
  <c r="J111" i="59" s="1"/>
  <c r="Q154" i="59"/>
  <c r="S143" i="59" s="1"/>
  <c r="AW199" i="52"/>
  <c r="AW144" i="52"/>
  <c r="AM88" i="52"/>
  <c r="BK88" i="52"/>
  <c r="AL40" i="52"/>
  <c r="AW143" i="52"/>
  <c r="AN143" i="52" s="1"/>
  <c r="AO143" i="52" s="1"/>
  <c r="AO12" i="52"/>
  <c r="BK138" i="52"/>
  <c r="BK139" i="52"/>
  <c r="BJ14" i="52"/>
  <c r="AX36" i="52"/>
  <c r="AX37" i="52"/>
  <c r="AX62" i="52"/>
  <c r="AW90" i="52"/>
  <c r="BK137" i="52"/>
  <c r="BK13" i="52"/>
  <c r="BJ9" i="52"/>
  <c r="BF144" i="52"/>
  <c r="BJ34" i="52"/>
  <c r="BK38" i="52"/>
  <c r="BJ86" i="52"/>
  <c r="BF117" i="52"/>
  <c r="AW15" i="52"/>
  <c r="BF38" i="52"/>
  <c r="BF63" i="52"/>
  <c r="BF113" i="52"/>
  <c r="BJ137" i="52"/>
  <c r="AX137" i="52"/>
  <c r="AM35" i="52"/>
  <c r="AX138" i="52"/>
  <c r="AW67" i="52"/>
  <c r="AW93" i="52"/>
  <c r="AW89" i="52"/>
  <c r="AW14" i="52"/>
  <c r="AW37" i="52"/>
  <c r="AN33" i="52" s="1"/>
  <c r="AW62" i="52"/>
  <c r="AX63" i="52"/>
  <c r="AX89" i="52"/>
  <c r="BK41" i="52"/>
  <c r="BF143" i="52"/>
  <c r="AX9" i="52"/>
  <c r="BJ15" i="52"/>
  <c r="BK34" i="52"/>
  <c r="BK62" i="52"/>
  <c r="BK86" i="52"/>
  <c r="BJ113" i="52"/>
  <c r="BJ11" i="52"/>
  <c r="BF15" i="52"/>
  <c r="BJ41" i="52"/>
  <c r="BJ59" i="52"/>
  <c r="BF90" i="52"/>
  <c r="BJ116" i="52"/>
  <c r="BJ144" i="52"/>
  <c r="AX67" i="52"/>
  <c r="AM34" i="52"/>
  <c r="BJ112" i="52"/>
  <c r="AW59" i="52"/>
  <c r="AW64" i="52"/>
  <c r="AW85" i="52"/>
  <c r="AW10" i="52"/>
  <c r="AN10" i="52" s="1"/>
  <c r="AN35" i="52"/>
  <c r="BF64" i="52"/>
  <c r="AX86" i="52"/>
  <c r="AX112" i="52"/>
  <c r="N24" i="88" s="1"/>
  <c r="BK143" i="52"/>
  <c r="BF13" i="52"/>
  <c r="BF41" i="52"/>
  <c r="BJ37" i="52"/>
  <c r="BJ60" i="52"/>
  <c r="BF85" i="52"/>
  <c r="BK112" i="52"/>
  <c r="AX11" i="52"/>
  <c r="BJ38" i="52"/>
  <c r="BJ93" i="52"/>
  <c r="BK89" i="52"/>
  <c r="BK118" i="52"/>
  <c r="BF139" i="52"/>
  <c r="AM62" i="52"/>
  <c r="U144" i="52"/>
  <c r="AM40" i="52"/>
  <c r="AN142" i="52"/>
  <c r="AM91" i="52"/>
  <c r="AM60" i="52"/>
  <c r="AM39" i="52"/>
  <c r="AM37" i="52"/>
  <c r="AM112" i="52"/>
  <c r="BF67" i="52"/>
  <c r="BJ140" i="52"/>
  <c r="AN115" i="52"/>
  <c r="BJ10" i="52"/>
  <c r="AX59" i="52"/>
  <c r="AW86" i="52"/>
  <c r="AN86" i="52" s="1"/>
  <c r="AX116" i="52"/>
  <c r="BJ63" i="52"/>
  <c r="AX13" i="52"/>
  <c r="BJ88" i="52"/>
  <c r="BK36" i="52"/>
  <c r="BK113" i="52"/>
  <c r="BF11" i="52"/>
  <c r="BF37" i="52"/>
  <c r="AM115" i="52"/>
  <c r="AM114" i="52"/>
  <c r="AW88" i="52"/>
  <c r="AO141" i="52"/>
  <c r="AM111" i="52"/>
  <c r="AM36" i="52"/>
  <c r="AM142" i="52"/>
  <c r="AM92" i="52"/>
  <c r="BF140" i="52"/>
  <c r="AW60" i="52"/>
  <c r="AN60" i="52" s="1"/>
  <c r="BK10" i="52"/>
  <c r="AX64" i="52"/>
  <c r="BJ139" i="52"/>
  <c r="BJ89" i="52"/>
  <c r="BJ85" i="52"/>
  <c r="BK9" i="52"/>
  <c r="BK93" i="52"/>
  <c r="BF33" i="52"/>
  <c r="BF59" i="52"/>
  <c r="BJ33" i="52"/>
  <c r="M17" i="88" s="1"/>
  <c r="BF34" i="52"/>
  <c r="BF118" i="52"/>
  <c r="BJ138" i="52"/>
  <c r="AX90" i="52"/>
  <c r="AX118" i="52"/>
  <c r="AX93" i="52"/>
  <c r="BK14" i="52"/>
  <c r="AM85" i="52"/>
  <c r="N10" i="88"/>
  <c r="AN114" i="52"/>
  <c r="AO38" i="52"/>
  <c r="AP38" i="52" s="1"/>
  <c r="D38" i="52" s="1"/>
  <c r="AO15" i="52"/>
  <c r="AN92" i="52"/>
  <c r="AM33" i="52"/>
  <c r="BK117" i="52"/>
  <c r="AM65" i="52"/>
  <c r="N8" i="88"/>
  <c r="AM118" i="52"/>
  <c r="AO118" i="52" s="1"/>
  <c r="AX117" i="52"/>
  <c r="AW36" i="52"/>
  <c r="AN40" i="52" s="1"/>
  <c r="AW63" i="52"/>
  <c r="AN63" i="52" s="1"/>
  <c r="AX60" i="52"/>
  <c r="AW117" i="52"/>
  <c r="AW121" i="52" s="1"/>
  <c r="BF9" i="52"/>
  <c r="AM63" i="52"/>
  <c r="AM116" i="52"/>
  <c r="AM117" i="52"/>
  <c r="D145" i="52"/>
  <c r="BK64" i="52"/>
  <c r="AX113" i="52"/>
  <c r="AW140" i="52"/>
  <c r="AN140" i="52" s="1"/>
  <c r="AW142" i="52"/>
  <c r="AO138" i="52"/>
  <c r="U67" i="52"/>
  <c r="AX65" i="52"/>
  <c r="AO139" i="52"/>
  <c r="AX143" i="52"/>
  <c r="U9" i="52"/>
  <c r="AW138" i="52"/>
  <c r="B78" i="116"/>
  <c r="B102" i="116"/>
  <c r="N46" i="58"/>
  <c r="Q100" i="53"/>
  <c r="Q46" i="58"/>
  <c r="H100" i="58"/>
  <c r="H150" i="55"/>
  <c r="Q126" i="58"/>
  <c r="DR22" i="16"/>
  <c r="CX22" i="16"/>
  <c r="CX6" i="16"/>
  <c r="F29" i="86"/>
  <c r="H4" i="86"/>
  <c r="CD22" i="16"/>
  <c r="K152" i="57"/>
  <c r="E152" i="59"/>
  <c r="G137" i="59" s="1"/>
  <c r="H23" i="59"/>
  <c r="J10" i="59" s="1"/>
  <c r="J54" i="85"/>
  <c r="Q50" i="58"/>
  <c r="H101" i="59"/>
  <c r="J88" i="59" s="1"/>
  <c r="H100" i="59"/>
  <c r="E152" i="58"/>
  <c r="H29" i="85"/>
  <c r="E20" i="58"/>
  <c r="E101" i="59"/>
  <c r="G88" i="59" s="1"/>
  <c r="N128" i="59"/>
  <c r="P117" i="59" s="1"/>
  <c r="N127" i="59"/>
  <c r="P114" i="59" s="1"/>
  <c r="E98" i="59"/>
  <c r="K48" i="59"/>
  <c r="M33" i="59" s="1"/>
  <c r="H101" i="58"/>
  <c r="E150" i="57"/>
  <c r="N49" i="58"/>
  <c r="K49" i="59"/>
  <c r="M36" i="59" s="1"/>
  <c r="K50" i="59"/>
  <c r="M39" i="59" s="1"/>
  <c r="Q124" i="58"/>
  <c r="K98" i="57"/>
  <c r="Q98" i="53"/>
  <c r="N126" i="59"/>
  <c r="P111" i="59" s="1"/>
  <c r="E72" i="55"/>
  <c r="Q127" i="58"/>
  <c r="K150" i="53"/>
  <c r="E100" i="59"/>
  <c r="G85" i="59" s="1"/>
  <c r="E102" i="59"/>
  <c r="G91" i="59" s="1"/>
  <c r="H102" i="58"/>
  <c r="F4" i="85"/>
  <c r="E124" i="53"/>
  <c r="H102" i="59"/>
  <c r="K150" i="55"/>
  <c r="H150" i="57"/>
  <c r="Q98" i="55"/>
  <c r="N150" i="53"/>
  <c r="Q49" i="58"/>
  <c r="E72" i="57"/>
  <c r="Q128" i="59"/>
  <c r="S117" i="59" s="1"/>
  <c r="Q126" i="59"/>
  <c r="S111" i="59" s="1"/>
  <c r="N50" i="59"/>
  <c r="P39" i="59" s="1"/>
  <c r="E20" i="59"/>
  <c r="Q48" i="58"/>
  <c r="E23" i="58"/>
  <c r="E23" i="59"/>
  <c r="G10" i="59" s="1"/>
  <c r="K72" i="53"/>
  <c r="E24" i="59"/>
  <c r="G13" i="59" s="1"/>
  <c r="N48" i="59"/>
  <c r="P33" i="59" s="1"/>
  <c r="E154" i="58"/>
  <c r="N49" i="59"/>
  <c r="N46" i="59"/>
  <c r="Q127" i="59"/>
  <c r="S114" i="59" s="1"/>
  <c r="Q124" i="59"/>
  <c r="E153" i="58"/>
  <c r="E22" i="59"/>
  <c r="N29" i="45"/>
  <c r="K128" i="59"/>
  <c r="Q48" i="59"/>
  <c r="S33" i="59" s="1"/>
  <c r="Q46" i="59"/>
  <c r="H74" i="57"/>
  <c r="E124" i="55"/>
  <c r="H75" i="57"/>
  <c r="H50" i="59"/>
  <c r="K150" i="58"/>
  <c r="E74" i="59"/>
  <c r="G59" i="59" s="1"/>
  <c r="K24" i="59"/>
  <c r="M13" i="59" s="1"/>
  <c r="K20" i="58"/>
  <c r="K72" i="57"/>
  <c r="K23" i="58"/>
  <c r="K22" i="59"/>
  <c r="M7" i="59" s="1"/>
  <c r="N101" i="59"/>
  <c r="P88" i="59" s="1"/>
  <c r="K22" i="58"/>
  <c r="N102" i="59"/>
  <c r="P91" i="59" s="1"/>
  <c r="E76" i="59"/>
  <c r="G65" i="59" s="1"/>
  <c r="K23" i="59"/>
  <c r="N98" i="59"/>
  <c r="H154" i="59"/>
  <c r="J143" i="59" s="1"/>
  <c r="Q102" i="58"/>
  <c r="S91" i="58" s="1"/>
  <c r="H150" i="59"/>
  <c r="E75" i="59"/>
  <c r="G62" i="59" s="1"/>
  <c r="H72" i="58"/>
  <c r="N100" i="59"/>
  <c r="P85" i="59" s="1"/>
  <c r="Q100" i="58"/>
  <c r="K24" i="58"/>
  <c r="Q74" i="53"/>
  <c r="Q101" i="58"/>
  <c r="H153" i="59"/>
  <c r="J140" i="59" s="1"/>
  <c r="H127" i="59"/>
  <c r="J114" i="59" s="1"/>
  <c r="Q72" i="58"/>
  <c r="N153" i="59"/>
  <c r="E128" i="59"/>
  <c r="E126" i="59"/>
  <c r="G111" i="59" s="1"/>
  <c r="E127" i="59"/>
  <c r="G114" i="59" s="1"/>
  <c r="N152" i="59"/>
  <c r="P137" i="59" s="1"/>
  <c r="N154" i="59"/>
  <c r="K126" i="59"/>
  <c r="M111" i="59" s="1"/>
  <c r="K127" i="59"/>
  <c r="K124" i="58"/>
  <c r="Q124" i="55"/>
  <c r="N72" i="59"/>
  <c r="H124" i="59"/>
  <c r="K46" i="57"/>
  <c r="N75" i="59"/>
  <c r="P62" i="59" s="1"/>
  <c r="E46" i="59"/>
  <c r="H128" i="59"/>
  <c r="J117" i="59" s="1"/>
  <c r="H50" i="58"/>
  <c r="E98" i="57"/>
  <c r="Q46" i="53"/>
  <c r="H48" i="58"/>
  <c r="N46" i="55"/>
  <c r="N76" i="59"/>
  <c r="Q150" i="59"/>
  <c r="H98" i="55"/>
  <c r="Q153" i="59"/>
  <c r="S140" i="59" s="1"/>
  <c r="Q152" i="59"/>
  <c r="E101" i="57"/>
  <c r="Q49" i="53"/>
  <c r="E50" i="59"/>
  <c r="Q76" i="58"/>
  <c r="K98" i="53"/>
  <c r="H49" i="58"/>
  <c r="E49" i="59"/>
  <c r="N72" i="55"/>
  <c r="E72" i="59"/>
  <c r="H152" i="59"/>
  <c r="J137" i="59" s="1"/>
  <c r="K100" i="59"/>
  <c r="E153" i="59"/>
  <c r="E20" i="57"/>
  <c r="H124" i="53"/>
  <c r="N150" i="55"/>
  <c r="Q150" i="53"/>
  <c r="H24" i="59"/>
  <c r="K98" i="59"/>
  <c r="N98" i="58"/>
  <c r="E154" i="59"/>
  <c r="H20" i="58"/>
  <c r="N20" i="53"/>
  <c r="N72" i="53"/>
  <c r="H20" i="59"/>
  <c r="E46" i="53"/>
  <c r="E72" i="58"/>
  <c r="Q49" i="59"/>
  <c r="S36" i="59" s="1"/>
  <c r="Q50" i="59"/>
  <c r="K102" i="59"/>
  <c r="M91" i="59" s="1"/>
  <c r="N22" i="53"/>
  <c r="Q24" i="59"/>
  <c r="K76" i="59"/>
  <c r="Q20" i="52"/>
  <c r="H72" i="52"/>
  <c r="Q23" i="59"/>
  <c r="S10" i="59" s="1"/>
  <c r="Q22" i="59"/>
  <c r="E49" i="58"/>
  <c r="Q24" i="58"/>
  <c r="S13" i="58" s="1"/>
  <c r="K46" i="55"/>
  <c r="E20" i="53"/>
  <c r="H46" i="57"/>
  <c r="E98" i="55"/>
  <c r="E46" i="58"/>
  <c r="K72" i="59"/>
  <c r="Q154" i="58"/>
  <c r="Q98" i="52"/>
  <c r="K75" i="59"/>
  <c r="K74" i="59"/>
  <c r="E46" i="52"/>
  <c r="Q20" i="55"/>
  <c r="K98" i="55"/>
  <c r="Q124" i="57"/>
  <c r="H98" i="57"/>
  <c r="N126" i="58"/>
  <c r="Q74" i="59"/>
  <c r="Q76" i="59"/>
  <c r="S65" i="59" s="1"/>
  <c r="H49" i="59"/>
  <c r="J36" i="59" s="1"/>
  <c r="N128" i="58"/>
  <c r="N127" i="58"/>
  <c r="K46" i="58"/>
  <c r="H48" i="59"/>
  <c r="J33" i="59" s="1"/>
  <c r="E72" i="53"/>
  <c r="E98" i="58"/>
  <c r="Q75" i="59"/>
  <c r="Q46" i="55"/>
  <c r="N72" i="52"/>
  <c r="Q150" i="52"/>
  <c r="H150" i="53"/>
  <c r="H46" i="59"/>
  <c r="N152" i="58"/>
  <c r="H75" i="59"/>
  <c r="K153" i="59"/>
  <c r="M140" i="59" s="1"/>
  <c r="H150" i="52"/>
  <c r="Q100" i="59"/>
  <c r="H124" i="57"/>
  <c r="K72" i="58"/>
  <c r="N20" i="59"/>
  <c r="E128" i="58"/>
  <c r="N22" i="59"/>
  <c r="Q102" i="59"/>
  <c r="S91" i="59" s="1"/>
  <c r="K20" i="52"/>
  <c r="K74" i="58"/>
  <c r="H72" i="59"/>
  <c r="K152" i="59"/>
  <c r="E124" i="58"/>
  <c r="K75" i="58"/>
  <c r="N20" i="52"/>
  <c r="Q72" i="55"/>
  <c r="K154" i="59"/>
  <c r="M143" i="59" s="1"/>
  <c r="N24" i="59"/>
  <c r="E126" i="58"/>
  <c r="K46" i="53"/>
  <c r="Q101" i="59"/>
  <c r="S88" i="59" s="1"/>
  <c r="H76" i="59"/>
  <c r="N23" i="58"/>
  <c r="K124" i="55"/>
  <c r="N153" i="58"/>
  <c r="N23" i="59"/>
  <c r="N154" i="58"/>
  <c r="N72" i="57"/>
  <c r="H4" i="45"/>
  <c r="E77" i="87"/>
  <c r="BJ6" i="16"/>
  <c r="E77" i="45"/>
  <c r="E52" i="45"/>
  <c r="G132" i="53"/>
  <c r="E102" i="45"/>
  <c r="F79" i="84"/>
  <c r="H29" i="86"/>
  <c r="A3" i="69"/>
  <c r="E52" i="87"/>
  <c r="N54" i="41"/>
  <c r="G28" i="53"/>
  <c r="E127" i="45"/>
  <c r="J4" i="86"/>
  <c r="G80" i="59"/>
  <c r="E27" i="87"/>
  <c r="G2" i="53"/>
  <c r="L4" i="45"/>
  <c r="E102" i="87"/>
  <c r="E2" i="45"/>
  <c r="E8" i="90" s="1"/>
  <c r="H54" i="85"/>
  <c r="G28" i="59"/>
  <c r="H20" i="52"/>
  <c r="E27" i="45"/>
  <c r="J4" i="41"/>
  <c r="E2" i="87"/>
  <c r="E8" i="94" s="1"/>
  <c r="CD5" i="16"/>
  <c r="G132" i="59"/>
  <c r="G106" i="59"/>
  <c r="L29" i="41"/>
  <c r="G54" i="53"/>
  <c r="H4" i="85"/>
  <c r="N104" i="85"/>
  <c r="A2" i="68"/>
  <c r="E27" i="41"/>
  <c r="E2" i="41"/>
  <c r="E8" i="89" s="1"/>
  <c r="N29" i="86"/>
  <c r="F4" i="86"/>
  <c r="L29" i="87"/>
  <c r="G80" i="52"/>
  <c r="L29" i="85"/>
  <c r="V5" i="16"/>
  <c r="L54" i="84"/>
  <c r="G106" i="52"/>
  <c r="N4" i="86"/>
  <c r="L4" i="86"/>
  <c r="E52" i="41"/>
  <c r="G28" i="55"/>
  <c r="BW13" i="16"/>
  <c r="H4" i="41"/>
  <c r="E102" i="41"/>
  <c r="E77" i="41"/>
  <c r="G28" i="52"/>
  <c r="CX5" i="16"/>
  <c r="J29" i="45"/>
  <c r="A3" i="60"/>
  <c r="E77" i="84"/>
  <c r="E127" i="41"/>
  <c r="AP6" i="16"/>
  <c r="G33" i="59"/>
  <c r="J4" i="87"/>
  <c r="J54" i="45"/>
  <c r="J59" i="59"/>
  <c r="A3" i="68"/>
  <c r="N1" i="68"/>
  <c r="L29" i="84"/>
  <c r="A2" i="75"/>
  <c r="J29" i="87"/>
  <c r="AN62" i="57"/>
  <c r="AO62" i="57" s="1"/>
  <c r="AR95" i="55"/>
  <c r="M119" i="85"/>
  <c r="M120" i="85" s="1"/>
  <c r="E119" i="85"/>
  <c r="E120" i="85" s="1"/>
  <c r="B103" i="85"/>
  <c r="L104" i="85"/>
  <c r="K153" i="53"/>
  <c r="L63" i="53"/>
  <c r="AN61" i="57"/>
  <c r="BC13" i="16"/>
  <c r="AO114" i="58"/>
  <c r="AP114" i="58" s="1"/>
  <c r="AR147" i="55"/>
  <c r="AO66" i="59"/>
  <c r="AP66" i="59" s="1"/>
  <c r="AO139" i="59"/>
  <c r="AP139" i="59" s="1"/>
  <c r="J29" i="84"/>
  <c r="Q101" i="53"/>
  <c r="AM13" i="55"/>
  <c r="AO13" i="55" s="1"/>
  <c r="U119" i="53"/>
  <c r="AV63" i="55"/>
  <c r="AM63" i="55" s="1"/>
  <c r="U119" i="52"/>
  <c r="U9" i="53"/>
  <c r="AX40" i="52"/>
  <c r="AL143" i="52"/>
  <c r="U61" i="53"/>
  <c r="AV85" i="55"/>
  <c r="T120" i="55"/>
  <c r="AM144" i="55"/>
  <c r="AO144" i="55" s="1"/>
  <c r="AL59" i="55"/>
  <c r="AX41" i="52"/>
  <c r="U14" i="52"/>
  <c r="Q74" i="52"/>
  <c r="Q75" i="52"/>
  <c r="E50" i="57"/>
  <c r="Q22" i="55"/>
  <c r="N101" i="57"/>
  <c r="E48" i="57"/>
  <c r="I66" i="57"/>
  <c r="O66" i="57"/>
  <c r="N102" i="57" s="1"/>
  <c r="I8" i="57"/>
  <c r="L13" i="53"/>
  <c r="O13" i="53"/>
  <c r="R13" i="53"/>
  <c r="F13" i="53"/>
  <c r="I13" i="53"/>
  <c r="K127" i="53"/>
  <c r="K126" i="53"/>
  <c r="Q48" i="53"/>
  <c r="F91" i="53"/>
  <c r="E24" i="53" s="1"/>
  <c r="AN85" i="58" l="1"/>
  <c r="AO85" i="58" s="1"/>
  <c r="AP85" i="58" s="1"/>
  <c r="D85" i="58" s="1"/>
  <c r="L85" i="58" s="1"/>
  <c r="K152" i="58" s="1"/>
  <c r="I66" i="58"/>
  <c r="O66" i="58"/>
  <c r="N50" i="58" s="1"/>
  <c r="L39" i="58"/>
  <c r="K128" i="58" s="1"/>
  <c r="O39" i="58"/>
  <c r="N76" i="58" s="1"/>
  <c r="P65" i="58" s="1"/>
  <c r="L33" i="58"/>
  <c r="K126" i="58" s="1"/>
  <c r="O33" i="58"/>
  <c r="L117" i="58"/>
  <c r="K50" i="58" s="1"/>
  <c r="M39" i="58" s="1"/>
  <c r="O117" i="58"/>
  <c r="L143" i="58"/>
  <c r="K102" i="58" s="1"/>
  <c r="O143" i="58"/>
  <c r="AN111" i="58"/>
  <c r="AO111" i="58" s="1"/>
  <c r="AP111" i="58" s="1"/>
  <c r="D111" i="58" s="1"/>
  <c r="L13" i="58"/>
  <c r="O13" i="58"/>
  <c r="N102" i="58" s="1"/>
  <c r="L92" i="58"/>
  <c r="O92" i="58"/>
  <c r="U193" i="58"/>
  <c r="I63" i="58"/>
  <c r="L63" i="58"/>
  <c r="I89" i="58"/>
  <c r="J88" i="58" s="1"/>
  <c r="L89" i="58"/>
  <c r="U189" i="58"/>
  <c r="F91" i="58"/>
  <c r="I91" i="58"/>
  <c r="U89" i="58"/>
  <c r="H205" i="58"/>
  <c r="J192" i="58" s="1"/>
  <c r="F143" i="58"/>
  <c r="I143" i="58"/>
  <c r="F140" i="58"/>
  <c r="I140" i="58"/>
  <c r="F117" i="58"/>
  <c r="I117" i="58"/>
  <c r="H24" i="58" s="1"/>
  <c r="F85" i="58"/>
  <c r="E48" i="58" s="1"/>
  <c r="I85" i="58"/>
  <c r="F13" i="58"/>
  <c r="I13" i="58"/>
  <c r="U169" i="58"/>
  <c r="U166" i="58"/>
  <c r="F39" i="58"/>
  <c r="I39" i="58"/>
  <c r="H180" i="58" s="1"/>
  <c r="J169" i="58" s="1"/>
  <c r="N21" i="98"/>
  <c r="F111" i="58"/>
  <c r="I111" i="58"/>
  <c r="F59" i="58"/>
  <c r="I59" i="58"/>
  <c r="F33" i="58"/>
  <c r="I33" i="58"/>
  <c r="U117" i="58"/>
  <c r="E180" i="58"/>
  <c r="G169" i="58" s="1"/>
  <c r="U111" i="58"/>
  <c r="E178" i="58"/>
  <c r="G163" i="58" s="1"/>
  <c r="U85" i="58"/>
  <c r="F94" i="58"/>
  <c r="AN93" i="52"/>
  <c r="N4" i="84"/>
  <c r="AN92" i="57"/>
  <c r="AO92" i="57" s="1"/>
  <c r="AP92" i="57" s="1"/>
  <c r="D92" i="57" s="1"/>
  <c r="R92" i="57" s="1"/>
  <c r="BI36" i="59"/>
  <c r="AN140" i="57"/>
  <c r="AO140" i="57" s="1"/>
  <c r="AP140" i="57" s="1"/>
  <c r="AN144" i="57"/>
  <c r="AO144" i="57" s="1"/>
  <c r="AP144" i="57" s="1"/>
  <c r="D144" i="57" s="1"/>
  <c r="R144" i="57" s="1"/>
  <c r="BG93" i="58"/>
  <c r="AN66" i="53"/>
  <c r="AO66" i="53" s="1"/>
  <c r="AP66" i="53" s="1"/>
  <c r="D66" i="53" s="1"/>
  <c r="Q76" i="52"/>
  <c r="Q77" i="52" s="1"/>
  <c r="AN91" i="57"/>
  <c r="AO91" i="57" s="1"/>
  <c r="AP91" i="57" s="1"/>
  <c r="D91" i="57" s="1"/>
  <c r="J79" i="87"/>
  <c r="BJ5" i="16"/>
  <c r="O172" i="57"/>
  <c r="AN36" i="52"/>
  <c r="AG13" i="16"/>
  <c r="AN61" i="52"/>
  <c r="AO61" i="52" s="1"/>
  <c r="AP61" i="52" s="1"/>
  <c r="L79" i="84"/>
  <c r="N54" i="84"/>
  <c r="BI89" i="59"/>
  <c r="L172" i="57"/>
  <c r="CP13" i="16"/>
  <c r="AW69" i="53"/>
  <c r="N95" i="99"/>
  <c r="O95" i="99" s="1"/>
  <c r="AN137" i="55"/>
  <c r="AO137" i="55" s="1"/>
  <c r="AP137" i="55" s="1"/>
  <c r="D137" i="55" s="1"/>
  <c r="F137" i="55" s="1"/>
  <c r="BI67" i="59"/>
  <c r="AO67" i="53"/>
  <c r="AP67" i="53" s="1"/>
  <c r="D67" i="53" s="1"/>
  <c r="R67" i="53" s="1"/>
  <c r="U67" i="53" s="1"/>
  <c r="E100" i="57"/>
  <c r="O89" i="57"/>
  <c r="R89" i="57"/>
  <c r="AO35" i="57"/>
  <c r="AP35" i="57" s="1"/>
  <c r="D35" i="57" s="1"/>
  <c r="F35" i="57" s="1"/>
  <c r="U35" i="57" s="1"/>
  <c r="AW69" i="57"/>
  <c r="L195" i="57"/>
  <c r="L198" i="57" s="1"/>
  <c r="O195" i="57"/>
  <c r="N50" i="57" s="1"/>
  <c r="U189" i="57"/>
  <c r="L92" i="57"/>
  <c r="O92" i="57"/>
  <c r="U163" i="57"/>
  <c r="F172" i="57"/>
  <c r="U169" i="57"/>
  <c r="F195" i="57"/>
  <c r="F198" i="57" s="1"/>
  <c r="I195" i="57"/>
  <c r="H76" i="57" s="1"/>
  <c r="U192" i="57"/>
  <c r="BG142" i="57"/>
  <c r="AO117" i="57"/>
  <c r="AP117" i="57" s="1"/>
  <c r="D117" i="57" s="1"/>
  <c r="I117" i="57" s="1"/>
  <c r="I172" i="57"/>
  <c r="U172" i="57" s="1"/>
  <c r="AS173" i="57" s="1"/>
  <c r="U166" i="57"/>
  <c r="AO61" i="57"/>
  <c r="AP61" i="57" s="1"/>
  <c r="AW17" i="57"/>
  <c r="AO8" i="57"/>
  <c r="AP8" i="57" s="1"/>
  <c r="D8" i="57" s="1"/>
  <c r="BG192" i="57"/>
  <c r="AW95" i="57"/>
  <c r="AN86" i="57"/>
  <c r="AO86" i="57" s="1"/>
  <c r="AP86" i="57" s="1"/>
  <c r="D86" i="57" s="1"/>
  <c r="R86" i="57" s="1"/>
  <c r="AO87" i="57"/>
  <c r="AP87" i="57" s="1"/>
  <c r="D87" i="57" s="1"/>
  <c r="F87" i="57" s="1"/>
  <c r="U87" i="57" s="1"/>
  <c r="AW147" i="57"/>
  <c r="AW121" i="57"/>
  <c r="AO113" i="57"/>
  <c r="AP113" i="57" s="1"/>
  <c r="D113" i="57" s="1"/>
  <c r="F113" i="57" s="1"/>
  <c r="U113" i="57" s="1"/>
  <c r="AO59" i="57"/>
  <c r="AP59" i="57" s="1"/>
  <c r="D59" i="57" s="1"/>
  <c r="AW43" i="57"/>
  <c r="AO60" i="57"/>
  <c r="AP60" i="57" s="1"/>
  <c r="D60" i="57" s="1"/>
  <c r="F60" i="57" s="1"/>
  <c r="L8" i="57"/>
  <c r="F8" i="57"/>
  <c r="BG163" i="57"/>
  <c r="AO85" i="57"/>
  <c r="AP85" i="57" s="1"/>
  <c r="D85" i="57" s="1"/>
  <c r="F85" i="57" s="1"/>
  <c r="AO111" i="57"/>
  <c r="BG64" i="57"/>
  <c r="BG194" i="57"/>
  <c r="BG191" i="57"/>
  <c r="BG12" i="57"/>
  <c r="BG190" i="57"/>
  <c r="BG171" i="57"/>
  <c r="BG113" i="57"/>
  <c r="BG63" i="57"/>
  <c r="BG167" i="57"/>
  <c r="BG166" i="57"/>
  <c r="BG197" i="57"/>
  <c r="BG115" i="57"/>
  <c r="BG168" i="57"/>
  <c r="BG143" i="57"/>
  <c r="BG196" i="57"/>
  <c r="BG40" i="57"/>
  <c r="BG193" i="57"/>
  <c r="BG141" i="57"/>
  <c r="BG145" i="57"/>
  <c r="BG164" i="57"/>
  <c r="BG37" i="57"/>
  <c r="BG65" i="57"/>
  <c r="BG189" i="57"/>
  <c r="BG8" i="57"/>
  <c r="BG195" i="57"/>
  <c r="BG9" i="57"/>
  <c r="BG7" i="57"/>
  <c r="BG38" i="57"/>
  <c r="BG60" i="57"/>
  <c r="BG34" i="57"/>
  <c r="BG139" i="57"/>
  <c r="BG15" i="57"/>
  <c r="BG67" i="57"/>
  <c r="BG140" i="57"/>
  <c r="BG39" i="57"/>
  <c r="BG93" i="57"/>
  <c r="BG119" i="57"/>
  <c r="BG36" i="57"/>
  <c r="BG33" i="57"/>
  <c r="BG137" i="57"/>
  <c r="BG59" i="57"/>
  <c r="BG91" i="57"/>
  <c r="BG111" i="57"/>
  <c r="BG10" i="57"/>
  <c r="BG85" i="57"/>
  <c r="BG61" i="57"/>
  <c r="BG88" i="57"/>
  <c r="BG112" i="57"/>
  <c r="BG165" i="57"/>
  <c r="BG116" i="57"/>
  <c r="BG66" i="57"/>
  <c r="BG117" i="57"/>
  <c r="BG62" i="57"/>
  <c r="BG14" i="57"/>
  <c r="BG41" i="57"/>
  <c r="BG114" i="57"/>
  <c r="BG35" i="57"/>
  <c r="BG86" i="57"/>
  <c r="BG92" i="57"/>
  <c r="BG90" i="57"/>
  <c r="AN7" i="57"/>
  <c r="AO7" i="57" s="1"/>
  <c r="AP7" i="57" s="1"/>
  <c r="D7" i="57" s="1"/>
  <c r="R7" i="57" s="1"/>
  <c r="BG89" i="57"/>
  <c r="BG170" i="57"/>
  <c r="BG169" i="57"/>
  <c r="BG11" i="57"/>
  <c r="BG118" i="57"/>
  <c r="BG144" i="57"/>
  <c r="BG138" i="57"/>
  <c r="BG87" i="57"/>
  <c r="BG13" i="57"/>
  <c r="A2" i="72"/>
  <c r="BI142" i="59"/>
  <c r="R172" i="52"/>
  <c r="BI195" i="59"/>
  <c r="BI189" i="59"/>
  <c r="BI166" i="59"/>
  <c r="BI88" i="59"/>
  <c r="G30" i="59"/>
  <c r="F29" i="87"/>
  <c r="M69" i="45"/>
  <c r="M70" i="45" s="1"/>
  <c r="B53" i="45"/>
  <c r="G69" i="45"/>
  <c r="G70" i="45" s="1"/>
  <c r="E69" i="45"/>
  <c r="E70" i="45" s="1"/>
  <c r="B77" i="45"/>
  <c r="I69" i="45"/>
  <c r="I70" i="45" s="1"/>
  <c r="K69" i="45"/>
  <c r="K70" i="45" s="1"/>
  <c r="CQ13" i="16"/>
  <c r="AN112" i="52"/>
  <c r="BL169" i="58"/>
  <c r="BI171" i="59"/>
  <c r="BI191" i="59"/>
  <c r="BI164" i="59"/>
  <c r="BI197" i="59"/>
  <c r="BB13" i="16"/>
  <c r="DR5" i="16"/>
  <c r="J54" i="41"/>
  <c r="AN62" i="52"/>
  <c r="BL40" i="58"/>
  <c r="BL142" i="58"/>
  <c r="BL62" i="59"/>
  <c r="Q13" i="16"/>
  <c r="BI196" i="59"/>
  <c r="K94" i="84"/>
  <c r="K95" i="84" s="1"/>
  <c r="B78" i="84"/>
  <c r="G94" i="84"/>
  <c r="G95" i="84" s="1"/>
  <c r="B102" i="84"/>
  <c r="F104" i="84" s="1"/>
  <c r="E94" i="84"/>
  <c r="E95" i="84" s="1"/>
  <c r="M94" i="84"/>
  <c r="M95" i="84" s="1"/>
  <c r="AN89" i="52"/>
  <c r="AO89" i="52" s="1"/>
  <c r="AP89" i="52" s="1"/>
  <c r="D89" i="52" s="1"/>
  <c r="N81" i="99"/>
  <c r="O81" i="99" s="1"/>
  <c r="AN60" i="55"/>
  <c r="AO60" i="55" s="1"/>
  <c r="AP60" i="55" s="1"/>
  <c r="D60" i="55" s="1"/>
  <c r="R60" i="55" s="1"/>
  <c r="I69" i="87"/>
  <c r="I70" i="87" s="1"/>
  <c r="M69" i="87"/>
  <c r="M70" i="87" s="1"/>
  <c r="K69" i="87"/>
  <c r="K70" i="87" s="1"/>
  <c r="B53" i="87"/>
  <c r="E69" i="87"/>
  <c r="E70" i="87" s="1"/>
  <c r="G69" i="87"/>
  <c r="G70" i="87" s="1"/>
  <c r="AN65" i="55"/>
  <c r="BG193" i="58"/>
  <c r="BL197" i="59"/>
  <c r="AP5" i="16"/>
  <c r="AN7" i="52"/>
  <c r="AO7" i="52" s="1"/>
  <c r="AP7" i="52" s="1"/>
  <c r="D7" i="52" s="1"/>
  <c r="R7" i="52" s="1"/>
  <c r="Q178" i="52" s="1"/>
  <c r="AW17" i="52"/>
  <c r="AO63" i="55"/>
  <c r="BV13" i="16"/>
  <c r="BY13" i="16"/>
  <c r="N18" i="88"/>
  <c r="J104" i="85"/>
  <c r="N79" i="87"/>
  <c r="AO40" i="53"/>
  <c r="AP40" i="53" s="1"/>
  <c r="BL171" i="58"/>
  <c r="BL169" i="59"/>
  <c r="DK13" i="16"/>
  <c r="BI192" i="59"/>
  <c r="BI138" i="59"/>
  <c r="BU13" i="16"/>
  <c r="DR6" i="16"/>
  <c r="N13" i="88"/>
  <c r="N81" i="98"/>
  <c r="O81" i="98" s="1"/>
  <c r="AO114" i="55"/>
  <c r="BI169" i="59"/>
  <c r="BI92" i="59"/>
  <c r="BI163" i="59"/>
  <c r="CS13" i="16"/>
  <c r="AO93" i="52"/>
  <c r="BI111" i="59"/>
  <c r="DM13" i="16"/>
  <c r="BG165" i="58"/>
  <c r="N30" i="95"/>
  <c r="BI137" i="59"/>
  <c r="AN15" i="53"/>
  <c r="AO15" i="53" s="1"/>
  <c r="AP15" i="53" s="1"/>
  <c r="D15" i="53" s="1"/>
  <c r="O15" i="53" s="1"/>
  <c r="U15" i="53" s="1"/>
  <c r="P192" i="55"/>
  <c r="P166" i="55"/>
  <c r="AO10" i="55"/>
  <c r="AP10" i="55" s="1"/>
  <c r="U189" i="55"/>
  <c r="U193" i="55"/>
  <c r="L163" i="55"/>
  <c r="O163" i="55"/>
  <c r="AN66" i="55"/>
  <c r="AO66" i="55" s="1"/>
  <c r="AP66" i="55" s="1"/>
  <c r="D66" i="55" s="1"/>
  <c r="AN59" i="55"/>
  <c r="AO59" i="55" s="1"/>
  <c r="N25" i="96"/>
  <c r="AW121" i="55"/>
  <c r="AO61" i="55"/>
  <c r="AP61" i="55" s="1"/>
  <c r="AW95" i="55"/>
  <c r="AO91" i="55"/>
  <c r="AP91" i="55" s="1"/>
  <c r="D91" i="55" s="1"/>
  <c r="U192" i="55"/>
  <c r="I198" i="55"/>
  <c r="U166" i="55"/>
  <c r="U169" i="55"/>
  <c r="F163" i="55"/>
  <c r="F172" i="55" s="1"/>
  <c r="I163" i="55"/>
  <c r="I172" i="55" s="1"/>
  <c r="AW147" i="55"/>
  <c r="AN138" i="55"/>
  <c r="AO138" i="55" s="1"/>
  <c r="AP138" i="55" s="1"/>
  <c r="D138" i="55" s="1"/>
  <c r="AO36" i="55"/>
  <c r="AP36" i="55" s="1"/>
  <c r="D36" i="55" s="1"/>
  <c r="AO88" i="55"/>
  <c r="AP88" i="55" s="1"/>
  <c r="D88" i="55" s="1"/>
  <c r="F198" i="55"/>
  <c r="AW43" i="55"/>
  <c r="J79" i="84"/>
  <c r="BE13" i="16"/>
  <c r="BD13" i="16"/>
  <c r="L104" i="84"/>
  <c r="AN59" i="53"/>
  <c r="AO59" i="53" s="1"/>
  <c r="AP59" i="53" s="1"/>
  <c r="D59" i="53" s="1"/>
  <c r="R59" i="53" s="1"/>
  <c r="S59" i="53" s="1"/>
  <c r="AO138" i="53"/>
  <c r="AP138" i="53" s="1"/>
  <c r="D138" i="53" s="1"/>
  <c r="O138" i="53" s="1"/>
  <c r="U138" i="53" s="1"/>
  <c r="AO114" i="53"/>
  <c r="AP114" i="53" s="1"/>
  <c r="D114" i="53" s="1"/>
  <c r="I114" i="53" s="1"/>
  <c r="AO112" i="53"/>
  <c r="AP112" i="53" s="1"/>
  <c r="D112" i="53" s="1"/>
  <c r="I112" i="53" s="1"/>
  <c r="AO117" i="53"/>
  <c r="AP117" i="53" s="1"/>
  <c r="D117" i="53" s="1"/>
  <c r="O86" i="53"/>
  <c r="R86" i="53"/>
  <c r="O11" i="53"/>
  <c r="R11" i="53"/>
  <c r="AO37" i="53"/>
  <c r="AP37" i="53" s="1"/>
  <c r="D37" i="53" s="1"/>
  <c r="O198" i="53"/>
  <c r="U196" i="53"/>
  <c r="K154" i="53"/>
  <c r="U190" i="53"/>
  <c r="L172" i="53"/>
  <c r="J169" i="53"/>
  <c r="U169" i="53"/>
  <c r="O172" i="53"/>
  <c r="F172" i="53"/>
  <c r="AO143" i="53"/>
  <c r="AP143" i="53" s="1"/>
  <c r="D143" i="53" s="1"/>
  <c r="L143" i="53" s="1"/>
  <c r="K206" i="53" s="1"/>
  <c r="M195" i="53" s="1"/>
  <c r="AO144" i="53"/>
  <c r="AO111" i="53"/>
  <c r="AP111" i="53" s="1"/>
  <c r="D111" i="53" s="1"/>
  <c r="F111" i="53" s="1"/>
  <c r="AO118" i="53"/>
  <c r="AP118" i="53" s="1"/>
  <c r="D118" i="53" s="1"/>
  <c r="AW95" i="53"/>
  <c r="AO88" i="53"/>
  <c r="AP88" i="53" s="1"/>
  <c r="D88" i="53" s="1"/>
  <c r="AO36" i="53"/>
  <c r="AP36" i="53" s="1"/>
  <c r="D36" i="53" s="1"/>
  <c r="F36" i="53" s="1"/>
  <c r="E75" i="53" s="1"/>
  <c r="AN10" i="53"/>
  <c r="AO10" i="53" s="1"/>
  <c r="AP10" i="53" s="1"/>
  <c r="D10" i="53" s="1"/>
  <c r="N206" i="53"/>
  <c r="P195" i="53" s="1"/>
  <c r="U193" i="53"/>
  <c r="U189" i="53"/>
  <c r="E127" i="53"/>
  <c r="I172" i="53"/>
  <c r="U166" i="53"/>
  <c r="K204" i="53"/>
  <c r="M189" i="53" s="1"/>
  <c r="AW121" i="53"/>
  <c r="I86" i="53"/>
  <c r="L86" i="53"/>
  <c r="R63" i="53"/>
  <c r="I63" i="53"/>
  <c r="H127" i="53" s="1"/>
  <c r="F137" i="53"/>
  <c r="E178" i="53" s="1"/>
  <c r="G163" i="53" s="1"/>
  <c r="I137" i="53"/>
  <c r="F195" i="53"/>
  <c r="I195" i="53"/>
  <c r="I198" i="53" s="1"/>
  <c r="U163" i="53"/>
  <c r="BG89" i="53"/>
  <c r="BG63" i="53"/>
  <c r="AO65" i="53"/>
  <c r="AP65" i="53" s="1"/>
  <c r="D65" i="53" s="1"/>
  <c r="O65" i="53" s="1"/>
  <c r="AO33" i="53"/>
  <c r="AP33" i="53" s="1"/>
  <c r="D33" i="53" s="1"/>
  <c r="F33" i="53" s="1"/>
  <c r="U33" i="53" s="1"/>
  <c r="AO14" i="53"/>
  <c r="AP14" i="53" s="1"/>
  <c r="D14" i="53" s="1"/>
  <c r="AO13" i="53"/>
  <c r="AP13" i="53" s="1"/>
  <c r="D13" i="53" s="1"/>
  <c r="BG197" i="53"/>
  <c r="AO7" i="53"/>
  <c r="AP7" i="53" s="1"/>
  <c r="D7" i="53" s="1"/>
  <c r="R7" i="53" s="1"/>
  <c r="BG141" i="53"/>
  <c r="BG62" i="53"/>
  <c r="AI13" i="16"/>
  <c r="L54" i="45"/>
  <c r="J79" i="45"/>
  <c r="AJ13" i="16"/>
  <c r="AN34" i="52"/>
  <c r="AN88" i="52"/>
  <c r="AO88" i="52" s="1"/>
  <c r="AP88" i="52" s="1"/>
  <c r="D88" i="52" s="1"/>
  <c r="AN85" i="52"/>
  <c r="AO85" i="52" s="1"/>
  <c r="AP85" i="52" s="1"/>
  <c r="D85" i="52" s="1"/>
  <c r="F85" i="52" s="1"/>
  <c r="E74" i="52" s="1"/>
  <c r="AO86" i="52"/>
  <c r="AO111" i="52"/>
  <c r="L196" i="52"/>
  <c r="O196" i="52"/>
  <c r="R198" i="52"/>
  <c r="I193" i="52"/>
  <c r="H153" i="52" s="1"/>
  <c r="O193" i="52"/>
  <c r="U191" i="52"/>
  <c r="K24" i="52"/>
  <c r="L169" i="52"/>
  <c r="O169" i="52"/>
  <c r="N50" i="52" s="1"/>
  <c r="L166" i="52"/>
  <c r="O166" i="52"/>
  <c r="N49" i="52" s="1"/>
  <c r="L163" i="52"/>
  <c r="O163" i="52"/>
  <c r="F195" i="52"/>
  <c r="I195" i="52"/>
  <c r="H154" i="52" s="1"/>
  <c r="L192" i="52"/>
  <c r="F192" i="52"/>
  <c r="I190" i="52"/>
  <c r="H152" i="52" s="1"/>
  <c r="L190" i="52"/>
  <c r="F169" i="52"/>
  <c r="E206" i="52" s="1"/>
  <c r="I169" i="52"/>
  <c r="H128" i="52" s="1"/>
  <c r="F166" i="52"/>
  <c r="I166" i="52"/>
  <c r="F163" i="52"/>
  <c r="I163" i="52"/>
  <c r="AO140" i="52"/>
  <c r="AP140" i="52" s="1"/>
  <c r="D140" i="52" s="1"/>
  <c r="R140" i="52" s="1"/>
  <c r="Q101" i="52" s="1"/>
  <c r="AO137" i="52"/>
  <c r="AP137" i="52" s="1"/>
  <c r="D137" i="52" s="1"/>
  <c r="R137" i="52" s="1"/>
  <c r="Q100" i="52" s="1"/>
  <c r="AN91" i="52"/>
  <c r="AO91" i="52" s="1"/>
  <c r="AP91" i="52" s="1"/>
  <c r="D91" i="52" s="1"/>
  <c r="AN65" i="52"/>
  <c r="AO65" i="52" s="1"/>
  <c r="AP65" i="52" s="1"/>
  <c r="D65" i="52" s="1"/>
  <c r="M15" i="88"/>
  <c r="AO39" i="52"/>
  <c r="AP39" i="52" s="1"/>
  <c r="D39" i="52" s="1"/>
  <c r="F39" i="52" s="1"/>
  <c r="E24" i="52" s="1"/>
  <c r="AO10" i="52"/>
  <c r="AP10" i="52" s="1"/>
  <c r="D10" i="52" s="1"/>
  <c r="AO114" i="52"/>
  <c r="AP114" i="52" s="1"/>
  <c r="D114" i="52" s="1"/>
  <c r="L114" i="52" s="1"/>
  <c r="H29" i="41"/>
  <c r="N13" i="16"/>
  <c r="V6" i="16"/>
  <c r="V8" i="16"/>
  <c r="H54" i="41"/>
  <c r="H79" i="41"/>
  <c r="A6" i="120"/>
  <c r="B6" i="120" s="1"/>
  <c r="D6" i="120" s="1"/>
  <c r="V169" i="59"/>
  <c r="A2" i="63"/>
  <c r="A2" i="73"/>
  <c r="CX12" i="16"/>
  <c r="G186" i="58"/>
  <c r="N29" i="85"/>
  <c r="S30" i="57"/>
  <c r="M13" i="95"/>
  <c r="S4" i="53"/>
  <c r="N4" i="45"/>
  <c r="AP11" i="16"/>
  <c r="J160" i="53"/>
  <c r="AP12" i="16"/>
  <c r="G186" i="53"/>
  <c r="G56" i="55"/>
  <c r="F54" i="84"/>
  <c r="BJ10" i="16"/>
  <c r="G134" i="55"/>
  <c r="N19" i="97"/>
  <c r="S82" i="57"/>
  <c r="N79" i="85"/>
  <c r="N7" i="96"/>
  <c r="O7" i="96" s="1"/>
  <c r="N22" i="99"/>
  <c r="O22" i="99" s="1"/>
  <c r="N5" i="96"/>
  <c r="L54" i="85"/>
  <c r="F54" i="41"/>
  <c r="N8" i="99"/>
  <c r="O8" i="99" s="1"/>
  <c r="N12" i="95"/>
  <c r="N9" i="95"/>
  <c r="M3" i="88"/>
  <c r="M2" i="88"/>
  <c r="N93" i="99"/>
  <c r="O93" i="99" s="1"/>
  <c r="M18" i="95"/>
  <c r="M12" i="95"/>
  <c r="M21" i="95"/>
  <c r="M29" i="95"/>
  <c r="DR7" i="16"/>
  <c r="G56" i="59"/>
  <c r="F54" i="87"/>
  <c r="S4" i="52"/>
  <c r="N4" i="41"/>
  <c r="BL195" i="59"/>
  <c r="BL189" i="59"/>
  <c r="F29" i="84"/>
  <c r="G30" i="55"/>
  <c r="M9" i="95"/>
  <c r="BL163" i="58"/>
  <c r="G30" i="53"/>
  <c r="F29" i="45"/>
  <c r="N23" i="96"/>
  <c r="O23" i="96" s="1"/>
  <c r="N2" i="97"/>
  <c r="N14" i="96"/>
  <c r="D112" i="59"/>
  <c r="N11" i="96"/>
  <c r="N6" i="99"/>
  <c r="O6" i="99" s="1"/>
  <c r="N19" i="99"/>
  <c r="O19" i="99" s="1"/>
  <c r="BG169" i="58"/>
  <c r="N4" i="95"/>
  <c r="N31" i="95"/>
  <c r="O31" i="95" s="1"/>
  <c r="N37" i="98"/>
  <c r="N16" i="98"/>
  <c r="M26" i="98"/>
  <c r="N25" i="98"/>
  <c r="O25" i="98" s="1"/>
  <c r="N27" i="98"/>
  <c r="O27" i="98" s="1"/>
  <c r="BI143" i="59"/>
  <c r="BI13" i="59"/>
  <c r="BI63" i="59"/>
  <c r="BI91" i="59"/>
  <c r="BI145" i="59"/>
  <c r="BI14" i="59"/>
  <c r="D114" i="58"/>
  <c r="L114" i="58" s="1"/>
  <c r="K49" i="58" s="1"/>
  <c r="M19" i="88"/>
  <c r="M25" i="88"/>
  <c r="M13" i="98"/>
  <c r="N6" i="98"/>
  <c r="N21" i="96"/>
  <c r="M20" i="97"/>
  <c r="O20" i="97" s="1"/>
  <c r="N85" i="98"/>
  <c r="O85" i="98" s="1"/>
  <c r="BL111" i="58"/>
  <c r="N10" i="98"/>
  <c r="N18" i="98"/>
  <c r="N2" i="98"/>
  <c r="N3" i="98"/>
  <c r="O3" i="98" s="1"/>
  <c r="BG65" i="58"/>
  <c r="N49" i="98"/>
  <c r="O49" i="98" s="1"/>
  <c r="BI8" i="59"/>
  <c r="BI86" i="59"/>
  <c r="BI139" i="59"/>
  <c r="BI168" i="59"/>
  <c r="BG167" i="53"/>
  <c r="P56" i="59"/>
  <c r="L54" i="87"/>
  <c r="DR9" i="16"/>
  <c r="M108" i="59"/>
  <c r="G134" i="52"/>
  <c r="V10" i="16"/>
  <c r="N23" i="99"/>
  <c r="O23" i="99" s="1"/>
  <c r="CX10" i="16"/>
  <c r="S134" i="58"/>
  <c r="BL194" i="59"/>
  <c r="BL191" i="59"/>
  <c r="M26" i="95"/>
  <c r="J54" i="84"/>
  <c r="BL197" i="58"/>
  <c r="S56" i="53"/>
  <c r="N54" i="45"/>
  <c r="N29" i="84"/>
  <c r="S30" i="55"/>
  <c r="S134" i="55"/>
  <c r="BJ8" i="16"/>
  <c r="G82" i="55"/>
  <c r="A2" i="74"/>
  <c r="N1" i="70"/>
  <c r="D8" i="58"/>
  <c r="M4" i="57"/>
  <c r="J4" i="85"/>
  <c r="BG171" i="58"/>
  <c r="N29" i="95"/>
  <c r="N25" i="95"/>
  <c r="M26" i="88"/>
  <c r="M10" i="88"/>
  <c r="O10" i="88" s="1"/>
  <c r="N14" i="88"/>
  <c r="M19" i="95"/>
  <c r="M28" i="98"/>
  <c r="N15" i="88"/>
  <c r="CO13" i="16"/>
  <c r="DL13" i="16"/>
  <c r="I119" i="116"/>
  <c r="I120" i="116" s="1"/>
  <c r="G119" i="116"/>
  <c r="G120" i="116" s="1"/>
  <c r="E119" i="116"/>
  <c r="E120" i="116" s="1"/>
  <c r="N104" i="116"/>
  <c r="L104" i="116"/>
  <c r="J104" i="116"/>
  <c r="K119" i="116"/>
  <c r="H104" i="116"/>
  <c r="F104" i="116"/>
  <c r="M119" i="116"/>
  <c r="M120" i="116" s="1"/>
  <c r="M8" i="88"/>
  <c r="O8" i="88" s="1"/>
  <c r="M11" i="88"/>
  <c r="N23" i="88"/>
  <c r="M18" i="88"/>
  <c r="N12" i="88"/>
  <c r="O12" i="88" s="1"/>
  <c r="M24" i="98"/>
  <c r="M91" i="95"/>
  <c r="M45" i="98"/>
  <c r="N6" i="96"/>
  <c r="N29" i="96"/>
  <c r="O29" i="96" s="1"/>
  <c r="N4" i="96"/>
  <c r="N13" i="96"/>
  <c r="D90" i="58"/>
  <c r="R90" i="58" s="1"/>
  <c r="N29" i="98"/>
  <c r="M9" i="98"/>
  <c r="N8" i="98"/>
  <c r="O8" i="98" s="1"/>
  <c r="N4" i="98"/>
  <c r="O4" i="98" s="1"/>
  <c r="N14" i="98"/>
  <c r="BL35" i="58"/>
  <c r="BI144" i="59"/>
  <c r="BI39" i="59"/>
  <c r="BI62" i="59"/>
  <c r="BI12" i="59"/>
  <c r="BI194" i="59"/>
  <c r="M24" i="95"/>
  <c r="P4" i="52"/>
  <c r="L4" i="41"/>
  <c r="G4" i="52"/>
  <c r="F4" i="41"/>
  <c r="M13" i="16"/>
  <c r="N29" i="41"/>
  <c r="S30" i="52"/>
  <c r="AP15" i="59"/>
  <c r="D15" i="59" s="1"/>
  <c r="AP10" i="58"/>
  <c r="D10" i="58" s="1"/>
  <c r="R10" i="58" s="1"/>
  <c r="Q153" i="58" s="1"/>
  <c r="N6" i="95"/>
  <c r="BL193" i="59"/>
  <c r="BL166" i="59"/>
  <c r="N21" i="99"/>
  <c r="O21" i="99" s="1"/>
  <c r="M14" i="95"/>
  <c r="BL165" i="58"/>
  <c r="M5" i="88"/>
  <c r="M22" i="88"/>
  <c r="BJ7" i="16"/>
  <c r="J56" i="55"/>
  <c r="H54" i="84"/>
  <c r="M22" i="95"/>
  <c r="BG170" i="58"/>
  <c r="BG168" i="58"/>
  <c r="N5" i="95"/>
  <c r="N24" i="95"/>
  <c r="N7" i="98"/>
  <c r="O7" i="98" s="1"/>
  <c r="BI113" i="59"/>
  <c r="J56" i="59"/>
  <c r="H54" i="87"/>
  <c r="V11" i="16"/>
  <c r="G160" i="52"/>
  <c r="N7" i="99"/>
  <c r="O7" i="99" s="1"/>
  <c r="CX7" i="16"/>
  <c r="G56" i="58"/>
  <c r="CX11" i="16"/>
  <c r="G160" i="58"/>
  <c r="BL192" i="59"/>
  <c r="BL170" i="59"/>
  <c r="N3" i="99"/>
  <c r="O3" i="99" s="1"/>
  <c r="M30" i="95"/>
  <c r="BL166" i="58"/>
  <c r="BL193" i="58"/>
  <c r="J4" i="45"/>
  <c r="M4" i="53"/>
  <c r="G56" i="53"/>
  <c r="F54" i="45"/>
  <c r="M10" i="95"/>
  <c r="N30" i="97"/>
  <c r="O30" i="97" s="1"/>
  <c r="BG197" i="58"/>
  <c r="BG196" i="58"/>
  <c r="N28" i="95"/>
  <c r="DR8" i="16"/>
  <c r="G82" i="59"/>
  <c r="DR11" i="16"/>
  <c r="G160" i="59"/>
  <c r="M4" i="52"/>
  <c r="O13" i="16"/>
  <c r="G108" i="52"/>
  <c r="V9" i="16"/>
  <c r="M13" i="88"/>
  <c r="O13" i="88" s="1"/>
  <c r="N18" i="99"/>
  <c r="O18" i="99" s="1"/>
  <c r="BL196" i="59"/>
  <c r="N25" i="99"/>
  <c r="O25" i="99" s="1"/>
  <c r="M2" i="95"/>
  <c r="BL164" i="58"/>
  <c r="BL194" i="58"/>
  <c r="N4" i="85"/>
  <c r="S4" i="57"/>
  <c r="M4" i="95"/>
  <c r="N26" i="97"/>
  <c r="O26" i="97" s="1"/>
  <c r="M108" i="55"/>
  <c r="J82" i="55"/>
  <c r="H79" i="84"/>
  <c r="N9" i="99"/>
  <c r="O9" i="99" s="1"/>
  <c r="N3" i="97"/>
  <c r="N27" i="96"/>
  <c r="BG194" i="58"/>
  <c r="BG167" i="58"/>
  <c r="N10" i="95"/>
  <c r="O10" i="95" s="1"/>
  <c r="N30" i="99"/>
  <c r="O30" i="99" s="1"/>
  <c r="N26" i="96"/>
  <c r="O26" i="96" s="1"/>
  <c r="M27" i="98"/>
  <c r="M9" i="88"/>
  <c r="N13" i="98"/>
  <c r="O13" i="98" s="1"/>
  <c r="M62" i="98"/>
  <c r="V7" i="16"/>
  <c r="BX13" i="16"/>
  <c r="N9" i="88"/>
  <c r="O9" i="88" s="1"/>
  <c r="N25" i="88"/>
  <c r="N4" i="88"/>
  <c r="N20" i="88"/>
  <c r="M6" i="88"/>
  <c r="N17" i="88"/>
  <c r="O17" i="88" s="1"/>
  <c r="N3" i="95"/>
  <c r="O3" i="95" s="1"/>
  <c r="N2" i="96"/>
  <c r="N12" i="97"/>
  <c r="N18" i="96"/>
  <c r="O18" i="96" s="1"/>
  <c r="M83" i="95"/>
  <c r="M8" i="95"/>
  <c r="M27" i="96"/>
  <c r="N17" i="96"/>
  <c r="O17" i="96" s="1"/>
  <c r="M23" i="98"/>
  <c r="M6" i="98"/>
  <c r="BL114" i="58"/>
  <c r="AP93" i="58"/>
  <c r="M19" i="98"/>
  <c r="M15" i="98"/>
  <c r="M5" i="98"/>
  <c r="AW69" i="58"/>
  <c r="D33" i="59"/>
  <c r="BI116" i="59"/>
  <c r="D41" i="59"/>
  <c r="BI118" i="59"/>
  <c r="BI34" i="59"/>
  <c r="BI35" i="59"/>
  <c r="M40" i="95"/>
  <c r="N7" i="97"/>
  <c r="O7" i="97" s="1"/>
  <c r="N4" i="97"/>
  <c r="O4" i="97" s="1"/>
  <c r="N11" i="97"/>
  <c r="N5" i="97"/>
  <c r="N29" i="97"/>
  <c r="N27" i="97"/>
  <c r="O27" i="97" s="1"/>
  <c r="N14" i="97"/>
  <c r="N15" i="97"/>
  <c r="O15" i="97" s="1"/>
  <c r="N24" i="97"/>
  <c r="N6" i="97"/>
  <c r="O6" i="97" s="1"/>
  <c r="N16" i="97"/>
  <c r="DR12" i="16"/>
  <c r="G186" i="59"/>
  <c r="N15" i="99"/>
  <c r="O15" i="99" s="1"/>
  <c r="A2" i="77"/>
  <c r="N1" i="118"/>
  <c r="N1" i="69"/>
  <c r="F5" i="120"/>
  <c r="E5" i="120"/>
  <c r="B5" i="120"/>
  <c r="G5" i="120"/>
  <c r="BL164" i="59"/>
  <c r="N13" i="99"/>
  <c r="O13" i="99" s="1"/>
  <c r="M31" i="95"/>
  <c r="BL192" i="58"/>
  <c r="BL195" i="58"/>
  <c r="J30" i="53"/>
  <c r="H29" i="45"/>
  <c r="N31" i="97"/>
  <c r="O31" i="97" s="1"/>
  <c r="J108" i="55"/>
  <c r="BJ12" i="16"/>
  <c r="G186" i="55"/>
  <c r="CD7" i="16"/>
  <c r="G56" i="57"/>
  <c r="M25" i="95"/>
  <c r="N8" i="97"/>
  <c r="N17" i="97"/>
  <c r="O17" i="97" s="1"/>
  <c r="M20" i="95"/>
  <c r="G119" i="85"/>
  <c r="G120" i="85" s="1"/>
  <c r="H104" i="85"/>
  <c r="I119" i="85"/>
  <c r="I120" i="85" s="1"/>
  <c r="B127" i="85"/>
  <c r="K119" i="85"/>
  <c r="K120" i="85" s="1"/>
  <c r="F104" i="85"/>
  <c r="N24" i="96"/>
  <c r="N25" i="97"/>
  <c r="BG164" i="58"/>
  <c r="N2" i="95"/>
  <c r="N79" i="84"/>
  <c r="M24" i="88"/>
  <c r="O24" i="88" s="1"/>
  <c r="M12" i="88"/>
  <c r="N8" i="95"/>
  <c r="M21" i="98"/>
  <c r="BI190" i="59"/>
  <c r="N19" i="88"/>
  <c r="M60" i="97"/>
  <c r="M30" i="97"/>
  <c r="M22" i="97"/>
  <c r="O22" i="97" s="1"/>
  <c r="M5" i="97"/>
  <c r="M21" i="97"/>
  <c r="M16" i="97"/>
  <c r="M19" i="97"/>
  <c r="M8" i="97"/>
  <c r="M14" i="97"/>
  <c r="M7" i="97"/>
  <c r="M3" i="97"/>
  <c r="M31" i="97"/>
  <c r="M23" i="97"/>
  <c r="M27" i="97"/>
  <c r="M11" i="97"/>
  <c r="M18" i="97"/>
  <c r="M2" i="97"/>
  <c r="M15" i="97"/>
  <c r="M10" i="97"/>
  <c r="M25" i="97"/>
  <c r="M17" i="97"/>
  <c r="M24" i="97"/>
  <c r="M13" i="97"/>
  <c r="M26" i="97"/>
  <c r="M6" i="97"/>
  <c r="M9" i="97"/>
  <c r="M29" i="97"/>
  <c r="BI9" i="59"/>
  <c r="D139" i="59"/>
  <c r="BL85" i="58"/>
  <c r="N7" i="88"/>
  <c r="O7" i="88" s="1"/>
  <c r="M14" i="88"/>
  <c r="M7" i="88"/>
  <c r="N22" i="88"/>
  <c r="M23" i="88"/>
  <c r="M4" i="88"/>
  <c r="N27" i="95"/>
  <c r="O27" i="95" s="1"/>
  <c r="N79" i="99"/>
  <c r="O79" i="99" s="1"/>
  <c r="M27" i="95"/>
  <c r="N13" i="95"/>
  <c r="N16" i="96"/>
  <c r="N20" i="96"/>
  <c r="M2" i="96"/>
  <c r="AW147" i="58"/>
  <c r="D87" i="58"/>
  <c r="BG59" i="58"/>
  <c r="N26" i="98"/>
  <c r="O26" i="98" s="1"/>
  <c r="N78" i="98"/>
  <c r="O78" i="98" s="1"/>
  <c r="M3" i="98"/>
  <c r="D61" i="59"/>
  <c r="BI15" i="59"/>
  <c r="D9" i="59"/>
  <c r="D12" i="59"/>
  <c r="D11" i="59"/>
  <c r="BI115" i="59"/>
  <c r="BI141" i="59"/>
  <c r="BI193" i="59"/>
  <c r="AP59" i="59"/>
  <c r="D59" i="59" s="1"/>
  <c r="BL167" i="59"/>
  <c r="L79" i="45"/>
  <c r="N27" i="99"/>
  <c r="O27" i="99" s="1"/>
  <c r="M17" i="95"/>
  <c r="BL196" i="58"/>
  <c r="AP7" i="16"/>
  <c r="J56" i="53"/>
  <c r="H54" i="45"/>
  <c r="CD9" i="16"/>
  <c r="S108" i="57"/>
  <c r="CD8" i="16"/>
  <c r="M82" i="57"/>
  <c r="N21" i="97"/>
  <c r="H79" i="85"/>
  <c r="N9" i="96"/>
  <c r="O9" i="96" s="1"/>
  <c r="BG189" i="58"/>
  <c r="BG163" i="58"/>
  <c r="N18" i="95"/>
  <c r="D137" i="57"/>
  <c r="R137" i="57" s="1"/>
  <c r="N54" i="98"/>
  <c r="O54" i="98" s="1"/>
  <c r="D112" i="58"/>
  <c r="N20" i="98"/>
  <c r="BI65" i="59"/>
  <c r="V12" i="16"/>
  <c r="N27" i="88"/>
  <c r="O27" i="88" s="1"/>
  <c r="N21" i="88"/>
  <c r="M10" i="98"/>
  <c r="N17" i="98"/>
  <c r="O17" i="98" s="1"/>
  <c r="BI167" i="59"/>
  <c r="M31" i="98"/>
  <c r="D66" i="59"/>
  <c r="N90" i="98"/>
  <c r="O90" i="98" s="1"/>
  <c r="CD6" i="16"/>
  <c r="AK13" i="16"/>
  <c r="N2" i="88"/>
  <c r="N16" i="88"/>
  <c r="M43" i="95"/>
  <c r="N19" i="95"/>
  <c r="M3" i="96"/>
  <c r="M5" i="96"/>
  <c r="M8" i="96"/>
  <c r="M17" i="96"/>
  <c r="M29" i="96"/>
  <c r="M22" i="96"/>
  <c r="M31" i="96"/>
  <c r="M4" i="96"/>
  <c r="M11" i="96"/>
  <c r="M6" i="96"/>
  <c r="M25" i="96"/>
  <c r="M24" i="96"/>
  <c r="M15" i="96"/>
  <c r="M13" i="96"/>
  <c r="M20" i="96"/>
  <c r="M16" i="96"/>
  <c r="M14" i="96"/>
  <c r="M30" i="96"/>
  <c r="M7" i="96"/>
  <c r="M19" i="96"/>
  <c r="M28" i="96"/>
  <c r="M12" i="96"/>
  <c r="D140" i="57"/>
  <c r="D116" i="58"/>
  <c r="D115" i="58"/>
  <c r="BL117" i="58"/>
  <c r="N5" i="98"/>
  <c r="O5" i="98" s="1"/>
  <c r="N89" i="98"/>
  <c r="O89" i="98" s="1"/>
  <c r="BI85" i="59"/>
  <c r="BI112" i="59"/>
  <c r="D39" i="59"/>
  <c r="D119" i="59"/>
  <c r="BI33" i="59"/>
  <c r="BI59" i="59"/>
  <c r="N24" i="118"/>
  <c r="C24" i="118" s="1"/>
  <c r="H24" i="118" s="1"/>
  <c r="N23" i="118"/>
  <c r="C23" i="118" s="1"/>
  <c r="H23" i="118" s="1"/>
  <c r="N22" i="118"/>
  <c r="C22" i="118"/>
  <c r="H22" i="118" s="1"/>
  <c r="BG170" i="53"/>
  <c r="DR10" i="16"/>
  <c r="S134" i="59"/>
  <c r="CX9" i="16"/>
  <c r="M108" i="58"/>
  <c r="CX8" i="16"/>
  <c r="G82" i="58"/>
  <c r="P4" i="57"/>
  <c r="L4" i="85"/>
  <c r="BL190" i="59"/>
  <c r="N17" i="99"/>
  <c r="O17" i="99" s="1"/>
  <c r="BL167" i="58"/>
  <c r="BL168" i="58"/>
  <c r="N19" i="96"/>
  <c r="BJ11" i="16"/>
  <c r="J160" i="55"/>
  <c r="M21" i="88"/>
  <c r="M23" i="95"/>
  <c r="CD12" i="16"/>
  <c r="M186" i="57"/>
  <c r="D143" i="57"/>
  <c r="F54" i="85"/>
  <c r="N30" i="96"/>
  <c r="M11" i="95"/>
  <c r="BG192" i="58"/>
  <c r="BG190" i="58"/>
  <c r="N17" i="95"/>
  <c r="O17" i="95" s="1"/>
  <c r="M23" i="96"/>
  <c r="N6" i="88"/>
  <c r="N26" i="88"/>
  <c r="O26" i="88" s="1"/>
  <c r="N75" i="98"/>
  <c r="O75" i="98" s="1"/>
  <c r="DJ13" i="16"/>
  <c r="N31" i="98"/>
  <c r="O31" i="98" s="1"/>
  <c r="P13" i="16"/>
  <c r="N5" i="88"/>
  <c r="M27" i="88"/>
  <c r="N16" i="95"/>
  <c r="O16" i="95" s="1"/>
  <c r="M29" i="98"/>
  <c r="M3" i="95"/>
  <c r="N18" i="97"/>
  <c r="O18" i="97" s="1"/>
  <c r="D141" i="57"/>
  <c r="R141" i="57" s="1"/>
  <c r="D60" i="58"/>
  <c r="M30" i="98"/>
  <c r="M7" i="98"/>
  <c r="AO7" i="58"/>
  <c r="M14" i="98"/>
  <c r="N28" i="98"/>
  <c r="O28" i="98" s="1"/>
  <c r="BI93" i="59"/>
  <c r="BI66" i="59"/>
  <c r="D64" i="59"/>
  <c r="BI10" i="59"/>
  <c r="BI60" i="59"/>
  <c r="BI61" i="59"/>
  <c r="BI114" i="59"/>
  <c r="N20" i="118"/>
  <c r="C20" i="118" s="1"/>
  <c r="H20" i="118" s="1"/>
  <c r="N21" i="118"/>
  <c r="C21" i="118" s="1"/>
  <c r="H21" i="118" s="1"/>
  <c r="N19" i="118"/>
  <c r="C19" i="118"/>
  <c r="H19" i="118" s="1"/>
  <c r="AP40" i="59"/>
  <c r="D40" i="59" s="1"/>
  <c r="M30" i="52"/>
  <c r="J29" i="41"/>
  <c r="AP138" i="58"/>
  <c r="D138" i="58" s="1"/>
  <c r="R138" i="58" s="1"/>
  <c r="M12" i="97"/>
  <c r="B53" i="86"/>
  <c r="K69" i="86"/>
  <c r="K70" i="86" s="1"/>
  <c r="J54" i="86"/>
  <c r="G69" i="86"/>
  <c r="G70" i="86" s="1"/>
  <c r="M69" i="86"/>
  <c r="M70" i="86" s="1"/>
  <c r="E69" i="86"/>
  <c r="E70" i="86" s="1"/>
  <c r="F54" i="86"/>
  <c r="I69" i="86"/>
  <c r="I70" i="86" s="1"/>
  <c r="N54" i="86"/>
  <c r="H54" i="86"/>
  <c r="L54" i="86"/>
  <c r="B77" i="86"/>
  <c r="I94" i="86" s="1"/>
  <c r="D138" i="57"/>
  <c r="BL163" i="59"/>
  <c r="N11" i="99"/>
  <c r="O11" i="99" s="1"/>
  <c r="G30" i="57"/>
  <c r="F29" i="85"/>
  <c r="BL189" i="58"/>
  <c r="BL191" i="58"/>
  <c r="M7" i="95"/>
  <c r="AP8" i="16"/>
  <c r="G82" i="53"/>
  <c r="M28" i="95"/>
  <c r="G108" i="55"/>
  <c r="BJ9" i="16"/>
  <c r="M6" i="95"/>
  <c r="P82" i="57"/>
  <c r="L79" i="85"/>
  <c r="N15" i="95"/>
  <c r="J54" i="87"/>
  <c r="D67" i="58"/>
  <c r="AP141" i="58"/>
  <c r="D141" i="58" s="1"/>
  <c r="R141" i="58" s="1"/>
  <c r="Q23" i="58" s="1"/>
  <c r="F79" i="85"/>
  <c r="N28" i="96"/>
  <c r="O28" i="96" s="1"/>
  <c r="N14" i="99"/>
  <c r="O14" i="99" s="1"/>
  <c r="BG191" i="58"/>
  <c r="N3" i="88"/>
  <c r="N24" i="98"/>
  <c r="O24" i="98" s="1"/>
  <c r="D15" i="58"/>
  <c r="N14" i="95"/>
  <c r="N21" i="95"/>
  <c r="N23" i="95"/>
  <c r="N11" i="95"/>
  <c r="O11" i="95" s="1"/>
  <c r="N10" i="96"/>
  <c r="O10" i="96" s="1"/>
  <c r="BI87" i="59"/>
  <c r="N9" i="98"/>
  <c r="O9" i="98" s="1"/>
  <c r="BI41" i="59"/>
  <c r="N69" i="98"/>
  <c r="O69" i="98" s="1"/>
  <c r="N67" i="98"/>
  <c r="O67" i="98" s="1"/>
  <c r="N93" i="98"/>
  <c r="O93" i="98" s="1"/>
  <c r="AH13" i="16"/>
  <c r="N11" i="88"/>
  <c r="M104" i="98"/>
  <c r="D139" i="58"/>
  <c r="AW17" i="58"/>
  <c r="M18" i="98"/>
  <c r="M2" i="98"/>
  <c r="D86" i="58"/>
  <c r="BI140" i="59"/>
  <c r="D145" i="59"/>
  <c r="BI38" i="59"/>
  <c r="BI7" i="59"/>
  <c r="BI170" i="59"/>
  <c r="BI37" i="59"/>
  <c r="BI64" i="59"/>
  <c r="AP144" i="53"/>
  <c r="D144" i="53" s="1"/>
  <c r="I144" i="53" s="1"/>
  <c r="N26" i="99"/>
  <c r="O26" i="99" s="1"/>
  <c r="AP118" i="59"/>
  <c r="D118" i="59" s="1"/>
  <c r="AP90" i="59"/>
  <c r="D90" i="59" s="1"/>
  <c r="M22" i="98"/>
  <c r="O22" i="98" s="1"/>
  <c r="BL168" i="59"/>
  <c r="BL190" i="58"/>
  <c r="AP10" i="16"/>
  <c r="G134" i="53"/>
  <c r="F79" i="41"/>
  <c r="B102" i="41"/>
  <c r="E94" i="41"/>
  <c r="E95" i="41" s="1"/>
  <c r="G94" i="41"/>
  <c r="G95" i="41" s="1"/>
  <c r="J79" i="41"/>
  <c r="K94" i="41"/>
  <c r="K95" i="41" s="1"/>
  <c r="N79" i="41"/>
  <c r="L79" i="41"/>
  <c r="I94" i="41"/>
  <c r="I95" i="41" s="1"/>
  <c r="M94" i="41"/>
  <c r="M95" i="41" s="1"/>
  <c r="D34" i="59"/>
  <c r="M21" i="96"/>
  <c r="N23" i="97"/>
  <c r="CD11" i="16"/>
  <c r="G160" i="57"/>
  <c r="D114" i="59"/>
  <c r="N54" i="87"/>
  <c r="D137" i="58"/>
  <c r="N54" i="85"/>
  <c r="N12" i="96"/>
  <c r="N5" i="99"/>
  <c r="O5" i="99" s="1"/>
  <c r="BG195" i="58"/>
  <c r="N26" i="95"/>
  <c r="O26" i="95" s="1"/>
  <c r="N7" i="95"/>
  <c r="O7" i="95" s="1"/>
  <c r="D140" i="53"/>
  <c r="R140" i="53" s="1"/>
  <c r="M20" i="88"/>
  <c r="N53" i="98"/>
  <c r="O53" i="98" s="1"/>
  <c r="N36" i="98"/>
  <c r="CR13" i="16"/>
  <c r="BA13" i="16"/>
  <c r="M16" i="88"/>
  <c r="M16" i="98"/>
  <c r="AW147" i="53"/>
  <c r="N8" i="96"/>
  <c r="BL89" i="57"/>
  <c r="M32" i="98"/>
  <c r="D36" i="58"/>
  <c r="R36" i="58" s="1"/>
  <c r="D65" i="58"/>
  <c r="N98" i="98"/>
  <c r="O98" i="98" s="1"/>
  <c r="N23" i="98"/>
  <c r="O23" i="98" s="1"/>
  <c r="N12" i="98"/>
  <c r="O12" i="98" s="1"/>
  <c r="N19" i="98"/>
  <c r="O19" i="98" s="1"/>
  <c r="N15" i="98"/>
  <c r="O15" i="98" s="1"/>
  <c r="N30" i="98"/>
  <c r="O30" i="98" s="1"/>
  <c r="M20" i="98"/>
  <c r="AW43" i="58"/>
  <c r="BI119" i="59"/>
  <c r="N56" i="99"/>
  <c r="O56" i="99" s="1"/>
  <c r="N4" i="99"/>
  <c r="O4" i="99" s="1"/>
  <c r="N28" i="99"/>
  <c r="O28" i="99" s="1"/>
  <c r="N24" i="99"/>
  <c r="O24" i="99" s="1"/>
  <c r="N20" i="99"/>
  <c r="O20" i="99" s="1"/>
  <c r="BI90" i="59"/>
  <c r="BI40" i="59"/>
  <c r="BI117" i="59"/>
  <c r="BI165" i="59"/>
  <c r="BI11" i="59"/>
  <c r="G30" i="52"/>
  <c r="F29" i="41"/>
  <c r="N2" i="99"/>
  <c r="O2" i="99" s="1"/>
  <c r="N28" i="97"/>
  <c r="O28" i="97" s="1"/>
  <c r="AP116" i="59"/>
  <c r="D116" i="59" s="1"/>
  <c r="M8" i="98"/>
  <c r="BL165" i="59"/>
  <c r="M15" i="95"/>
  <c r="BL170" i="58"/>
  <c r="G108" i="53"/>
  <c r="AP9" i="16"/>
  <c r="L54" i="41"/>
  <c r="N13" i="97"/>
  <c r="O13" i="97" s="1"/>
  <c r="CD10" i="16"/>
  <c r="G134" i="57"/>
  <c r="D38" i="58"/>
  <c r="L79" i="87"/>
  <c r="B102" i="87"/>
  <c r="F79" i="87"/>
  <c r="I94" i="87"/>
  <c r="I95" i="87" s="1"/>
  <c r="G94" i="87"/>
  <c r="G95" i="87" s="1"/>
  <c r="B78" i="87"/>
  <c r="M94" i="87"/>
  <c r="M95" i="87" s="1"/>
  <c r="K94" i="87"/>
  <c r="K95" i="87" s="1"/>
  <c r="H79" i="87"/>
  <c r="E94" i="87"/>
  <c r="E95" i="87" s="1"/>
  <c r="F4" i="84"/>
  <c r="G4" i="55"/>
  <c r="J79" i="85"/>
  <c r="N22" i="96"/>
  <c r="N29" i="99"/>
  <c r="O29" i="99" s="1"/>
  <c r="N16" i="99"/>
  <c r="O16" i="99" s="1"/>
  <c r="BG166" i="58"/>
  <c r="N22" i="95"/>
  <c r="N20" i="95"/>
  <c r="N3" i="96"/>
  <c r="V166" i="59"/>
  <c r="AP143" i="52"/>
  <c r="D143" i="52" s="1"/>
  <c r="R143" i="52" s="1"/>
  <c r="Q207" i="59"/>
  <c r="S198" i="59" s="1"/>
  <c r="V195" i="59"/>
  <c r="BL91" i="57"/>
  <c r="I114" i="57"/>
  <c r="H23" i="57" s="1"/>
  <c r="L114" i="57"/>
  <c r="K205" i="57" s="1"/>
  <c r="M192" i="57" s="1"/>
  <c r="O114" i="57"/>
  <c r="N75" i="57" s="1"/>
  <c r="R114" i="57"/>
  <c r="Q153" i="57" s="1"/>
  <c r="F114" i="57"/>
  <c r="E23" i="57" s="1"/>
  <c r="F117" i="57"/>
  <c r="E24" i="57" s="1"/>
  <c r="O117" i="57"/>
  <c r="N76" i="57" s="1"/>
  <c r="R117" i="57"/>
  <c r="L117" i="57"/>
  <c r="K206" i="57" s="1"/>
  <c r="M195" i="57" s="1"/>
  <c r="AP111" i="57"/>
  <c r="D111" i="57" s="1"/>
  <c r="F111" i="57" s="1"/>
  <c r="BL114" i="57"/>
  <c r="F88" i="57"/>
  <c r="E205" i="57" s="1"/>
  <c r="G192" i="57" s="1"/>
  <c r="R88" i="57"/>
  <c r="L88" i="57"/>
  <c r="K23" i="57" s="1"/>
  <c r="O88" i="57"/>
  <c r="N179" i="57" s="1"/>
  <c r="P166" i="57" s="1"/>
  <c r="I88" i="57"/>
  <c r="H153" i="57" s="1"/>
  <c r="BL196" i="57"/>
  <c r="BL171" i="57"/>
  <c r="BL197" i="57"/>
  <c r="BL60" i="57"/>
  <c r="BL189" i="57"/>
  <c r="BL193" i="57"/>
  <c r="BL168" i="57"/>
  <c r="BL191" i="57"/>
  <c r="BL169" i="57"/>
  <c r="BL194" i="57"/>
  <c r="BL165" i="57"/>
  <c r="BL164" i="57"/>
  <c r="BL163" i="57"/>
  <c r="BL192" i="57"/>
  <c r="BL166" i="57"/>
  <c r="BL167" i="57"/>
  <c r="BL170" i="57"/>
  <c r="BL190" i="57"/>
  <c r="BL90" i="57"/>
  <c r="BL195" i="57"/>
  <c r="R85" i="57"/>
  <c r="Q74" i="57" s="1"/>
  <c r="O85" i="57"/>
  <c r="I85" i="57"/>
  <c r="L85" i="57"/>
  <c r="N100" i="97"/>
  <c r="O60" i="57"/>
  <c r="N100" i="57" s="1"/>
  <c r="N103" i="57" s="1"/>
  <c r="L60" i="57"/>
  <c r="N60" i="97"/>
  <c r="N76" i="97"/>
  <c r="U64" i="57"/>
  <c r="D63" i="57"/>
  <c r="AP62" i="57"/>
  <c r="D62" i="57" s="1"/>
  <c r="R62" i="57" s="1"/>
  <c r="D61" i="57"/>
  <c r="AP65" i="57"/>
  <c r="D65" i="57" s="1"/>
  <c r="R65" i="57" s="1"/>
  <c r="N92" i="97"/>
  <c r="N52" i="97"/>
  <c r="N84" i="97"/>
  <c r="N44" i="97"/>
  <c r="N36" i="97"/>
  <c r="F36" i="57"/>
  <c r="E179" i="57" s="1"/>
  <c r="G166" i="57" s="1"/>
  <c r="O36" i="57"/>
  <c r="N205" i="57" s="1"/>
  <c r="P192" i="57" s="1"/>
  <c r="L36" i="57"/>
  <c r="K75" i="57" s="1"/>
  <c r="I36" i="57"/>
  <c r="R36" i="57"/>
  <c r="Q23" i="57" s="1"/>
  <c r="F33" i="57"/>
  <c r="E178" i="57" s="1"/>
  <c r="G163" i="57" s="1"/>
  <c r="R33" i="57"/>
  <c r="Q22" i="57" s="1"/>
  <c r="L33" i="57"/>
  <c r="O33" i="57"/>
  <c r="N204" i="57" s="1"/>
  <c r="P189" i="57" s="1"/>
  <c r="I33" i="57"/>
  <c r="L39" i="57"/>
  <c r="K154" i="57" s="1"/>
  <c r="O39" i="57"/>
  <c r="N206" i="57" s="1"/>
  <c r="P195" i="57" s="1"/>
  <c r="I39" i="57"/>
  <c r="R39" i="57"/>
  <c r="Q24" i="57" s="1"/>
  <c r="F39" i="57"/>
  <c r="E180" i="57" s="1"/>
  <c r="G169" i="57" s="1"/>
  <c r="M84" i="97"/>
  <c r="M92" i="97"/>
  <c r="I10" i="57"/>
  <c r="L10" i="57"/>
  <c r="K101" i="57" s="1"/>
  <c r="R10" i="57"/>
  <c r="Q49" i="57" s="1"/>
  <c r="O10" i="57"/>
  <c r="N49" i="57" s="1"/>
  <c r="M52" i="97"/>
  <c r="M36" i="97"/>
  <c r="M76" i="97"/>
  <c r="M68" i="97"/>
  <c r="M55" i="97"/>
  <c r="M64" i="97"/>
  <c r="M41" i="97"/>
  <c r="M78" i="97"/>
  <c r="M70" i="97"/>
  <c r="M96" i="97"/>
  <c r="M98" i="97"/>
  <c r="M35" i="97"/>
  <c r="M40" i="97"/>
  <c r="M73" i="97"/>
  <c r="M97" i="97"/>
  <c r="M83" i="97"/>
  <c r="M80" i="97"/>
  <c r="M58" i="97"/>
  <c r="M62" i="97"/>
  <c r="M93" i="97"/>
  <c r="M37" i="97"/>
  <c r="M59" i="97"/>
  <c r="M103" i="97"/>
  <c r="M33" i="97"/>
  <c r="M69" i="97"/>
  <c r="M45" i="97"/>
  <c r="M48" i="97"/>
  <c r="M47" i="97"/>
  <c r="M94" i="97"/>
  <c r="M81" i="97"/>
  <c r="M43" i="97"/>
  <c r="M102" i="97"/>
  <c r="M66" i="97"/>
  <c r="M77" i="97"/>
  <c r="M42" i="97"/>
  <c r="M49" i="97"/>
  <c r="M95" i="97"/>
  <c r="M79" i="97"/>
  <c r="M54" i="97"/>
  <c r="M90" i="97"/>
  <c r="M65" i="97"/>
  <c r="M38" i="97"/>
  <c r="M75" i="97"/>
  <c r="M61" i="97"/>
  <c r="M101" i="97"/>
  <c r="M87" i="97"/>
  <c r="M50" i="97"/>
  <c r="M46" i="97"/>
  <c r="M104" i="97"/>
  <c r="M71" i="97"/>
  <c r="M63" i="97"/>
  <c r="M67" i="97"/>
  <c r="M53" i="97"/>
  <c r="M82" i="97"/>
  <c r="M89" i="97"/>
  <c r="M91" i="97"/>
  <c r="M57" i="97"/>
  <c r="M85" i="97"/>
  <c r="M72" i="97"/>
  <c r="M88" i="97"/>
  <c r="M39" i="97"/>
  <c r="M34" i="97"/>
  <c r="M86" i="97"/>
  <c r="M74" i="97"/>
  <c r="M32" i="97"/>
  <c r="M56" i="97"/>
  <c r="M99" i="97"/>
  <c r="M51" i="97"/>
  <c r="M44" i="97"/>
  <c r="M100" i="97"/>
  <c r="AP13" i="57"/>
  <c r="D13" i="57" s="1"/>
  <c r="AP9" i="57"/>
  <c r="D9" i="57" s="1"/>
  <c r="F9" i="57" s="1"/>
  <c r="AP14" i="57"/>
  <c r="D14" i="57" s="1"/>
  <c r="AP140" i="55"/>
  <c r="D140" i="55" s="1"/>
  <c r="AP145" i="55"/>
  <c r="D145" i="55" s="1"/>
  <c r="AP144" i="55"/>
  <c r="D144" i="55" s="1"/>
  <c r="AP143" i="55"/>
  <c r="D143" i="55" s="1"/>
  <c r="R143" i="55" s="1"/>
  <c r="AP141" i="55"/>
  <c r="D141" i="55" s="1"/>
  <c r="O141" i="55" s="1"/>
  <c r="U141" i="55" s="1"/>
  <c r="BG9" i="55"/>
  <c r="BG145" i="55"/>
  <c r="I117" i="55"/>
  <c r="H206" i="55" s="1"/>
  <c r="J195" i="55" s="1"/>
  <c r="L117" i="55"/>
  <c r="K76" i="55" s="1"/>
  <c r="R117" i="55"/>
  <c r="O117" i="55"/>
  <c r="N154" i="55" s="1"/>
  <c r="F117" i="55"/>
  <c r="E50" i="55" s="1"/>
  <c r="G39" i="55" s="1"/>
  <c r="D111" i="55"/>
  <c r="AP114" i="55"/>
  <c r="D114" i="55" s="1"/>
  <c r="D113" i="55"/>
  <c r="R91" i="55"/>
  <c r="Q128" i="55" s="1"/>
  <c r="AP93" i="55"/>
  <c r="D93" i="55" s="1"/>
  <c r="AP87" i="55"/>
  <c r="D87" i="55" s="1"/>
  <c r="BG164" i="55"/>
  <c r="BG92" i="55"/>
  <c r="BG137" i="55"/>
  <c r="BG163" i="55"/>
  <c r="BG91" i="55"/>
  <c r="BG86" i="55"/>
  <c r="BG192" i="55"/>
  <c r="BG193" i="55"/>
  <c r="BG195" i="55"/>
  <c r="BG87" i="55"/>
  <c r="BG166" i="55"/>
  <c r="BG197" i="55"/>
  <c r="BG116" i="55"/>
  <c r="BG138" i="55"/>
  <c r="BG170" i="55"/>
  <c r="BG196" i="55"/>
  <c r="BG169" i="55"/>
  <c r="BG165" i="55"/>
  <c r="BG171" i="55"/>
  <c r="BG167" i="55"/>
  <c r="BG189" i="55"/>
  <c r="BG190" i="55"/>
  <c r="BG191" i="55"/>
  <c r="BG168" i="55"/>
  <c r="BG194" i="55"/>
  <c r="O62" i="55"/>
  <c r="F62" i="55"/>
  <c r="E205" i="55" s="1"/>
  <c r="G192" i="55" s="1"/>
  <c r="O60" i="55"/>
  <c r="L60" i="55"/>
  <c r="K126" i="55" s="1"/>
  <c r="AP59" i="55"/>
  <c r="D59" i="55" s="1"/>
  <c r="AP63" i="55"/>
  <c r="D63" i="55" s="1"/>
  <c r="O63" i="55" s="1"/>
  <c r="D61" i="55"/>
  <c r="R61" i="55" s="1"/>
  <c r="O39" i="55"/>
  <c r="N24" i="55" s="1"/>
  <c r="R39" i="55"/>
  <c r="Q154" i="55" s="1"/>
  <c r="S143" i="55" s="1"/>
  <c r="L39" i="55"/>
  <c r="K206" i="55" s="1"/>
  <c r="M195" i="55" s="1"/>
  <c r="I39" i="55"/>
  <c r="H76" i="55" s="1"/>
  <c r="L33" i="55"/>
  <c r="K204" i="55" s="1"/>
  <c r="M189" i="55" s="1"/>
  <c r="O33" i="55"/>
  <c r="N22" i="55" s="1"/>
  <c r="I33" i="55"/>
  <c r="H74" i="55" s="1"/>
  <c r="R33" i="55"/>
  <c r="F33" i="55"/>
  <c r="E126" i="55" s="1"/>
  <c r="N34" i="96"/>
  <c r="M42" i="96"/>
  <c r="M66" i="96"/>
  <c r="M74" i="96"/>
  <c r="D11" i="55"/>
  <c r="L11" i="55" s="1"/>
  <c r="D10" i="55"/>
  <c r="I10" i="55" s="1"/>
  <c r="AP13" i="55"/>
  <c r="D13" i="55" s="1"/>
  <c r="F13" i="55" s="1"/>
  <c r="E180" i="55" s="1"/>
  <c r="G169" i="55" s="1"/>
  <c r="L115" i="53"/>
  <c r="I115" i="53"/>
  <c r="O115" i="53"/>
  <c r="R115" i="53"/>
  <c r="Q23" i="53" s="1"/>
  <c r="O85" i="53"/>
  <c r="N126" i="53" s="1"/>
  <c r="F85" i="53"/>
  <c r="E22" i="53" s="1"/>
  <c r="I85" i="53"/>
  <c r="H178" i="53" s="1"/>
  <c r="J163" i="53" s="1"/>
  <c r="R85" i="53"/>
  <c r="L85" i="53"/>
  <c r="AP93" i="53"/>
  <c r="D93" i="53" s="1"/>
  <c r="R91" i="53"/>
  <c r="Q206" i="53" s="1"/>
  <c r="S195" i="53" s="1"/>
  <c r="L91" i="53"/>
  <c r="K50" i="53" s="1"/>
  <c r="O91" i="53"/>
  <c r="N128" i="53" s="1"/>
  <c r="AP87" i="53"/>
  <c r="D87" i="53" s="1"/>
  <c r="M51" i="95"/>
  <c r="BG38" i="53"/>
  <c r="M48" i="95"/>
  <c r="BG39" i="53"/>
  <c r="BG140" i="53"/>
  <c r="M72" i="95"/>
  <c r="BG40" i="53"/>
  <c r="BG86" i="53"/>
  <c r="BG41" i="53"/>
  <c r="M75" i="95"/>
  <c r="M64" i="95"/>
  <c r="BG193" i="53"/>
  <c r="BG194" i="53"/>
  <c r="BG195" i="53"/>
  <c r="BG165" i="53"/>
  <c r="BG169" i="53"/>
  <c r="BG67" i="53"/>
  <c r="BG196" i="53"/>
  <c r="BG8" i="53"/>
  <c r="BG192" i="53"/>
  <c r="BG66" i="53"/>
  <c r="BG15" i="53"/>
  <c r="BG11" i="53"/>
  <c r="BG59" i="53"/>
  <c r="BG92" i="53"/>
  <c r="BG87" i="53"/>
  <c r="BG88" i="53"/>
  <c r="BG85" i="53"/>
  <c r="BG115" i="53"/>
  <c r="BG143" i="53"/>
  <c r="BG113" i="53"/>
  <c r="BG191" i="53"/>
  <c r="BG139" i="53"/>
  <c r="BL196" i="53"/>
  <c r="BG190" i="53"/>
  <c r="BG13" i="53"/>
  <c r="BG189" i="53"/>
  <c r="I66" i="53"/>
  <c r="O66" i="53"/>
  <c r="N180" i="53" s="1"/>
  <c r="P169" i="53" s="1"/>
  <c r="L66" i="53"/>
  <c r="K24" i="53" s="1"/>
  <c r="R66" i="53"/>
  <c r="Q154" i="53" s="1"/>
  <c r="O62" i="53"/>
  <c r="N179" i="53" s="1"/>
  <c r="P166" i="53" s="1"/>
  <c r="F62" i="53"/>
  <c r="E49" i="53" s="1"/>
  <c r="D60" i="53"/>
  <c r="O60" i="53" s="1"/>
  <c r="BL163" i="53"/>
  <c r="BL165" i="53"/>
  <c r="BL191" i="53"/>
  <c r="BL169" i="53"/>
  <c r="N83" i="95"/>
  <c r="O83" i="95" s="1"/>
  <c r="BL195" i="53"/>
  <c r="BL190" i="53"/>
  <c r="BL164" i="53"/>
  <c r="BL194" i="53"/>
  <c r="BL193" i="53"/>
  <c r="BL170" i="53"/>
  <c r="BL171" i="53"/>
  <c r="BL197" i="53"/>
  <c r="BL167" i="53"/>
  <c r="BL168" i="53"/>
  <c r="BL166" i="53"/>
  <c r="BL192" i="53"/>
  <c r="N99" i="95"/>
  <c r="N104" i="95"/>
  <c r="BL189" i="53"/>
  <c r="N48" i="95"/>
  <c r="L34" i="53"/>
  <c r="K100" i="53" s="1"/>
  <c r="O34" i="53"/>
  <c r="I34" i="53"/>
  <c r="H204" i="53" s="1"/>
  <c r="J189" i="53" s="1"/>
  <c r="D35" i="53"/>
  <c r="R35" i="53" s="1"/>
  <c r="D40" i="53"/>
  <c r="L40" i="53" s="1"/>
  <c r="AP39" i="53"/>
  <c r="D39" i="53" s="1"/>
  <c r="M80" i="95"/>
  <c r="N51" i="95"/>
  <c r="BG171" i="53"/>
  <c r="BG90" i="53"/>
  <c r="BG142" i="53"/>
  <c r="BG64" i="53"/>
  <c r="M88" i="95"/>
  <c r="M104" i="95"/>
  <c r="N35" i="95"/>
  <c r="M32" i="95"/>
  <c r="N88" i="95"/>
  <c r="BG144" i="53"/>
  <c r="BG168" i="53"/>
  <c r="BG163" i="53"/>
  <c r="BG65" i="53"/>
  <c r="BG164" i="53"/>
  <c r="BG14" i="53"/>
  <c r="BG118" i="53"/>
  <c r="AW17" i="53"/>
  <c r="BG7" i="53"/>
  <c r="BG9" i="53"/>
  <c r="BG35" i="53"/>
  <c r="BG91" i="53"/>
  <c r="BG116" i="53"/>
  <c r="BG111" i="53"/>
  <c r="BG36" i="53"/>
  <c r="BG117" i="53"/>
  <c r="BG114" i="53"/>
  <c r="M99" i="95"/>
  <c r="M96" i="95"/>
  <c r="BG34" i="53"/>
  <c r="BG93" i="53"/>
  <c r="BG10" i="53"/>
  <c r="BG145" i="53"/>
  <c r="BG119" i="53"/>
  <c r="BG112" i="53"/>
  <c r="BG37" i="53"/>
  <c r="BG138" i="53"/>
  <c r="BG166" i="53"/>
  <c r="BG60" i="53"/>
  <c r="BG33" i="53"/>
  <c r="BG137" i="53"/>
  <c r="BG61" i="53"/>
  <c r="BG12" i="53"/>
  <c r="M35" i="95"/>
  <c r="M5" i="95"/>
  <c r="M102" i="95"/>
  <c r="M62" i="95"/>
  <c r="M45" i="95"/>
  <c r="M39" i="95"/>
  <c r="M42" i="95"/>
  <c r="M65" i="95"/>
  <c r="M101" i="95"/>
  <c r="M60" i="95"/>
  <c r="M77" i="95"/>
  <c r="M76" i="95"/>
  <c r="M67" i="95"/>
  <c r="M36" i="95"/>
  <c r="M100" i="95"/>
  <c r="M84" i="95"/>
  <c r="M73" i="95"/>
  <c r="M97" i="95"/>
  <c r="M82" i="95"/>
  <c r="M70" i="95"/>
  <c r="M81" i="95"/>
  <c r="M93" i="95"/>
  <c r="M50" i="95"/>
  <c r="M79" i="95"/>
  <c r="M61" i="95"/>
  <c r="M34" i="95"/>
  <c r="M74" i="95"/>
  <c r="M89" i="95"/>
  <c r="M68" i="95"/>
  <c r="M95" i="95"/>
  <c r="M94" i="95"/>
  <c r="M87" i="95"/>
  <c r="M86" i="95"/>
  <c r="M38" i="95"/>
  <c r="M78" i="95"/>
  <c r="M49" i="95"/>
  <c r="M69" i="95"/>
  <c r="M52" i="95"/>
  <c r="M41" i="95"/>
  <c r="M92" i="95"/>
  <c r="M59" i="95"/>
  <c r="M58" i="95"/>
  <c r="M53" i="95"/>
  <c r="M66" i="95"/>
  <c r="M63" i="95"/>
  <c r="M44" i="95"/>
  <c r="M37" i="95"/>
  <c r="M46" i="95"/>
  <c r="M33" i="95"/>
  <c r="M54" i="95"/>
  <c r="M57" i="95"/>
  <c r="M85" i="95"/>
  <c r="M90" i="95"/>
  <c r="M71" i="95"/>
  <c r="M98" i="95"/>
  <c r="M55" i="95"/>
  <c r="M56" i="95"/>
  <c r="M103" i="95"/>
  <c r="M47" i="95"/>
  <c r="I11" i="53"/>
  <c r="L11" i="53"/>
  <c r="K75" i="53" s="1"/>
  <c r="M62" i="53" s="1"/>
  <c r="R8" i="53"/>
  <c r="O8" i="53"/>
  <c r="L8" i="53"/>
  <c r="O12" i="53"/>
  <c r="P10" i="53" s="1"/>
  <c r="R12" i="53"/>
  <c r="Q127" i="53" s="1"/>
  <c r="AP189" i="52"/>
  <c r="D189" i="52" s="1"/>
  <c r="F189" i="52" s="1"/>
  <c r="AP138" i="52"/>
  <c r="D138" i="52" s="1"/>
  <c r="AP139" i="52"/>
  <c r="D139" i="52" s="1"/>
  <c r="AP141" i="52"/>
  <c r="D141" i="52" s="1"/>
  <c r="AO115" i="52"/>
  <c r="AP115" i="52" s="1"/>
  <c r="D115" i="52" s="1"/>
  <c r="R115" i="52" s="1"/>
  <c r="AO112" i="52"/>
  <c r="AP111" i="52"/>
  <c r="D111" i="52" s="1"/>
  <c r="AP118" i="52"/>
  <c r="D118" i="52" s="1"/>
  <c r="AW95" i="52"/>
  <c r="AO92" i="52"/>
  <c r="AP92" i="52" s="1"/>
  <c r="D92" i="52" s="1"/>
  <c r="O92" i="52" s="1"/>
  <c r="AP93" i="52"/>
  <c r="D93" i="52" s="1"/>
  <c r="R93" i="52" s="1"/>
  <c r="U93" i="52" s="1"/>
  <c r="AP86" i="52"/>
  <c r="D86" i="52" s="1"/>
  <c r="R86" i="52" s="1"/>
  <c r="AO63" i="52"/>
  <c r="AP63" i="52" s="1"/>
  <c r="D63" i="52" s="1"/>
  <c r="R63" i="52" s="1"/>
  <c r="BL14" i="52"/>
  <c r="BL65" i="52"/>
  <c r="D61" i="52"/>
  <c r="R61" i="52" s="1"/>
  <c r="U61" i="52" s="1"/>
  <c r="AO62" i="52"/>
  <c r="N73" i="88"/>
  <c r="M42" i="88"/>
  <c r="M75" i="88"/>
  <c r="M32" i="88"/>
  <c r="BG10" i="52"/>
  <c r="AO35" i="52"/>
  <c r="AP35" i="52" s="1"/>
  <c r="D35" i="52" s="1"/>
  <c r="R35" i="52" s="1"/>
  <c r="M93" i="88"/>
  <c r="M33" i="88"/>
  <c r="AO40" i="52"/>
  <c r="AP40" i="52" s="1"/>
  <c r="AO33" i="52"/>
  <c r="AO36" i="52"/>
  <c r="M86" i="88"/>
  <c r="BL61" i="52"/>
  <c r="M38" i="88"/>
  <c r="BG90" i="52"/>
  <c r="M74" i="88"/>
  <c r="BG93" i="52"/>
  <c r="BL143" i="52"/>
  <c r="BG36" i="52"/>
  <c r="BG65" i="52"/>
  <c r="BG116" i="52"/>
  <c r="M69" i="88"/>
  <c r="BL165" i="52"/>
  <c r="BG138" i="52"/>
  <c r="N59" i="88"/>
  <c r="BG37" i="52"/>
  <c r="BG91" i="52"/>
  <c r="BG87" i="52"/>
  <c r="BG141" i="52"/>
  <c r="BG189" i="52"/>
  <c r="BG169" i="52"/>
  <c r="BG117" i="52"/>
  <c r="BG167" i="52"/>
  <c r="BG191" i="52"/>
  <c r="BG163" i="52"/>
  <c r="BG166" i="52"/>
  <c r="BG197" i="52"/>
  <c r="BG196" i="52"/>
  <c r="BG33" i="52"/>
  <c r="M84" i="88"/>
  <c r="BG38" i="52"/>
  <c r="BG190" i="52"/>
  <c r="BG194" i="52"/>
  <c r="BG61" i="52"/>
  <c r="BG139" i="52"/>
  <c r="M83" i="88"/>
  <c r="BL191" i="52"/>
  <c r="BG168" i="52"/>
  <c r="BG86" i="52"/>
  <c r="BG164" i="52"/>
  <c r="BG192" i="52"/>
  <c r="BG195" i="52"/>
  <c r="BG165" i="52"/>
  <c r="BG193" i="52"/>
  <c r="BG170" i="52"/>
  <c r="BG171" i="52"/>
  <c r="L11" i="52"/>
  <c r="R11" i="52"/>
  <c r="AP13" i="52"/>
  <c r="D13" i="52" s="1"/>
  <c r="AP15" i="52"/>
  <c r="D15" i="52" s="1"/>
  <c r="AP12" i="52"/>
  <c r="D12" i="52" s="1"/>
  <c r="S189" i="59"/>
  <c r="V192" i="59"/>
  <c r="Q207" i="57"/>
  <c r="S198" i="57" s="1"/>
  <c r="S189" i="57"/>
  <c r="K181" i="59"/>
  <c r="M172" i="59" s="1"/>
  <c r="M173" i="59" s="1"/>
  <c r="Q181" i="57"/>
  <c r="S172" i="57" s="1"/>
  <c r="S163" i="57"/>
  <c r="G163" i="59"/>
  <c r="E181" i="59"/>
  <c r="G172" i="59" s="1"/>
  <c r="G189" i="59"/>
  <c r="E207" i="59"/>
  <c r="G198" i="59" s="1"/>
  <c r="O85" i="52"/>
  <c r="R85" i="52"/>
  <c r="L85" i="52"/>
  <c r="Q75" i="55"/>
  <c r="J189" i="59"/>
  <c r="H207" i="59"/>
  <c r="J198" i="59" s="1"/>
  <c r="P189" i="59"/>
  <c r="N207" i="59"/>
  <c r="P198" i="59" s="1"/>
  <c r="P163" i="59"/>
  <c r="N181" i="59"/>
  <c r="P172" i="59" s="1"/>
  <c r="K207" i="59"/>
  <c r="M198" i="59" s="1"/>
  <c r="M199" i="59" s="1"/>
  <c r="S163" i="59"/>
  <c r="Q181" i="59"/>
  <c r="S172" i="59" s="1"/>
  <c r="H181" i="59"/>
  <c r="J172" i="59" s="1"/>
  <c r="P163" i="55"/>
  <c r="N181" i="55"/>
  <c r="V199" i="117"/>
  <c r="AQ199" i="117" s="1"/>
  <c r="BD199" i="117" s="1"/>
  <c r="V121" i="117"/>
  <c r="AQ121" i="117" s="1"/>
  <c r="BD121" i="117" s="1"/>
  <c r="V17" i="117"/>
  <c r="AQ17" i="117" s="1"/>
  <c r="BD17" i="117" s="1"/>
  <c r="V43" i="117"/>
  <c r="AQ43" i="117" s="1"/>
  <c r="BD43" i="117" s="1"/>
  <c r="V95" i="117"/>
  <c r="AQ95" i="117" s="1"/>
  <c r="BD95" i="117" s="1"/>
  <c r="V173" i="117"/>
  <c r="AQ173" i="117" s="1"/>
  <c r="BD173" i="117" s="1"/>
  <c r="V147" i="117"/>
  <c r="AQ147" i="117" s="1"/>
  <c r="BD147" i="117" s="1"/>
  <c r="V69" i="117"/>
  <c r="AQ69" i="117" s="1"/>
  <c r="BD69" i="117" s="1"/>
  <c r="N60" i="99"/>
  <c r="O60" i="99" s="1"/>
  <c r="N71" i="99"/>
  <c r="O71" i="99" s="1"/>
  <c r="N88" i="99"/>
  <c r="O88" i="99" s="1"/>
  <c r="N83" i="99"/>
  <c r="O83" i="99" s="1"/>
  <c r="N41" i="99"/>
  <c r="O41" i="99" s="1"/>
  <c r="N96" i="99"/>
  <c r="O96" i="99" s="1"/>
  <c r="N46" i="99"/>
  <c r="O46" i="99" s="1"/>
  <c r="N72" i="99"/>
  <c r="O72" i="99" s="1"/>
  <c r="N104" i="99"/>
  <c r="O104" i="99" s="1"/>
  <c r="N92" i="99"/>
  <c r="O92" i="99" s="1"/>
  <c r="N59" i="99"/>
  <c r="O59" i="99" s="1"/>
  <c r="N40" i="99"/>
  <c r="O40" i="99" s="1"/>
  <c r="N82" i="99"/>
  <c r="O82" i="99" s="1"/>
  <c r="N54" i="99"/>
  <c r="O54" i="99" s="1"/>
  <c r="N100" i="99"/>
  <c r="O100" i="99" s="1"/>
  <c r="N65" i="99"/>
  <c r="O65" i="99" s="1"/>
  <c r="N97" i="99"/>
  <c r="O97" i="99" s="1"/>
  <c r="N38" i="99"/>
  <c r="O38" i="99" s="1"/>
  <c r="N34" i="99"/>
  <c r="O34" i="99" s="1"/>
  <c r="N87" i="99"/>
  <c r="O87" i="99" s="1"/>
  <c r="N102" i="99"/>
  <c r="O102" i="99" s="1"/>
  <c r="N68" i="99"/>
  <c r="O68" i="99" s="1"/>
  <c r="N51" i="99"/>
  <c r="O51" i="99" s="1"/>
  <c r="N101" i="99"/>
  <c r="O101" i="99" s="1"/>
  <c r="N49" i="99"/>
  <c r="O49" i="99" s="1"/>
  <c r="N53" i="99"/>
  <c r="O53" i="99" s="1"/>
  <c r="N76" i="99"/>
  <c r="O76" i="99" s="1"/>
  <c r="N73" i="99"/>
  <c r="O73" i="99" s="1"/>
  <c r="N48" i="99"/>
  <c r="O48" i="99" s="1"/>
  <c r="N75" i="99"/>
  <c r="O75" i="99" s="1"/>
  <c r="N80" i="99"/>
  <c r="O80" i="99" s="1"/>
  <c r="N61" i="99"/>
  <c r="O61" i="99" s="1"/>
  <c r="N86" i="99"/>
  <c r="O86" i="99" s="1"/>
  <c r="N42" i="99"/>
  <c r="O42" i="99" s="1"/>
  <c r="N36" i="99"/>
  <c r="O36" i="99" s="1"/>
  <c r="N98" i="99"/>
  <c r="O98" i="99" s="1"/>
  <c r="N58" i="99"/>
  <c r="O58" i="99" s="1"/>
  <c r="N99" i="99"/>
  <c r="O99" i="99" s="1"/>
  <c r="N62" i="99"/>
  <c r="O62" i="99" s="1"/>
  <c r="N57" i="99"/>
  <c r="O57" i="99" s="1"/>
  <c r="N44" i="99"/>
  <c r="O44" i="99" s="1"/>
  <c r="N90" i="99"/>
  <c r="O90" i="99" s="1"/>
  <c r="N63" i="99"/>
  <c r="O63" i="99" s="1"/>
  <c r="N85" i="99"/>
  <c r="O85" i="99" s="1"/>
  <c r="N67" i="99"/>
  <c r="O67" i="99" s="1"/>
  <c r="N55" i="99"/>
  <c r="O55" i="99" s="1"/>
  <c r="BL141" i="59"/>
  <c r="BL145" i="59"/>
  <c r="BL39" i="59"/>
  <c r="BL93" i="59"/>
  <c r="BL143" i="59"/>
  <c r="BL86" i="59"/>
  <c r="BL139" i="59"/>
  <c r="BL90" i="59"/>
  <c r="BL60" i="59"/>
  <c r="BL33" i="59"/>
  <c r="BL10" i="59"/>
  <c r="BL92" i="59"/>
  <c r="BL64" i="59"/>
  <c r="BL14" i="59"/>
  <c r="BL9" i="59"/>
  <c r="BL112" i="59"/>
  <c r="BL8" i="59"/>
  <c r="BL88" i="59"/>
  <c r="BL40" i="59"/>
  <c r="BL91" i="59"/>
  <c r="BL7" i="59"/>
  <c r="BL137" i="59"/>
  <c r="BL142" i="59"/>
  <c r="BL59" i="59"/>
  <c r="BL11" i="59"/>
  <c r="BL38" i="59"/>
  <c r="BL144" i="59"/>
  <c r="BL37" i="59"/>
  <c r="BL13" i="59"/>
  <c r="BL85" i="59"/>
  <c r="BL118" i="59"/>
  <c r="BL89" i="59"/>
  <c r="BL87" i="59"/>
  <c r="BL140" i="59"/>
  <c r="BL138" i="59"/>
  <c r="BL63" i="59"/>
  <c r="BL115" i="59"/>
  <c r="BL36" i="59"/>
  <c r="BL119" i="59"/>
  <c r="BL41" i="59"/>
  <c r="BL116" i="59"/>
  <c r="BL117" i="59"/>
  <c r="BL65" i="59"/>
  <c r="BL15" i="59"/>
  <c r="BL114" i="59"/>
  <c r="BL35" i="59"/>
  <c r="BL67" i="59"/>
  <c r="BL113" i="59"/>
  <c r="BL111" i="59"/>
  <c r="BL34" i="59"/>
  <c r="BL61" i="59"/>
  <c r="BL66" i="59"/>
  <c r="BL12" i="59"/>
  <c r="N33" i="99"/>
  <c r="O33" i="99" s="1"/>
  <c r="N35" i="99"/>
  <c r="O35" i="99" s="1"/>
  <c r="N50" i="99"/>
  <c r="O50" i="99" s="1"/>
  <c r="N47" i="99"/>
  <c r="O47" i="99" s="1"/>
  <c r="N89" i="99"/>
  <c r="O89" i="99" s="1"/>
  <c r="N64" i="99"/>
  <c r="O64" i="99" s="1"/>
  <c r="N91" i="99"/>
  <c r="O91" i="99" s="1"/>
  <c r="N69" i="99"/>
  <c r="O69" i="99" s="1"/>
  <c r="N39" i="99"/>
  <c r="O39" i="99" s="1"/>
  <c r="N103" i="99"/>
  <c r="O103" i="99" s="1"/>
  <c r="N45" i="99"/>
  <c r="O45" i="99" s="1"/>
  <c r="N74" i="99"/>
  <c r="O74" i="99" s="1"/>
  <c r="N66" i="99"/>
  <c r="O66" i="99" s="1"/>
  <c r="N84" i="99"/>
  <c r="O84" i="99" s="1"/>
  <c r="N77" i="99"/>
  <c r="O77" i="99" s="1"/>
  <c r="N32" i="99"/>
  <c r="O32" i="99" s="1"/>
  <c r="N78" i="99"/>
  <c r="O78" i="99" s="1"/>
  <c r="N70" i="99"/>
  <c r="O70" i="99" s="1"/>
  <c r="N52" i="99"/>
  <c r="O52" i="99" s="1"/>
  <c r="N43" i="99"/>
  <c r="O43" i="99" s="1"/>
  <c r="N94" i="99"/>
  <c r="O94" i="99" s="1"/>
  <c r="N37" i="99"/>
  <c r="O37" i="99" s="1"/>
  <c r="H103" i="58"/>
  <c r="M81" i="98"/>
  <c r="M60" i="98"/>
  <c r="M55" i="98"/>
  <c r="M38" i="98"/>
  <c r="M95" i="98"/>
  <c r="M97" i="98"/>
  <c r="M90" i="98"/>
  <c r="M76" i="98"/>
  <c r="M86" i="98"/>
  <c r="M57" i="98"/>
  <c r="M91" i="98"/>
  <c r="M41" i="98"/>
  <c r="M47" i="98"/>
  <c r="M92" i="98"/>
  <c r="M72" i="98"/>
  <c r="M99" i="98"/>
  <c r="M89" i="98"/>
  <c r="M34" i="98"/>
  <c r="M78" i="98"/>
  <c r="M51" i="98"/>
  <c r="M74" i="98"/>
  <c r="M35" i="98"/>
  <c r="M87" i="98"/>
  <c r="M43" i="98"/>
  <c r="M42" i="98"/>
  <c r="BG62" i="58"/>
  <c r="BL38" i="58"/>
  <c r="BG13" i="58"/>
  <c r="BG88" i="58"/>
  <c r="BG41" i="58"/>
  <c r="N61" i="98"/>
  <c r="O61" i="98" s="1"/>
  <c r="M101" i="98"/>
  <c r="M96" i="98"/>
  <c r="M77" i="98"/>
  <c r="N46" i="98"/>
  <c r="O46" i="98" s="1"/>
  <c r="BG12" i="58"/>
  <c r="BL116" i="58"/>
  <c r="BG39" i="58"/>
  <c r="AO34" i="58"/>
  <c r="AP34" i="58" s="1"/>
  <c r="N73" i="98"/>
  <c r="O73" i="98" s="1"/>
  <c r="M50" i="98"/>
  <c r="M33" i="98"/>
  <c r="AO12" i="58"/>
  <c r="AP12" i="58" s="1"/>
  <c r="AW95" i="58"/>
  <c r="BL145" i="58"/>
  <c r="BG34" i="58"/>
  <c r="M73" i="98"/>
  <c r="N88" i="98"/>
  <c r="O88" i="98" s="1"/>
  <c r="M88" i="98"/>
  <c r="M69" i="98"/>
  <c r="BL90" i="58"/>
  <c r="BG64" i="58"/>
  <c r="BG111" i="58"/>
  <c r="BG139" i="58"/>
  <c r="BG113" i="58"/>
  <c r="N82" i="98"/>
  <c r="O82" i="98" s="1"/>
  <c r="N59" i="98"/>
  <c r="O59" i="98" s="1"/>
  <c r="N70" i="98"/>
  <c r="O70" i="98" s="1"/>
  <c r="N51" i="98"/>
  <c r="O51" i="98" s="1"/>
  <c r="N68" i="98"/>
  <c r="O68" i="98" s="1"/>
  <c r="N83" i="98"/>
  <c r="O83" i="98" s="1"/>
  <c r="N94" i="98"/>
  <c r="O94" i="98" s="1"/>
  <c r="N42" i="98"/>
  <c r="O42" i="98" s="1"/>
  <c r="N58" i="98"/>
  <c r="O58" i="98" s="1"/>
  <c r="N103" i="98"/>
  <c r="O103" i="98" s="1"/>
  <c r="N50" i="98"/>
  <c r="O50" i="98" s="1"/>
  <c r="N63" i="98"/>
  <c r="O63" i="98" s="1"/>
  <c r="N96" i="98"/>
  <c r="O96" i="98" s="1"/>
  <c r="N41" i="98"/>
  <c r="O41" i="98" s="1"/>
  <c r="N60" i="98"/>
  <c r="O60" i="98" s="1"/>
  <c r="N43" i="98"/>
  <c r="O43" i="98" s="1"/>
  <c r="N48" i="98"/>
  <c r="O48" i="98" s="1"/>
  <c r="N56" i="98"/>
  <c r="O56" i="98" s="1"/>
  <c r="N86" i="98"/>
  <c r="O86" i="98" s="1"/>
  <c r="N76" i="98"/>
  <c r="O76" i="98" s="1"/>
  <c r="N47" i="98"/>
  <c r="O47" i="98" s="1"/>
  <c r="N100" i="98"/>
  <c r="O100" i="98" s="1"/>
  <c r="N66" i="98"/>
  <c r="O66" i="98" s="1"/>
  <c r="N35" i="98"/>
  <c r="O35" i="98" s="1"/>
  <c r="N91" i="98"/>
  <c r="O91" i="98" s="1"/>
  <c r="M63" i="98"/>
  <c r="N38" i="98"/>
  <c r="O38" i="98" s="1"/>
  <c r="BG63" i="58"/>
  <c r="BG60" i="58"/>
  <c r="BG40" i="58"/>
  <c r="BG36" i="58"/>
  <c r="BG67" i="58"/>
  <c r="BG86" i="58"/>
  <c r="BL144" i="58"/>
  <c r="BL92" i="58"/>
  <c r="BL41" i="58"/>
  <c r="N84" i="98"/>
  <c r="O84" i="98" s="1"/>
  <c r="N64" i="98"/>
  <c r="O64" i="98" s="1"/>
  <c r="N79" i="98"/>
  <c r="O79" i="98" s="1"/>
  <c r="N62" i="98"/>
  <c r="O62" i="98" s="1"/>
  <c r="BL62" i="58"/>
  <c r="BL66" i="58"/>
  <c r="BL112" i="58"/>
  <c r="BL8" i="58"/>
  <c r="M85" i="98"/>
  <c r="N80" i="98"/>
  <c r="O80" i="98" s="1"/>
  <c r="M61" i="98"/>
  <c r="BG90" i="58"/>
  <c r="BL115" i="58"/>
  <c r="BG112" i="58"/>
  <c r="D93" i="58"/>
  <c r="BG138" i="58"/>
  <c r="BG33" i="58"/>
  <c r="M54" i="98"/>
  <c r="M82" i="98"/>
  <c r="M59" i="98"/>
  <c r="BL9" i="58"/>
  <c r="BG115" i="58"/>
  <c r="BG87" i="58"/>
  <c r="BL88" i="58"/>
  <c r="N44" i="98"/>
  <c r="N104" i="98"/>
  <c r="O104" i="98" s="1"/>
  <c r="N92" i="98"/>
  <c r="O92" i="98" s="1"/>
  <c r="BL36" i="58"/>
  <c r="BL61" i="58"/>
  <c r="BL138" i="58"/>
  <c r="BL15" i="58"/>
  <c r="M80" i="98"/>
  <c r="M64" i="98"/>
  <c r="N45" i="98"/>
  <c r="O45" i="98" s="1"/>
  <c r="BG117" i="58"/>
  <c r="BG141" i="58"/>
  <c r="BG144" i="58"/>
  <c r="M65" i="98"/>
  <c r="M94" i="98"/>
  <c r="M83" i="98"/>
  <c r="BG66" i="58"/>
  <c r="BL37" i="58"/>
  <c r="BG35" i="58"/>
  <c r="N71" i="98"/>
  <c r="O71" i="98" s="1"/>
  <c r="BG14" i="58"/>
  <c r="N87" i="98"/>
  <c r="O87" i="98" s="1"/>
  <c r="N57" i="98"/>
  <c r="O57" i="98" s="1"/>
  <c r="N99" i="98"/>
  <c r="O99" i="98" s="1"/>
  <c r="BL89" i="58"/>
  <c r="BL86" i="58"/>
  <c r="BL137" i="58"/>
  <c r="M56" i="98"/>
  <c r="M37" i="98"/>
  <c r="BG7" i="58"/>
  <c r="BG92" i="58"/>
  <c r="N102" i="98"/>
  <c r="O102" i="98" s="1"/>
  <c r="M102" i="98"/>
  <c r="M71" i="98"/>
  <c r="M36" i="98"/>
  <c r="M79" i="98"/>
  <c r="M70" i="98"/>
  <c r="M46" i="98"/>
  <c r="M67" i="98"/>
  <c r="BG37" i="58"/>
  <c r="BG9" i="58"/>
  <c r="M84" i="98"/>
  <c r="BL12" i="58"/>
  <c r="BL63" i="58"/>
  <c r="N33" i="98"/>
  <c r="O33" i="98" s="1"/>
  <c r="BL59" i="58"/>
  <c r="N97" i="98"/>
  <c r="O97" i="98" s="1"/>
  <c r="N39" i="98"/>
  <c r="N77" i="98"/>
  <c r="O77" i="98" s="1"/>
  <c r="BL141" i="58"/>
  <c r="BL91" i="58"/>
  <c r="BL87" i="58"/>
  <c r="BL119" i="58"/>
  <c r="M48" i="98"/>
  <c r="BG137" i="58"/>
  <c r="BG114" i="58"/>
  <c r="BG143" i="58"/>
  <c r="BG118" i="58"/>
  <c r="BG8" i="58"/>
  <c r="BG145" i="58"/>
  <c r="BG140" i="58"/>
  <c r="BG11" i="58"/>
  <c r="N95" i="98"/>
  <c r="O95" i="98" s="1"/>
  <c r="M100" i="98"/>
  <c r="M58" i="98"/>
  <c r="N74" i="98"/>
  <c r="O74" i="98" s="1"/>
  <c r="M39" i="98"/>
  <c r="N34" i="98"/>
  <c r="O34" i="98" s="1"/>
  <c r="M103" i="98"/>
  <c r="M66" i="98"/>
  <c r="M44" i="98"/>
  <c r="BG61" i="58"/>
  <c r="BG38" i="58"/>
  <c r="BL13" i="58"/>
  <c r="N40" i="98"/>
  <c r="O40" i="98" s="1"/>
  <c r="M68" i="98"/>
  <c r="N65" i="98"/>
  <c r="O65" i="98" s="1"/>
  <c r="BL65" i="58"/>
  <c r="BL60" i="58"/>
  <c r="N32" i="98"/>
  <c r="O32" i="98" s="1"/>
  <c r="M40" i="98"/>
  <c r="N101" i="98"/>
  <c r="O101" i="98" s="1"/>
  <c r="BG116" i="58"/>
  <c r="AW121" i="58"/>
  <c r="BG91" i="58"/>
  <c r="BG142" i="58"/>
  <c r="BL113" i="58"/>
  <c r="BL39" i="58"/>
  <c r="BL93" i="58"/>
  <c r="BL143" i="58"/>
  <c r="BL7" i="58"/>
  <c r="BL118" i="58"/>
  <c r="BL11" i="58"/>
  <c r="BL140" i="58"/>
  <c r="BL139" i="58"/>
  <c r="BL33" i="58"/>
  <c r="BL10" i="58"/>
  <c r="BL64" i="58"/>
  <c r="BL34" i="58"/>
  <c r="BL67" i="58"/>
  <c r="N55" i="98"/>
  <c r="O55" i="98" s="1"/>
  <c r="M98" i="98"/>
  <c r="M93" i="98"/>
  <c r="M49" i="98"/>
  <c r="N72" i="98"/>
  <c r="O72" i="98" s="1"/>
  <c r="M75" i="98"/>
  <c r="M52" i="98"/>
  <c r="N52" i="98"/>
  <c r="O52" i="98" s="1"/>
  <c r="M53" i="98"/>
  <c r="BG119" i="58"/>
  <c r="BG10" i="58"/>
  <c r="BG85" i="58"/>
  <c r="BG15" i="58"/>
  <c r="BL14" i="58"/>
  <c r="BG89" i="58"/>
  <c r="BL119" i="57"/>
  <c r="BL143" i="57"/>
  <c r="BL10" i="57"/>
  <c r="BL93" i="57"/>
  <c r="BL13" i="57"/>
  <c r="BL11" i="57"/>
  <c r="E127" i="57"/>
  <c r="BL15" i="57"/>
  <c r="BL139" i="57"/>
  <c r="BL138" i="57"/>
  <c r="BL64" i="57"/>
  <c r="BL14" i="57"/>
  <c r="BL141" i="57"/>
  <c r="BL111" i="57"/>
  <c r="BL35" i="57"/>
  <c r="BL33" i="57"/>
  <c r="BL34" i="57"/>
  <c r="BL116" i="57"/>
  <c r="BL8" i="57"/>
  <c r="BL113" i="57"/>
  <c r="BL66" i="57"/>
  <c r="BL115" i="57"/>
  <c r="BL145" i="57"/>
  <c r="BL142" i="57"/>
  <c r="BL88" i="57"/>
  <c r="BL137" i="57"/>
  <c r="BL36" i="57"/>
  <c r="BL92" i="57"/>
  <c r="BL39" i="57"/>
  <c r="BL87" i="57"/>
  <c r="BL38" i="57"/>
  <c r="BL7" i="57"/>
  <c r="BL61" i="57"/>
  <c r="BL140" i="57"/>
  <c r="BL41" i="57"/>
  <c r="BL65" i="57"/>
  <c r="BL12" i="57"/>
  <c r="BL118" i="57"/>
  <c r="N85" i="97"/>
  <c r="N67" i="97"/>
  <c r="N99" i="97"/>
  <c r="N45" i="97"/>
  <c r="N54" i="97"/>
  <c r="O54" i="97" s="1"/>
  <c r="N88" i="97"/>
  <c r="N94" i="97"/>
  <c r="N68" i="97"/>
  <c r="N38" i="97"/>
  <c r="N89" i="97"/>
  <c r="N37" i="97"/>
  <c r="N39" i="97"/>
  <c r="N83" i="97"/>
  <c r="N46" i="97"/>
  <c r="N80" i="97"/>
  <c r="N61" i="97"/>
  <c r="N49" i="97"/>
  <c r="N64" i="97"/>
  <c r="N104" i="97"/>
  <c r="N56" i="97"/>
  <c r="N48" i="97"/>
  <c r="N74" i="97"/>
  <c r="N59" i="97"/>
  <c r="N41" i="97"/>
  <c r="N72" i="97"/>
  <c r="O72" i="97" s="1"/>
  <c r="N51" i="97"/>
  <c r="N86" i="97"/>
  <c r="N79" i="97"/>
  <c r="N97" i="97"/>
  <c r="O97" i="97" s="1"/>
  <c r="N91" i="97"/>
  <c r="N40" i="97"/>
  <c r="O40" i="97" s="1"/>
  <c r="N66" i="97"/>
  <c r="N63" i="97"/>
  <c r="N62" i="97"/>
  <c r="N43" i="97"/>
  <c r="N98" i="97"/>
  <c r="N32" i="97"/>
  <c r="N82" i="97"/>
  <c r="N33" i="97"/>
  <c r="O33" i="97" s="1"/>
  <c r="N65" i="97"/>
  <c r="N96" i="97"/>
  <c r="N55" i="97"/>
  <c r="N77" i="97"/>
  <c r="N95" i="97"/>
  <c r="N75" i="97"/>
  <c r="O75" i="97" s="1"/>
  <c r="N34" i="97"/>
  <c r="N69" i="97"/>
  <c r="N73" i="97"/>
  <c r="N101" i="97"/>
  <c r="N42" i="97"/>
  <c r="O42" i="97" s="1"/>
  <c r="N50" i="97"/>
  <c r="N81" i="97"/>
  <c r="N47" i="97"/>
  <c r="N70" i="97"/>
  <c r="N87" i="97"/>
  <c r="N57" i="97"/>
  <c r="N103" i="97"/>
  <c r="N78" i="97"/>
  <c r="O78" i="97" s="1"/>
  <c r="N93" i="97"/>
  <c r="N102" i="97"/>
  <c r="N58" i="97"/>
  <c r="N71" i="97"/>
  <c r="N35" i="97"/>
  <c r="N90" i="97"/>
  <c r="N53" i="97"/>
  <c r="BL67" i="57"/>
  <c r="BL37" i="57"/>
  <c r="BL86" i="57"/>
  <c r="BL144" i="57"/>
  <c r="BL112" i="57"/>
  <c r="BL59" i="57"/>
  <c r="BL9" i="57"/>
  <c r="BL63" i="57"/>
  <c r="BL85" i="57"/>
  <c r="BL117" i="57"/>
  <c r="BL62" i="57"/>
  <c r="BL40" i="57"/>
  <c r="N90" i="96"/>
  <c r="BG64" i="55"/>
  <c r="BG115" i="55"/>
  <c r="N39" i="96"/>
  <c r="N100" i="96"/>
  <c r="N83" i="96"/>
  <c r="N80" i="96"/>
  <c r="N103" i="96"/>
  <c r="N72" i="96"/>
  <c r="N38" i="96"/>
  <c r="N98" i="96"/>
  <c r="N36" i="96"/>
  <c r="N88" i="96"/>
  <c r="N33" i="96"/>
  <c r="N81" i="96"/>
  <c r="N91" i="96"/>
  <c r="N101" i="96"/>
  <c r="N70" i="96"/>
  <c r="N96" i="96"/>
  <c r="N56" i="96"/>
  <c r="N95" i="96"/>
  <c r="N52" i="96"/>
  <c r="N102" i="96"/>
  <c r="N104" i="96"/>
  <c r="N62" i="96"/>
  <c r="N35" i="96"/>
  <c r="N45" i="96"/>
  <c r="N43" i="96"/>
  <c r="N61" i="96"/>
  <c r="N47" i="96"/>
  <c r="N78" i="96"/>
  <c r="N40" i="96"/>
  <c r="N99" i="96"/>
  <c r="N92" i="96"/>
  <c r="N49" i="96"/>
  <c r="N89" i="96"/>
  <c r="N85" i="96"/>
  <c r="N67" i="96"/>
  <c r="N93" i="96"/>
  <c r="N54" i="96"/>
  <c r="N37" i="96"/>
  <c r="N75" i="96"/>
  <c r="N86" i="96"/>
  <c r="N63" i="96"/>
  <c r="N65" i="96"/>
  <c r="N64" i="96"/>
  <c r="N84" i="96"/>
  <c r="N51" i="96"/>
  <c r="N44" i="96"/>
  <c r="N32" i="96"/>
  <c r="N46" i="96"/>
  <c r="N76" i="96"/>
  <c r="N68" i="96"/>
  <c r="N57" i="96"/>
  <c r="N71" i="96"/>
  <c r="N94" i="96"/>
  <c r="N97" i="96"/>
  <c r="N87" i="96"/>
  <c r="N69" i="96"/>
  <c r="N60" i="96"/>
  <c r="N41" i="96"/>
  <c r="N53" i="96"/>
  <c r="N48" i="96"/>
  <c r="N77" i="96"/>
  <c r="N79" i="96"/>
  <c r="N73" i="96"/>
  <c r="N59" i="96"/>
  <c r="N55" i="96"/>
  <c r="BG89" i="55"/>
  <c r="M37" i="96"/>
  <c r="BG15" i="55"/>
  <c r="BG117" i="55"/>
  <c r="N82" i="96"/>
  <c r="M58" i="96"/>
  <c r="N66" i="96"/>
  <c r="BG88" i="55"/>
  <c r="BG11" i="55"/>
  <c r="N74" i="96"/>
  <c r="O74" i="96" s="1"/>
  <c r="AW17" i="55"/>
  <c r="AN7" i="55"/>
  <c r="AO7" i="55" s="1"/>
  <c r="BG93" i="55"/>
  <c r="M82" i="96"/>
  <c r="BG14" i="55"/>
  <c r="AW69" i="55"/>
  <c r="BG37" i="55"/>
  <c r="BG118" i="55"/>
  <c r="BG65" i="55"/>
  <c r="BG60" i="55"/>
  <c r="AO65" i="55"/>
  <c r="N42" i="96"/>
  <c r="M72" i="96"/>
  <c r="M44" i="96"/>
  <c r="M54" i="96"/>
  <c r="M59" i="96"/>
  <c r="M36" i="96"/>
  <c r="M102" i="96"/>
  <c r="M45" i="96"/>
  <c r="M86" i="96"/>
  <c r="M46" i="96"/>
  <c r="M104" i="96"/>
  <c r="M65" i="96"/>
  <c r="M88" i="96"/>
  <c r="M97" i="96"/>
  <c r="M50" i="96"/>
  <c r="M61" i="96"/>
  <c r="M79" i="96"/>
  <c r="M95" i="96"/>
  <c r="M78" i="96"/>
  <c r="M68" i="96"/>
  <c r="M57" i="96"/>
  <c r="M93" i="96"/>
  <c r="M69" i="96"/>
  <c r="M103" i="96"/>
  <c r="M92" i="96"/>
  <c r="M62" i="96"/>
  <c r="M75" i="96"/>
  <c r="M76" i="96"/>
  <c r="M83" i="96"/>
  <c r="M85" i="96"/>
  <c r="M41" i="96"/>
  <c r="M96" i="96"/>
  <c r="M56" i="96"/>
  <c r="M43" i="96"/>
  <c r="M71" i="96"/>
  <c r="M35" i="96"/>
  <c r="M101" i="96"/>
  <c r="M32" i="96"/>
  <c r="M77" i="96"/>
  <c r="M40" i="96"/>
  <c r="M84" i="96"/>
  <c r="M51" i="96"/>
  <c r="M73" i="96"/>
  <c r="M55" i="96"/>
  <c r="M81" i="96"/>
  <c r="M63" i="96"/>
  <c r="M70" i="96"/>
  <c r="M100" i="96"/>
  <c r="M53" i="96"/>
  <c r="M47" i="96"/>
  <c r="M39" i="96"/>
  <c r="M33" i="96"/>
  <c r="M89" i="96"/>
  <c r="M99" i="96"/>
  <c r="M67" i="96"/>
  <c r="M91" i="96"/>
  <c r="M87" i="96"/>
  <c r="M94" i="96"/>
  <c r="M80" i="96"/>
  <c r="M49" i="96"/>
  <c r="M64" i="96"/>
  <c r="M38" i="96"/>
  <c r="M60" i="96"/>
  <c r="M52" i="96"/>
  <c r="M48" i="96"/>
  <c r="M90" i="96"/>
  <c r="BG62" i="55"/>
  <c r="BG8" i="55"/>
  <c r="BG34" i="55"/>
  <c r="BG90" i="55"/>
  <c r="N58" i="96"/>
  <c r="BG113" i="55"/>
  <c r="BG139" i="55"/>
  <c r="N50" i="96"/>
  <c r="BG119" i="55"/>
  <c r="BG40" i="55"/>
  <c r="BG66" i="55"/>
  <c r="BG38" i="55"/>
  <c r="BG142" i="55"/>
  <c r="BG10" i="55"/>
  <c r="BG111" i="55"/>
  <c r="BG61" i="55"/>
  <c r="M98" i="96"/>
  <c r="M34" i="96"/>
  <c r="BG144" i="55"/>
  <c r="BG59" i="55"/>
  <c r="BG13" i="55"/>
  <c r="BG112" i="55"/>
  <c r="BG143" i="55"/>
  <c r="BG7" i="55"/>
  <c r="BG63" i="55"/>
  <c r="BG67" i="55"/>
  <c r="BG12" i="55"/>
  <c r="BG114" i="55"/>
  <c r="BG85" i="55"/>
  <c r="BG33" i="55"/>
  <c r="BG35" i="55"/>
  <c r="BG36" i="55"/>
  <c r="BG39" i="55"/>
  <c r="BG141" i="55"/>
  <c r="BG41" i="55"/>
  <c r="BG140" i="55"/>
  <c r="N72" i="95"/>
  <c r="N80" i="95"/>
  <c r="N91" i="95"/>
  <c r="O91" i="95" s="1"/>
  <c r="N64" i="95"/>
  <c r="O64" i="95" s="1"/>
  <c r="N56" i="95"/>
  <c r="N40" i="95"/>
  <c r="N75" i="95"/>
  <c r="O75" i="95" s="1"/>
  <c r="N67" i="95"/>
  <c r="BL66" i="53"/>
  <c r="BL142" i="53"/>
  <c r="BL38" i="53"/>
  <c r="BL12" i="53"/>
  <c r="BL113" i="53"/>
  <c r="BL137" i="53"/>
  <c r="BL85" i="53"/>
  <c r="BL141" i="53"/>
  <c r="BL86" i="53"/>
  <c r="BL63" i="53"/>
  <c r="BL92" i="53"/>
  <c r="BL143" i="53"/>
  <c r="BL34" i="53"/>
  <c r="BL119" i="53"/>
  <c r="BL35" i="53"/>
  <c r="BL144" i="53"/>
  <c r="BL37" i="53"/>
  <c r="BL118" i="53"/>
  <c r="BL15" i="53"/>
  <c r="BL67" i="53"/>
  <c r="BL39" i="53"/>
  <c r="BL139" i="53"/>
  <c r="BL88" i="53"/>
  <c r="BL59" i="53"/>
  <c r="BL36" i="53"/>
  <c r="BL89" i="53"/>
  <c r="BL111" i="53"/>
  <c r="BL13" i="53"/>
  <c r="BL7" i="53"/>
  <c r="BL114" i="53"/>
  <c r="BL115" i="53"/>
  <c r="BL14" i="53"/>
  <c r="BL90" i="53"/>
  <c r="BL8" i="53"/>
  <c r="BL61" i="53"/>
  <c r="BL60" i="53"/>
  <c r="BL93" i="53"/>
  <c r="BL9" i="53"/>
  <c r="BL65" i="53"/>
  <c r="BL140" i="53"/>
  <c r="BL145" i="53"/>
  <c r="BL10" i="53"/>
  <c r="BL112" i="53"/>
  <c r="BL11" i="53"/>
  <c r="BL33" i="53"/>
  <c r="BL64" i="53"/>
  <c r="BL116" i="53"/>
  <c r="BL117" i="53"/>
  <c r="BL41" i="53"/>
  <c r="BL40" i="53"/>
  <c r="BL87" i="53"/>
  <c r="BL62" i="53"/>
  <c r="BL138" i="53"/>
  <c r="J91" i="53"/>
  <c r="N32" i="95"/>
  <c r="BL91" i="53"/>
  <c r="N43" i="95"/>
  <c r="N78" i="95"/>
  <c r="N77" i="95"/>
  <c r="O77" i="95" s="1"/>
  <c r="N46" i="95"/>
  <c r="N39" i="95"/>
  <c r="O39" i="95" s="1"/>
  <c r="N82" i="95"/>
  <c r="N54" i="95"/>
  <c r="N92" i="95"/>
  <c r="N50" i="95"/>
  <c r="O50" i="95" s="1"/>
  <c r="N41" i="95"/>
  <c r="N90" i="95"/>
  <c r="N36" i="95"/>
  <c r="N34" i="95"/>
  <c r="O34" i="95" s="1"/>
  <c r="N97" i="95"/>
  <c r="N49" i="95"/>
  <c r="O49" i="95" s="1"/>
  <c r="N76" i="95"/>
  <c r="O76" i="95" s="1"/>
  <c r="N85" i="95"/>
  <c r="N44" i="95"/>
  <c r="N87" i="95"/>
  <c r="O87" i="95" s="1"/>
  <c r="N65" i="95"/>
  <c r="O65" i="95" s="1"/>
  <c r="N42" i="95"/>
  <c r="N73" i="95"/>
  <c r="N89" i="95"/>
  <c r="N52" i="95"/>
  <c r="N62" i="95"/>
  <c r="N33" i="95"/>
  <c r="N37" i="95"/>
  <c r="O37" i="95" s="1"/>
  <c r="N100" i="95"/>
  <c r="N61" i="95"/>
  <c r="N58" i="95"/>
  <c r="N47" i="95"/>
  <c r="N81" i="95"/>
  <c r="O81" i="95" s="1"/>
  <c r="N74" i="95"/>
  <c r="N70" i="95"/>
  <c r="O70" i="95" s="1"/>
  <c r="N68" i="95"/>
  <c r="N69" i="95"/>
  <c r="N79" i="95"/>
  <c r="O79" i="95" s="1"/>
  <c r="N38" i="95"/>
  <c r="N102" i="95"/>
  <c r="N94" i="95"/>
  <c r="O94" i="95" s="1"/>
  <c r="N66" i="95"/>
  <c r="O66" i="95" s="1"/>
  <c r="N86" i="95"/>
  <c r="N84" i="95"/>
  <c r="N55" i="95"/>
  <c r="O55" i="95" s="1"/>
  <c r="N57" i="95"/>
  <c r="N95" i="95"/>
  <c r="N45" i="95"/>
  <c r="N60" i="95"/>
  <c r="N71" i="95"/>
  <c r="N59" i="95"/>
  <c r="N53" i="95"/>
  <c r="O53" i="95" s="1"/>
  <c r="N93" i="95"/>
  <c r="N101" i="95"/>
  <c r="N63" i="95"/>
  <c r="O63" i="95" s="1"/>
  <c r="N103" i="95"/>
  <c r="N98" i="95"/>
  <c r="O98" i="95" s="1"/>
  <c r="N96" i="95"/>
  <c r="O96" i="95" s="1"/>
  <c r="L111" i="53"/>
  <c r="R111" i="53"/>
  <c r="O111" i="53"/>
  <c r="I111" i="53"/>
  <c r="BL166" i="52"/>
  <c r="BL171" i="52"/>
  <c r="BL169" i="52"/>
  <c r="BL194" i="52"/>
  <c r="BL192" i="52"/>
  <c r="BL197" i="52"/>
  <c r="BL168" i="52"/>
  <c r="BL193" i="52"/>
  <c r="BL190" i="52"/>
  <c r="BL167" i="52"/>
  <c r="BL195" i="52"/>
  <c r="BL196" i="52"/>
  <c r="BL164" i="52"/>
  <c r="BL35" i="52"/>
  <c r="BL170" i="52"/>
  <c r="BL189" i="52"/>
  <c r="BL163" i="52"/>
  <c r="S117" i="58"/>
  <c r="H129" i="59"/>
  <c r="J120" i="59" s="1"/>
  <c r="J121" i="59" s="1"/>
  <c r="N93" i="88"/>
  <c r="BG35" i="52"/>
  <c r="M44" i="88"/>
  <c r="BG140" i="52"/>
  <c r="BL39" i="52"/>
  <c r="BL7" i="52"/>
  <c r="M31" i="88"/>
  <c r="BG14" i="52"/>
  <c r="M30" i="88"/>
  <c r="BG7" i="52"/>
  <c r="BL140" i="52"/>
  <c r="M98" i="88"/>
  <c r="BG89" i="52"/>
  <c r="M99" i="88"/>
  <c r="M41" i="88"/>
  <c r="M59" i="88"/>
  <c r="BG119" i="52"/>
  <c r="M58" i="88"/>
  <c r="M35" i="88"/>
  <c r="BL8" i="52"/>
  <c r="M63" i="88"/>
  <c r="I115" i="52"/>
  <c r="AN66" i="52"/>
  <c r="AO66" i="52" s="1"/>
  <c r="BG142" i="52"/>
  <c r="M90" i="88"/>
  <c r="BG85" i="52"/>
  <c r="BG112" i="52"/>
  <c r="M28" i="88"/>
  <c r="BL137" i="52"/>
  <c r="BL12" i="52"/>
  <c r="M92" i="88"/>
  <c r="BG62" i="52"/>
  <c r="M102" i="88"/>
  <c r="BG67" i="52"/>
  <c r="BL63" i="52"/>
  <c r="M36" i="88"/>
  <c r="BG9" i="52"/>
  <c r="BG111" i="52"/>
  <c r="M73" i="88"/>
  <c r="M50" i="88"/>
  <c r="M55" i="88"/>
  <c r="BG118" i="52"/>
  <c r="BG63" i="52"/>
  <c r="M81" i="88"/>
  <c r="BG66" i="52"/>
  <c r="BL10" i="52"/>
  <c r="BL91" i="52"/>
  <c r="BG59" i="52"/>
  <c r="M57" i="88"/>
  <c r="BG143" i="52"/>
  <c r="BL142" i="52"/>
  <c r="M68" i="88"/>
  <c r="M47" i="88"/>
  <c r="BG92" i="52"/>
  <c r="M64" i="88"/>
  <c r="M80" i="88"/>
  <c r="M29" i="88"/>
  <c r="AN117" i="52"/>
  <c r="AO117" i="52" s="1"/>
  <c r="AO142" i="52"/>
  <c r="AN116" i="52"/>
  <c r="AO116" i="52" s="1"/>
  <c r="AW43" i="52"/>
  <c r="AN37" i="52"/>
  <c r="AO37" i="52" s="1"/>
  <c r="M91" i="88"/>
  <c r="M67" i="88"/>
  <c r="BG137" i="52"/>
  <c r="BG113" i="52"/>
  <c r="BL115" i="52"/>
  <c r="BG40" i="52"/>
  <c r="BL62" i="52"/>
  <c r="M89" i="88"/>
  <c r="BL93" i="52"/>
  <c r="BG13" i="52"/>
  <c r="BL92" i="52"/>
  <c r="AW147" i="52"/>
  <c r="BG39" i="52"/>
  <c r="M40" i="88"/>
  <c r="M82" i="88"/>
  <c r="M48" i="88"/>
  <c r="M71" i="88"/>
  <c r="M45" i="88"/>
  <c r="M66" i="88"/>
  <c r="AO34" i="52"/>
  <c r="AN59" i="52"/>
  <c r="AO59" i="52" s="1"/>
  <c r="AW69" i="52"/>
  <c r="BG11" i="52"/>
  <c r="BG8" i="52"/>
  <c r="BL113" i="52"/>
  <c r="BG144" i="52"/>
  <c r="M62" i="88"/>
  <c r="BL114" i="52"/>
  <c r="BG12" i="52"/>
  <c r="BL11" i="52"/>
  <c r="BL33" i="52"/>
  <c r="M53" i="88"/>
  <c r="BG114" i="52"/>
  <c r="M49" i="88"/>
  <c r="M61" i="88"/>
  <c r="M52" i="88"/>
  <c r="M85" i="88"/>
  <c r="AO60" i="52"/>
  <c r="BG60" i="52"/>
  <c r="BL141" i="52"/>
  <c r="BG15" i="52"/>
  <c r="M70" i="88"/>
  <c r="BG145" i="52"/>
  <c r="M76" i="88"/>
  <c r="BG34" i="52"/>
  <c r="BG41" i="52"/>
  <c r="BL87" i="52"/>
  <c r="BG88" i="52"/>
  <c r="BL90" i="52"/>
  <c r="M79" i="88"/>
  <c r="BL64" i="52"/>
  <c r="BG115" i="52"/>
  <c r="M103" i="88"/>
  <c r="BL67" i="52"/>
  <c r="M37" i="88"/>
  <c r="BG64" i="52"/>
  <c r="M56" i="88"/>
  <c r="M72" i="88"/>
  <c r="M96" i="88"/>
  <c r="M95" i="88"/>
  <c r="M87" i="88"/>
  <c r="M39" i="88"/>
  <c r="M97" i="88"/>
  <c r="M60" i="88"/>
  <c r="M104" i="88"/>
  <c r="M94" i="88"/>
  <c r="M46" i="88"/>
  <c r="M43" i="88"/>
  <c r="M54" i="88"/>
  <c r="M77" i="88"/>
  <c r="M100" i="88"/>
  <c r="M101" i="88"/>
  <c r="M65" i="88"/>
  <c r="M51" i="88"/>
  <c r="M88" i="88"/>
  <c r="M34" i="88"/>
  <c r="M78" i="88"/>
  <c r="N96" i="88"/>
  <c r="N62" i="88"/>
  <c r="BL13" i="52"/>
  <c r="BL86" i="52"/>
  <c r="BL9" i="52"/>
  <c r="N66" i="88"/>
  <c r="N91" i="88"/>
  <c r="N38" i="88"/>
  <c r="BL85" i="52"/>
  <c r="BL60" i="52"/>
  <c r="BL40" i="52"/>
  <c r="BL111" i="52"/>
  <c r="BL41" i="52"/>
  <c r="BL139" i="52"/>
  <c r="BL145" i="52"/>
  <c r="BL15" i="52"/>
  <c r="BL119" i="52"/>
  <c r="BL116" i="52"/>
  <c r="BL144" i="52"/>
  <c r="BL34" i="52"/>
  <c r="BL112" i="52"/>
  <c r="BL36" i="52"/>
  <c r="BL88" i="52"/>
  <c r="BL38" i="52"/>
  <c r="BL59" i="52"/>
  <c r="BL37" i="52"/>
  <c r="BL89" i="52"/>
  <c r="BL117" i="52"/>
  <c r="N58" i="88"/>
  <c r="N78" i="88"/>
  <c r="N97" i="88"/>
  <c r="BL138" i="52"/>
  <c r="N28" i="88"/>
  <c r="N84" i="88"/>
  <c r="N81" i="88"/>
  <c r="N44" i="88"/>
  <c r="N85" i="88"/>
  <c r="BL118" i="52"/>
  <c r="N35" i="88"/>
  <c r="BL66" i="52"/>
  <c r="K120" i="116"/>
  <c r="B103" i="116"/>
  <c r="B127" i="116"/>
  <c r="Q129" i="58"/>
  <c r="E155" i="58"/>
  <c r="J85" i="59"/>
  <c r="S39" i="58"/>
  <c r="H103" i="59"/>
  <c r="N129" i="59"/>
  <c r="E103" i="59"/>
  <c r="P39" i="58"/>
  <c r="G140" i="58"/>
  <c r="N51" i="59"/>
  <c r="P42" i="59" s="1"/>
  <c r="K51" i="59"/>
  <c r="M42" i="59" s="1"/>
  <c r="G7" i="59"/>
  <c r="P36" i="59"/>
  <c r="S36" i="58"/>
  <c r="S33" i="58"/>
  <c r="J91" i="59"/>
  <c r="E25" i="59"/>
  <c r="Q129" i="59"/>
  <c r="S120" i="59" s="1"/>
  <c r="S121" i="59" s="1"/>
  <c r="Q51" i="58"/>
  <c r="M117" i="59"/>
  <c r="J39" i="59"/>
  <c r="E155" i="59"/>
  <c r="G146" i="59" s="1"/>
  <c r="E77" i="59"/>
  <c r="G68" i="59" s="1"/>
  <c r="N103" i="59"/>
  <c r="P94" i="59" s="1"/>
  <c r="K25" i="59"/>
  <c r="M16" i="59" s="1"/>
  <c r="M10" i="59"/>
  <c r="Q103" i="58"/>
  <c r="E129" i="59"/>
  <c r="G120" i="59" s="1"/>
  <c r="K25" i="58"/>
  <c r="N155" i="59"/>
  <c r="P146" i="59" s="1"/>
  <c r="P143" i="59"/>
  <c r="S88" i="58"/>
  <c r="G117" i="59"/>
  <c r="M114" i="59"/>
  <c r="Q155" i="59"/>
  <c r="S146" i="59" s="1"/>
  <c r="K129" i="59"/>
  <c r="M120" i="59" s="1"/>
  <c r="P140" i="59"/>
  <c r="G39" i="59"/>
  <c r="M117" i="58"/>
  <c r="V111" i="59"/>
  <c r="S65" i="58"/>
  <c r="S39" i="59"/>
  <c r="G140" i="59"/>
  <c r="J39" i="58"/>
  <c r="S137" i="59"/>
  <c r="H51" i="58"/>
  <c r="G36" i="59"/>
  <c r="P65" i="59"/>
  <c r="N77" i="59"/>
  <c r="P68" i="59" s="1"/>
  <c r="E51" i="59"/>
  <c r="G42" i="59" s="1"/>
  <c r="Q51" i="59"/>
  <c r="S42" i="59" s="1"/>
  <c r="H155" i="59"/>
  <c r="J146" i="59" s="1"/>
  <c r="H25" i="59"/>
  <c r="J16" i="59" s="1"/>
  <c r="M85" i="59"/>
  <c r="J13" i="59"/>
  <c r="G143" i="59"/>
  <c r="K103" i="59"/>
  <c r="S13" i="59"/>
  <c r="M65" i="59"/>
  <c r="S140" i="58"/>
  <c r="S143" i="58"/>
  <c r="S7" i="59"/>
  <c r="S10" i="58"/>
  <c r="M62" i="59"/>
  <c r="Q25" i="59"/>
  <c r="S16" i="59" s="1"/>
  <c r="K77" i="59"/>
  <c r="M59" i="59"/>
  <c r="G117" i="58"/>
  <c r="Q77" i="59"/>
  <c r="S68" i="59" s="1"/>
  <c r="N155" i="58"/>
  <c r="H51" i="59"/>
  <c r="J42" i="59" s="1"/>
  <c r="P7" i="59"/>
  <c r="N129" i="58"/>
  <c r="E129" i="58"/>
  <c r="S59" i="59"/>
  <c r="S62" i="59"/>
  <c r="P13" i="59"/>
  <c r="K77" i="58"/>
  <c r="N25" i="59"/>
  <c r="P16" i="59" s="1"/>
  <c r="Q103" i="59"/>
  <c r="J65" i="59"/>
  <c r="H77" i="59"/>
  <c r="J68" i="59" s="1"/>
  <c r="J62" i="59"/>
  <c r="G111" i="58"/>
  <c r="V88" i="59"/>
  <c r="M137" i="59"/>
  <c r="K155" i="59"/>
  <c r="P10" i="59"/>
  <c r="S85" i="59"/>
  <c r="A3" i="66"/>
  <c r="N77" i="53"/>
  <c r="Q103" i="53"/>
  <c r="DI13" i="16"/>
  <c r="N87" i="88"/>
  <c r="N61" i="88"/>
  <c r="AR121" i="55"/>
  <c r="N102" i="88"/>
  <c r="N30" i="88"/>
  <c r="BK85" i="55"/>
  <c r="BL193" i="55" s="1"/>
  <c r="AM85" i="55"/>
  <c r="AO85" i="55" s="1"/>
  <c r="H154" i="55"/>
  <c r="I59" i="53"/>
  <c r="O59" i="53"/>
  <c r="K23" i="53"/>
  <c r="K126" i="57"/>
  <c r="N53" i="88"/>
  <c r="N101" i="88"/>
  <c r="N69" i="88"/>
  <c r="N79" i="88"/>
  <c r="N95" i="88"/>
  <c r="F117" i="53"/>
  <c r="E206" i="53" s="1"/>
  <c r="G195" i="53" s="1"/>
  <c r="O117" i="53"/>
  <c r="R117" i="53"/>
  <c r="L117" i="53"/>
  <c r="I117" i="53"/>
  <c r="H76" i="53" s="1"/>
  <c r="N103" i="88"/>
  <c r="N49" i="88"/>
  <c r="N39" i="88"/>
  <c r="N40" i="88"/>
  <c r="N86" i="88"/>
  <c r="N94" i="88"/>
  <c r="N29" i="88"/>
  <c r="N46" i="88"/>
  <c r="N75" i="88"/>
  <c r="N104" i="88"/>
  <c r="N43" i="88"/>
  <c r="N72" i="88"/>
  <c r="N54" i="88"/>
  <c r="N92" i="88"/>
  <c r="N56" i="88"/>
  <c r="N52" i="88"/>
  <c r="N42" i="88"/>
  <c r="O42" i="88" s="1"/>
  <c r="N36" i="88"/>
  <c r="N50" i="88"/>
  <c r="N89" i="88"/>
  <c r="N64" i="88"/>
  <c r="O64" i="88" s="1"/>
  <c r="N100" i="88"/>
  <c r="N34" i="88"/>
  <c r="N41" i="88"/>
  <c r="N57" i="88"/>
  <c r="N32" i="88"/>
  <c r="O32" i="88" s="1"/>
  <c r="N45" i="88"/>
  <c r="O45" i="88" s="1"/>
  <c r="N33" i="88"/>
  <c r="N55" i="88"/>
  <c r="N76" i="88"/>
  <c r="N99" i="88"/>
  <c r="N80" i="88"/>
  <c r="N37" i="88"/>
  <c r="N71" i="88"/>
  <c r="N65" i="88"/>
  <c r="N77" i="88"/>
  <c r="N88" i="88"/>
  <c r="O88" i="88" s="1"/>
  <c r="N48" i="88"/>
  <c r="N63" i="88"/>
  <c r="N47" i="88"/>
  <c r="N98" i="88"/>
  <c r="N82" i="88"/>
  <c r="N51" i="88"/>
  <c r="N83" i="88"/>
  <c r="N60" i="88"/>
  <c r="N67" i="88"/>
  <c r="N74" i="88"/>
  <c r="N90" i="88"/>
  <c r="N31" i="88"/>
  <c r="O31" i="88" s="1"/>
  <c r="N70" i="88"/>
  <c r="N68" i="88"/>
  <c r="E126" i="53"/>
  <c r="K153" i="57"/>
  <c r="Q22" i="52"/>
  <c r="K129" i="53"/>
  <c r="N48" i="57"/>
  <c r="E49" i="57"/>
  <c r="K49" i="55"/>
  <c r="K152" i="53"/>
  <c r="M137" i="53" s="1"/>
  <c r="E74" i="55"/>
  <c r="K75" i="52"/>
  <c r="Q74" i="55"/>
  <c r="S59" i="55" s="1"/>
  <c r="V33" i="59"/>
  <c r="E76" i="55"/>
  <c r="Q126" i="57"/>
  <c r="U66" i="57"/>
  <c r="K127" i="57"/>
  <c r="H22" i="57"/>
  <c r="H50" i="53"/>
  <c r="E23" i="55"/>
  <c r="E128" i="53"/>
  <c r="N100" i="52"/>
  <c r="H22" i="53"/>
  <c r="K74" i="52"/>
  <c r="E154" i="53"/>
  <c r="U13" i="53"/>
  <c r="H127" i="52"/>
  <c r="E24" i="55"/>
  <c r="K48" i="55"/>
  <c r="O115" i="58" l="1"/>
  <c r="P114" i="58" s="1"/>
  <c r="R115" i="58"/>
  <c r="O112" i="58"/>
  <c r="P111" i="58" s="1"/>
  <c r="R112" i="58"/>
  <c r="U138" i="58"/>
  <c r="R146" i="58"/>
  <c r="Q22" i="58"/>
  <c r="Q179" i="58"/>
  <c r="S166" i="58" s="1"/>
  <c r="U90" i="58"/>
  <c r="O86" i="58"/>
  <c r="R86" i="58"/>
  <c r="Q205" i="58"/>
  <c r="R42" i="58"/>
  <c r="U66" i="58"/>
  <c r="H154" i="58"/>
  <c r="L60" i="58"/>
  <c r="M59" i="58" s="1"/>
  <c r="O60" i="58"/>
  <c r="L36" i="58"/>
  <c r="M36" i="58" s="1"/>
  <c r="O36" i="58"/>
  <c r="O42" i="58"/>
  <c r="N74" i="58"/>
  <c r="N206" i="58"/>
  <c r="P195" i="58" s="1"/>
  <c r="P117" i="58"/>
  <c r="N180" i="58"/>
  <c r="P169" i="58" s="1"/>
  <c r="P143" i="58"/>
  <c r="U115" i="58"/>
  <c r="N205" i="58"/>
  <c r="P192" i="58" s="1"/>
  <c r="N204" i="58"/>
  <c r="O120" i="58"/>
  <c r="P120" i="58" s="1"/>
  <c r="K180" i="58"/>
  <c r="M169" i="58" s="1"/>
  <c r="V169" i="58" s="1"/>
  <c r="M13" i="58"/>
  <c r="L10" i="58"/>
  <c r="O10" i="58"/>
  <c r="N24" i="58"/>
  <c r="P13" i="58" s="1"/>
  <c r="P91" i="58"/>
  <c r="U92" i="58"/>
  <c r="K154" i="58"/>
  <c r="M143" i="58" s="1"/>
  <c r="M91" i="58"/>
  <c r="U86" i="58"/>
  <c r="O94" i="58"/>
  <c r="N22" i="58"/>
  <c r="L141" i="58"/>
  <c r="O141" i="58"/>
  <c r="L137" i="58"/>
  <c r="O137" i="58"/>
  <c r="F65" i="58"/>
  <c r="L65" i="58"/>
  <c r="K205" i="58"/>
  <c r="M192" i="58" s="1"/>
  <c r="M62" i="58"/>
  <c r="U63" i="58"/>
  <c r="H153" i="58"/>
  <c r="L68" i="58"/>
  <c r="M68" i="58" s="1"/>
  <c r="U60" i="58"/>
  <c r="K204" i="58"/>
  <c r="I112" i="58"/>
  <c r="L112" i="58"/>
  <c r="K127" i="58"/>
  <c r="L42" i="58"/>
  <c r="O44" i="98"/>
  <c r="U141" i="58"/>
  <c r="K101" i="58"/>
  <c r="K153" i="58"/>
  <c r="M88" i="58"/>
  <c r="L94" i="58"/>
  <c r="K179" i="58"/>
  <c r="M166" i="58" s="1"/>
  <c r="M10" i="58"/>
  <c r="L146" i="58"/>
  <c r="K100" i="58"/>
  <c r="M137" i="58"/>
  <c r="H206" i="58"/>
  <c r="J195" i="58" s="1"/>
  <c r="J91" i="58"/>
  <c r="U91" i="58"/>
  <c r="E50" i="58"/>
  <c r="H76" i="58"/>
  <c r="J65" i="58" s="1"/>
  <c r="J143" i="58"/>
  <c r="E206" i="58"/>
  <c r="G195" i="58" s="1"/>
  <c r="U143" i="58"/>
  <c r="G143" i="58"/>
  <c r="H75" i="58"/>
  <c r="J62" i="58" s="1"/>
  <c r="J140" i="58"/>
  <c r="E205" i="58"/>
  <c r="G192" i="58" s="1"/>
  <c r="U140" i="58"/>
  <c r="I94" i="58"/>
  <c r="H204" i="58"/>
  <c r="J85" i="58"/>
  <c r="H128" i="58"/>
  <c r="J117" i="58" s="1"/>
  <c r="J13" i="58"/>
  <c r="U13" i="58"/>
  <c r="E76" i="58"/>
  <c r="F114" i="58"/>
  <c r="I114" i="58"/>
  <c r="H23" i="58" s="1"/>
  <c r="F10" i="58"/>
  <c r="I10" i="58"/>
  <c r="O20" i="98"/>
  <c r="U39" i="58"/>
  <c r="E102" i="58"/>
  <c r="G91" i="58" s="1"/>
  <c r="V91" i="58" s="1"/>
  <c r="O21" i="98"/>
  <c r="I120" i="58"/>
  <c r="H22" i="58"/>
  <c r="H25" i="58" s="1"/>
  <c r="F36" i="58"/>
  <c r="I36" i="58"/>
  <c r="I68" i="58"/>
  <c r="H152" i="58"/>
  <c r="H155" i="58" s="1"/>
  <c r="U59" i="58"/>
  <c r="E22" i="58"/>
  <c r="F137" i="58"/>
  <c r="I137" i="58"/>
  <c r="H178" i="58"/>
  <c r="I42" i="58"/>
  <c r="J42" i="58" s="1"/>
  <c r="J33" i="58"/>
  <c r="U33" i="58"/>
  <c r="E100" i="58"/>
  <c r="G85" i="58" s="1"/>
  <c r="G33" i="58"/>
  <c r="O29" i="98"/>
  <c r="U114" i="58"/>
  <c r="E179" i="58"/>
  <c r="G114" i="58"/>
  <c r="F120" i="58"/>
  <c r="O36" i="98"/>
  <c r="O39" i="98"/>
  <c r="O37" i="98"/>
  <c r="E204" i="58"/>
  <c r="U137" i="58"/>
  <c r="F146" i="58"/>
  <c r="G137" i="58"/>
  <c r="O6" i="98"/>
  <c r="O2" i="98"/>
  <c r="U10" i="58"/>
  <c r="E75" i="58"/>
  <c r="G62" i="58" s="1"/>
  <c r="G10" i="58"/>
  <c r="U65" i="58"/>
  <c r="F68" i="58"/>
  <c r="E24" i="58"/>
  <c r="G65" i="58"/>
  <c r="O18" i="98"/>
  <c r="O10" i="98"/>
  <c r="O16" i="98"/>
  <c r="U36" i="58"/>
  <c r="F42" i="58"/>
  <c r="U42" i="58" s="1"/>
  <c r="AS43" i="58" s="1"/>
  <c r="E101" i="58"/>
  <c r="G36" i="58"/>
  <c r="O14" i="98"/>
  <c r="G36" i="53"/>
  <c r="Q102" i="57"/>
  <c r="N20" i="69"/>
  <c r="C20" i="69" s="1"/>
  <c r="H20" i="69" s="1"/>
  <c r="N21" i="69"/>
  <c r="C21" i="69" s="1"/>
  <c r="H21" i="69" s="1"/>
  <c r="Q127" i="57"/>
  <c r="U144" i="57"/>
  <c r="Q128" i="57"/>
  <c r="S117" i="57" s="1"/>
  <c r="S140" i="57"/>
  <c r="R146" i="57"/>
  <c r="O59" i="57"/>
  <c r="R59" i="57"/>
  <c r="U92" i="57"/>
  <c r="U89" i="57"/>
  <c r="O12" i="97"/>
  <c r="L13" i="57"/>
  <c r="O13" i="57"/>
  <c r="L143" i="57"/>
  <c r="K180" i="57" s="1"/>
  <c r="M169" i="57" s="1"/>
  <c r="O143" i="57"/>
  <c r="N24" i="57" s="1"/>
  <c r="L141" i="57"/>
  <c r="K179" i="57" s="1"/>
  <c r="M166" i="57" s="1"/>
  <c r="O141" i="57"/>
  <c r="N23" i="57" s="1"/>
  <c r="P10" i="57" s="1"/>
  <c r="L137" i="57"/>
  <c r="K178" i="57" s="1"/>
  <c r="O137" i="57"/>
  <c r="I65" i="57"/>
  <c r="H206" i="57" s="1"/>
  <c r="J195" i="57" s="1"/>
  <c r="O65" i="57"/>
  <c r="N128" i="57" s="1"/>
  <c r="P117" i="57" s="1"/>
  <c r="L62" i="57"/>
  <c r="O62" i="57"/>
  <c r="P62" i="57"/>
  <c r="O198" i="57"/>
  <c r="I198" i="57"/>
  <c r="U198" i="57" s="1"/>
  <c r="AS199" i="57" s="1"/>
  <c r="L86" i="57"/>
  <c r="K22" i="57" s="1"/>
  <c r="O86" i="57"/>
  <c r="N178" i="57" s="1"/>
  <c r="P163" i="57" s="1"/>
  <c r="H77" i="57"/>
  <c r="H24" i="57"/>
  <c r="H25" i="57" s="1"/>
  <c r="H50" i="57"/>
  <c r="J39" i="57" s="1"/>
  <c r="I59" i="57"/>
  <c r="H204" i="57" s="1"/>
  <c r="J189" i="57" s="1"/>
  <c r="L59" i="57"/>
  <c r="K48" i="57" s="1"/>
  <c r="M33" i="57" s="1"/>
  <c r="U195" i="57"/>
  <c r="E102" i="57"/>
  <c r="E103" i="57" s="1"/>
  <c r="F59" i="57"/>
  <c r="F62" i="57"/>
  <c r="E153" i="57" s="1"/>
  <c r="I62" i="57"/>
  <c r="O46" i="97"/>
  <c r="F86" i="57"/>
  <c r="E204" i="57" s="1"/>
  <c r="G189" i="57" s="1"/>
  <c r="I86" i="57"/>
  <c r="H152" i="57" s="1"/>
  <c r="O24" i="97"/>
  <c r="F143" i="57"/>
  <c r="I143" i="57"/>
  <c r="F140" i="57"/>
  <c r="I140" i="57"/>
  <c r="J140" i="57" s="1"/>
  <c r="F137" i="57"/>
  <c r="E74" i="57" s="1"/>
  <c r="I137" i="57"/>
  <c r="O37" i="97"/>
  <c r="U60" i="57"/>
  <c r="O94" i="97"/>
  <c r="U8" i="57"/>
  <c r="O25" i="97"/>
  <c r="O32" i="97"/>
  <c r="O23" i="97"/>
  <c r="O5" i="97"/>
  <c r="O29" i="97"/>
  <c r="O35" i="97"/>
  <c r="O2" i="97"/>
  <c r="O3" i="97"/>
  <c r="O16" i="97"/>
  <c r="O21" i="97"/>
  <c r="R61" i="57"/>
  <c r="S59" i="57" s="1"/>
  <c r="F61" i="57"/>
  <c r="E152" i="57" s="1"/>
  <c r="G137" i="57" s="1"/>
  <c r="O11" i="97"/>
  <c r="O19" i="97"/>
  <c r="BI196" i="57"/>
  <c r="BI61" i="57"/>
  <c r="O8" i="97"/>
  <c r="BI39" i="57"/>
  <c r="BI163" i="57"/>
  <c r="O66" i="97"/>
  <c r="O57" i="97"/>
  <c r="O70" i="97"/>
  <c r="O101" i="97"/>
  <c r="BI86" i="57"/>
  <c r="BI165" i="57"/>
  <c r="O53" i="97"/>
  <c r="O47" i="97"/>
  <c r="O90" i="97"/>
  <c r="O81" i="97"/>
  <c r="O61" i="97"/>
  <c r="O51" i="97"/>
  <c r="O91" i="97"/>
  <c r="O55" i="97"/>
  <c r="O102" i="97"/>
  <c r="O64" i="97"/>
  <c r="O93" i="97"/>
  <c r="O68" i="97"/>
  <c r="O73" i="97"/>
  <c r="O63" i="97"/>
  <c r="O48" i="97"/>
  <c r="O62" i="97"/>
  <c r="O60" i="97"/>
  <c r="O65" i="97"/>
  <c r="O80" i="97"/>
  <c r="O83" i="97"/>
  <c r="O69" i="97"/>
  <c r="O76" i="97"/>
  <c r="O95" i="97"/>
  <c r="O98" i="97"/>
  <c r="BI139" i="57"/>
  <c r="BI118" i="57"/>
  <c r="BI10" i="57"/>
  <c r="BI15" i="57"/>
  <c r="BI37" i="57"/>
  <c r="BI169" i="57"/>
  <c r="L7" i="57"/>
  <c r="K100" i="57" s="1"/>
  <c r="O7" i="57"/>
  <c r="BI14" i="57"/>
  <c r="BI62" i="57"/>
  <c r="BI170" i="57"/>
  <c r="F7" i="57"/>
  <c r="E126" i="57" s="1"/>
  <c r="G111" i="57" s="1"/>
  <c r="I7" i="57"/>
  <c r="H178" i="57" s="1"/>
  <c r="J163" i="57" s="1"/>
  <c r="BI34" i="57"/>
  <c r="BI87" i="57"/>
  <c r="BI112" i="57"/>
  <c r="BI40" i="57"/>
  <c r="BI141" i="57"/>
  <c r="BI60" i="57"/>
  <c r="BI66" i="57"/>
  <c r="BI115" i="57"/>
  <c r="BI11" i="57"/>
  <c r="BI142" i="57"/>
  <c r="BI65" i="57"/>
  <c r="BI63" i="57"/>
  <c r="BI143" i="57"/>
  <c r="BI9" i="57"/>
  <c r="BI7" i="57"/>
  <c r="BI92" i="57"/>
  <c r="BI168" i="57"/>
  <c r="BI64" i="57"/>
  <c r="BI145" i="57"/>
  <c r="BI35" i="57"/>
  <c r="BI85" i="57"/>
  <c r="BI113" i="57"/>
  <c r="BI8" i="57"/>
  <c r="BI190" i="57"/>
  <c r="BI140" i="57"/>
  <c r="BI36" i="57"/>
  <c r="BI89" i="57"/>
  <c r="BI33" i="57"/>
  <c r="BI88" i="57"/>
  <c r="BI167" i="57"/>
  <c r="BI117" i="57"/>
  <c r="BI193" i="57"/>
  <c r="BI91" i="57"/>
  <c r="BI38" i="57"/>
  <c r="BI111" i="57"/>
  <c r="BI166" i="57"/>
  <c r="BI192" i="57"/>
  <c r="BI194" i="57"/>
  <c r="BI67" i="57"/>
  <c r="BI93" i="57"/>
  <c r="BI13" i="57"/>
  <c r="BI171" i="57"/>
  <c r="BI90" i="57"/>
  <c r="BI119" i="57"/>
  <c r="BI41" i="57"/>
  <c r="BI189" i="57"/>
  <c r="BI116" i="57"/>
  <c r="BI59" i="57"/>
  <c r="BI164" i="57"/>
  <c r="BI12" i="57"/>
  <c r="BI114" i="57"/>
  <c r="BI197" i="57"/>
  <c r="BI137" i="57"/>
  <c r="BI191" i="57"/>
  <c r="BI195" i="57"/>
  <c r="BI138" i="57"/>
  <c r="BI144" i="57"/>
  <c r="O14" i="97"/>
  <c r="K76" i="57"/>
  <c r="U114" i="57"/>
  <c r="P33" i="57"/>
  <c r="Q75" i="57"/>
  <c r="P39" i="57"/>
  <c r="U85" i="57"/>
  <c r="N104" i="84"/>
  <c r="N19" i="69"/>
  <c r="N101" i="55"/>
  <c r="L42" i="57"/>
  <c r="F120" i="57"/>
  <c r="H127" i="57"/>
  <c r="J114" i="57" s="1"/>
  <c r="O100" i="97"/>
  <c r="U39" i="57"/>
  <c r="H104" i="84"/>
  <c r="O30" i="95"/>
  <c r="K119" i="84"/>
  <c r="K120" i="84" s="1"/>
  <c r="E119" i="84"/>
  <c r="E120" i="84" s="1"/>
  <c r="B127" i="84"/>
  <c r="M119" i="84"/>
  <c r="M120" i="84" s="1"/>
  <c r="B103" i="84"/>
  <c r="I119" i="84"/>
  <c r="I120" i="84" s="1"/>
  <c r="G119" i="84"/>
  <c r="G120" i="84" s="1"/>
  <c r="I63" i="55"/>
  <c r="N178" i="53"/>
  <c r="N181" i="53" s="1"/>
  <c r="P172" i="53" s="1"/>
  <c r="O18" i="88"/>
  <c r="B102" i="45"/>
  <c r="K94" i="45"/>
  <c r="K95" i="45" s="1"/>
  <c r="I94" i="45"/>
  <c r="I95" i="45" s="1"/>
  <c r="G94" i="45"/>
  <c r="G95" i="45" s="1"/>
  <c r="H79" i="45"/>
  <c r="N79" i="45"/>
  <c r="F79" i="45"/>
  <c r="M94" i="45"/>
  <c r="M95" i="45" s="1"/>
  <c r="B78" i="45"/>
  <c r="E94" i="45"/>
  <c r="E95" i="45" s="1"/>
  <c r="J104" i="84"/>
  <c r="M114" i="57"/>
  <c r="Q204" i="53"/>
  <c r="S189" i="53" s="1"/>
  <c r="Q50" i="55"/>
  <c r="S39" i="55" s="1"/>
  <c r="L140" i="55"/>
  <c r="K23" i="55" s="1"/>
  <c r="R140" i="55"/>
  <c r="Q49" i="55" s="1"/>
  <c r="O138" i="55"/>
  <c r="N126" i="55" s="1"/>
  <c r="R138" i="55"/>
  <c r="O58" i="96"/>
  <c r="H152" i="55"/>
  <c r="H155" i="55" s="1"/>
  <c r="U163" i="55"/>
  <c r="O172" i="55"/>
  <c r="P172" i="55" s="1"/>
  <c r="P173" i="55" s="1"/>
  <c r="N204" i="55"/>
  <c r="L172" i="55"/>
  <c r="K100" i="55"/>
  <c r="O25" i="96"/>
  <c r="I91" i="55"/>
  <c r="H24" i="55" s="1"/>
  <c r="O91" i="55"/>
  <c r="N76" i="55" s="1"/>
  <c r="F91" i="55"/>
  <c r="E154" i="55" s="1"/>
  <c r="L91" i="55"/>
  <c r="L143" i="55"/>
  <c r="K24" i="55" s="1"/>
  <c r="O143" i="55"/>
  <c r="P143" i="55" s="1"/>
  <c r="O66" i="96"/>
  <c r="H128" i="55"/>
  <c r="J117" i="55" s="1"/>
  <c r="I138" i="55"/>
  <c r="L138" i="55"/>
  <c r="U198" i="55"/>
  <c r="AS199" i="55" s="1"/>
  <c r="U172" i="55"/>
  <c r="AS173" i="55" s="1"/>
  <c r="F143" i="55"/>
  <c r="I143" i="55"/>
  <c r="H180" i="55" s="1"/>
  <c r="J169" i="55" s="1"/>
  <c r="F140" i="55"/>
  <c r="I140" i="55"/>
  <c r="O21" i="96"/>
  <c r="O4" i="96"/>
  <c r="O2" i="96"/>
  <c r="O6" i="96"/>
  <c r="O19" i="96"/>
  <c r="O42" i="96"/>
  <c r="O30" i="96"/>
  <c r="O24" i="96"/>
  <c r="O22" i="96"/>
  <c r="O20" i="96"/>
  <c r="O14" i="96"/>
  <c r="O16" i="96"/>
  <c r="O13" i="96"/>
  <c r="O12" i="96"/>
  <c r="O11" i="96"/>
  <c r="G13" i="55"/>
  <c r="O8" i="96"/>
  <c r="U60" i="55"/>
  <c r="O5" i="96"/>
  <c r="N100" i="55"/>
  <c r="M33" i="55"/>
  <c r="U117" i="55"/>
  <c r="U33" i="55"/>
  <c r="O20" i="95"/>
  <c r="N48" i="53"/>
  <c r="P33" i="53" s="1"/>
  <c r="O143" i="53"/>
  <c r="N50" i="53" s="1"/>
  <c r="R143" i="53"/>
  <c r="Q76" i="53" s="1"/>
  <c r="S65" i="53" s="1"/>
  <c r="Q75" i="53"/>
  <c r="S62" i="53" s="1"/>
  <c r="O18" i="95"/>
  <c r="O118" i="53"/>
  <c r="R118" i="53"/>
  <c r="Q24" i="53" s="1"/>
  <c r="F114" i="53"/>
  <c r="G114" i="53" s="1"/>
  <c r="O114" i="53"/>
  <c r="N101" i="53" s="1"/>
  <c r="L112" i="53"/>
  <c r="M111" i="53" s="1"/>
  <c r="L114" i="53"/>
  <c r="K179" i="53" s="1"/>
  <c r="M166" i="53" s="1"/>
  <c r="H74" i="53"/>
  <c r="O112" i="53"/>
  <c r="P111" i="53" s="1"/>
  <c r="R112" i="53"/>
  <c r="Q22" i="53" s="1"/>
  <c r="S7" i="53" s="1"/>
  <c r="K48" i="53"/>
  <c r="M33" i="53" s="1"/>
  <c r="U63" i="53"/>
  <c r="F59" i="53"/>
  <c r="L14" i="53"/>
  <c r="R14" i="53"/>
  <c r="Q128" i="53" s="1"/>
  <c r="S117" i="53" s="1"/>
  <c r="Q126" i="53"/>
  <c r="I7" i="53"/>
  <c r="H152" i="53" s="1"/>
  <c r="J137" i="53" s="1"/>
  <c r="F7" i="53"/>
  <c r="E100" i="53" s="1"/>
  <c r="G85" i="53" s="1"/>
  <c r="U172" i="53"/>
  <c r="AS173" i="53" s="1"/>
  <c r="F143" i="53"/>
  <c r="G143" i="53" s="1"/>
  <c r="L140" i="53"/>
  <c r="K205" i="53" s="1"/>
  <c r="M192" i="53" s="1"/>
  <c r="O140" i="53"/>
  <c r="U137" i="53"/>
  <c r="U86" i="53"/>
  <c r="I36" i="53"/>
  <c r="L36" i="53"/>
  <c r="L7" i="53"/>
  <c r="K74" i="53" s="1"/>
  <c r="O7" i="53"/>
  <c r="N204" i="53" s="1"/>
  <c r="P189" i="53" s="1"/>
  <c r="M13" i="53"/>
  <c r="O40" i="95"/>
  <c r="M143" i="53"/>
  <c r="E74" i="53"/>
  <c r="O12" i="95"/>
  <c r="H24" i="53"/>
  <c r="U144" i="53"/>
  <c r="F140" i="53"/>
  <c r="E179" i="53" s="1"/>
  <c r="I140" i="53"/>
  <c r="H23" i="53" s="1"/>
  <c r="O42" i="95"/>
  <c r="O24" i="95"/>
  <c r="U195" i="53"/>
  <c r="F198" i="53"/>
  <c r="U198" i="53" s="1"/>
  <c r="AS199" i="53" s="1"/>
  <c r="O2" i="95"/>
  <c r="O28" i="95"/>
  <c r="O29" i="95"/>
  <c r="F65" i="53"/>
  <c r="I65" i="53"/>
  <c r="H128" i="53" s="1"/>
  <c r="J117" i="53" s="1"/>
  <c r="O43" i="95"/>
  <c r="L60" i="53"/>
  <c r="K22" i="53" s="1"/>
  <c r="I60" i="53"/>
  <c r="H126" i="53" s="1"/>
  <c r="J111" i="53" s="1"/>
  <c r="O19" i="95"/>
  <c r="O21" i="95"/>
  <c r="O14" i="95"/>
  <c r="O22" i="95"/>
  <c r="O13" i="95"/>
  <c r="F14" i="53"/>
  <c r="G13" i="53" s="1"/>
  <c r="I14" i="53"/>
  <c r="F10" i="53"/>
  <c r="I10" i="53"/>
  <c r="O4" i="95"/>
  <c r="O6" i="95"/>
  <c r="O5" i="95"/>
  <c r="O25" i="95"/>
  <c r="O23" i="95"/>
  <c r="O15" i="95"/>
  <c r="O8" i="95"/>
  <c r="O9" i="95"/>
  <c r="M10" i="53"/>
  <c r="O100" i="95"/>
  <c r="U8" i="53"/>
  <c r="O102" i="95"/>
  <c r="O62" i="95"/>
  <c r="O45" i="95"/>
  <c r="O68" i="95"/>
  <c r="O89" i="95"/>
  <c r="O71" i="95"/>
  <c r="O74" i="95"/>
  <c r="O80" i="95"/>
  <c r="O92" i="95"/>
  <c r="O84" i="95"/>
  <c r="O72" i="95"/>
  <c r="O48" i="95"/>
  <c r="O41" i="95"/>
  <c r="O32" i="95"/>
  <c r="S85" i="53"/>
  <c r="M85" i="53"/>
  <c r="BI117" i="53"/>
  <c r="BI114" i="53"/>
  <c r="BI111" i="53"/>
  <c r="BI93" i="53"/>
  <c r="BI113" i="53"/>
  <c r="BI64" i="53"/>
  <c r="BI67" i="53"/>
  <c r="BI144" i="53"/>
  <c r="BI65" i="53"/>
  <c r="BI34" i="53"/>
  <c r="BI62" i="53"/>
  <c r="BI141" i="53"/>
  <c r="BI38" i="53"/>
  <c r="BI41" i="53"/>
  <c r="BI35" i="53"/>
  <c r="R16" i="53"/>
  <c r="N2" i="100"/>
  <c r="N2" i="101" s="1"/>
  <c r="L39" i="52"/>
  <c r="K154" i="52" s="1"/>
  <c r="O89" i="52"/>
  <c r="R89" i="52"/>
  <c r="Q152" i="52"/>
  <c r="S137" i="52" s="1"/>
  <c r="L86" i="52"/>
  <c r="K126" i="52" s="1"/>
  <c r="O86" i="52"/>
  <c r="N204" i="52" s="1"/>
  <c r="P189" i="52" s="1"/>
  <c r="O48" i="88"/>
  <c r="O198" i="52"/>
  <c r="U196" i="52"/>
  <c r="G195" i="52"/>
  <c r="U193" i="52"/>
  <c r="L143" i="52"/>
  <c r="O143" i="52"/>
  <c r="N76" i="52" s="1"/>
  <c r="R146" i="52"/>
  <c r="L140" i="52"/>
  <c r="K49" i="52" s="1"/>
  <c r="O140" i="52"/>
  <c r="N75" i="52" s="1"/>
  <c r="L137" i="52"/>
  <c r="K48" i="52" s="1"/>
  <c r="O137" i="52"/>
  <c r="L172" i="52"/>
  <c r="F172" i="52"/>
  <c r="E204" i="52"/>
  <c r="G189" i="52" s="1"/>
  <c r="O172" i="52"/>
  <c r="N48" i="52"/>
  <c r="N51" i="52" s="1"/>
  <c r="F7" i="52"/>
  <c r="E48" i="52" s="1"/>
  <c r="O35" i="88"/>
  <c r="I198" i="52"/>
  <c r="U195" i="52"/>
  <c r="E180" i="52"/>
  <c r="G169" i="52" s="1"/>
  <c r="O4" i="88"/>
  <c r="O6" i="88"/>
  <c r="L198" i="52"/>
  <c r="O77" i="88"/>
  <c r="O68" i="88"/>
  <c r="O44" i="88"/>
  <c r="O85" i="88"/>
  <c r="O82" i="88"/>
  <c r="O63" i="88"/>
  <c r="O86" i="88"/>
  <c r="U192" i="52"/>
  <c r="E179" i="52"/>
  <c r="G166" i="52" s="1"/>
  <c r="U190" i="52"/>
  <c r="O3" i="88"/>
  <c r="U169" i="52"/>
  <c r="U163" i="52"/>
  <c r="U166" i="52"/>
  <c r="E205" i="52"/>
  <c r="G192" i="52" s="1"/>
  <c r="I172" i="52"/>
  <c r="H126" i="52"/>
  <c r="H129" i="52" s="1"/>
  <c r="F143" i="52"/>
  <c r="I143" i="52"/>
  <c r="H206" i="52" s="1"/>
  <c r="J195" i="52" s="1"/>
  <c r="F140" i="52"/>
  <c r="I140" i="52"/>
  <c r="H205" i="52" s="1"/>
  <c r="J192" i="52" s="1"/>
  <c r="F137" i="52"/>
  <c r="I137" i="52"/>
  <c r="J137" i="52" s="1"/>
  <c r="O33" i="88"/>
  <c r="I118" i="52"/>
  <c r="L118" i="52"/>
  <c r="O23" i="88"/>
  <c r="O29" i="88"/>
  <c r="F114" i="52"/>
  <c r="E153" i="52" s="1"/>
  <c r="I114" i="52"/>
  <c r="H179" i="52" s="1"/>
  <c r="O81" i="88"/>
  <c r="O71" i="88"/>
  <c r="I92" i="52"/>
  <c r="L92" i="52"/>
  <c r="O25" i="88"/>
  <c r="I85" i="52"/>
  <c r="H48" i="52" s="1"/>
  <c r="O22" i="88"/>
  <c r="O21" i="88"/>
  <c r="O84" i="88"/>
  <c r="O80" i="88"/>
  <c r="O74" i="88"/>
  <c r="O70" i="88"/>
  <c r="O60" i="88"/>
  <c r="O55" i="88"/>
  <c r="O98" i="88"/>
  <c r="L65" i="52"/>
  <c r="I65" i="52"/>
  <c r="F65" i="52"/>
  <c r="E102" i="52" s="1"/>
  <c r="O19" i="88"/>
  <c r="O20" i="88"/>
  <c r="I39" i="52"/>
  <c r="H102" i="52" s="1"/>
  <c r="O15" i="88"/>
  <c r="O14" i="88"/>
  <c r="O16" i="88"/>
  <c r="N8" i="100"/>
  <c r="N8" i="101" s="1"/>
  <c r="C6" i="120"/>
  <c r="G6" i="120"/>
  <c r="N13" i="100"/>
  <c r="A7" i="120"/>
  <c r="E7" i="120" s="1"/>
  <c r="F6" i="120"/>
  <c r="E6" i="120"/>
  <c r="M40" i="100"/>
  <c r="M19" i="100"/>
  <c r="O2" i="88"/>
  <c r="M5" i="100"/>
  <c r="M4" i="100"/>
  <c r="O67" i="88"/>
  <c r="O72" i="88"/>
  <c r="O38" i="88"/>
  <c r="O75" i="88"/>
  <c r="O36" i="88"/>
  <c r="O90" i="88"/>
  <c r="O41" i="88"/>
  <c r="O57" i="88"/>
  <c r="O37" i="88"/>
  <c r="O69" i="88"/>
  <c r="O83" i="88"/>
  <c r="O89" i="88"/>
  <c r="O99" i="88"/>
  <c r="L10" i="52"/>
  <c r="K205" i="52" s="1"/>
  <c r="M192" i="52" s="1"/>
  <c r="R10" i="52"/>
  <c r="S10" i="52" s="1"/>
  <c r="N20" i="100"/>
  <c r="N20" i="101" s="1"/>
  <c r="M53" i="100"/>
  <c r="M98" i="100"/>
  <c r="M92" i="100"/>
  <c r="M62" i="100"/>
  <c r="M61" i="100"/>
  <c r="M66" i="100"/>
  <c r="M100" i="100"/>
  <c r="M48" i="100"/>
  <c r="M47" i="100"/>
  <c r="M86" i="100"/>
  <c r="M103" i="100"/>
  <c r="M57" i="100"/>
  <c r="M71" i="100"/>
  <c r="M96" i="100"/>
  <c r="M101" i="100"/>
  <c r="M68" i="100"/>
  <c r="M34" i="100"/>
  <c r="M33" i="100"/>
  <c r="M33" i="101" s="1"/>
  <c r="M36" i="100"/>
  <c r="M46" i="100"/>
  <c r="M30" i="100"/>
  <c r="M30" i="101" s="1"/>
  <c r="M41" i="100"/>
  <c r="M45" i="100"/>
  <c r="M64" i="100"/>
  <c r="M77" i="100"/>
  <c r="M38" i="100"/>
  <c r="M78" i="100"/>
  <c r="M8" i="100"/>
  <c r="M90" i="100"/>
  <c r="M31" i="100"/>
  <c r="M31" i="101" s="1"/>
  <c r="M60" i="100"/>
  <c r="M72" i="100"/>
  <c r="M83" i="100"/>
  <c r="M94" i="100"/>
  <c r="M93" i="100"/>
  <c r="M39" i="100"/>
  <c r="M43" i="100"/>
  <c r="M99" i="100"/>
  <c r="M80" i="100"/>
  <c r="M69" i="100"/>
  <c r="M42" i="100"/>
  <c r="M52" i="100"/>
  <c r="M63" i="100"/>
  <c r="M28" i="100"/>
  <c r="M28" i="101" s="1"/>
  <c r="M49" i="100"/>
  <c r="M81" i="100"/>
  <c r="M73" i="100"/>
  <c r="M85" i="100"/>
  <c r="M58" i="100"/>
  <c r="M88" i="100"/>
  <c r="M97" i="100"/>
  <c r="M75" i="100"/>
  <c r="M84" i="100"/>
  <c r="M51" i="100"/>
  <c r="M104" i="100"/>
  <c r="M54" i="100"/>
  <c r="M95" i="100"/>
  <c r="M74" i="100"/>
  <c r="M56" i="100"/>
  <c r="M59" i="100"/>
  <c r="M76" i="100"/>
  <c r="M67" i="100"/>
  <c r="M37" i="100"/>
  <c r="M29" i="100"/>
  <c r="M29" i="101" s="1"/>
  <c r="N3" i="100"/>
  <c r="N3" i="101" s="1"/>
  <c r="N5" i="100"/>
  <c r="M55" i="100"/>
  <c r="M32" i="100"/>
  <c r="M32" i="101" s="1"/>
  <c r="M82" i="100"/>
  <c r="M65" i="100"/>
  <c r="M102" i="100"/>
  <c r="M50" i="100"/>
  <c r="M70" i="100"/>
  <c r="O5" i="88"/>
  <c r="M91" i="100"/>
  <c r="M44" i="100"/>
  <c r="M35" i="100"/>
  <c r="M89" i="100"/>
  <c r="M87" i="100"/>
  <c r="M79" i="100"/>
  <c r="M27" i="100"/>
  <c r="N11" i="100"/>
  <c r="N11" i="101" s="1"/>
  <c r="O59" i="88"/>
  <c r="O11" i="88"/>
  <c r="N24" i="100"/>
  <c r="N22" i="100"/>
  <c r="N22" i="101" s="1"/>
  <c r="N16" i="100"/>
  <c r="N14" i="100"/>
  <c r="N14" i="101" s="1"/>
  <c r="N17" i="100"/>
  <c r="N19" i="100"/>
  <c r="N18" i="100"/>
  <c r="M3" i="100"/>
  <c r="N4" i="100"/>
  <c r="N7" i="100"/>
  <c r="O7" i="100" s="1"/>
  <c r="J10" i="57"/>
  <c r="O73" i="88"/>
  <c r="S199" i="59"/>
  <c r="M13" i="100"/>
  <c r="M10" i="100"/>
  <c r="M23" i="100"/>
  <c r="M20" i="100"/>
  <c r="M17" i="100"/>
  <c r="M6" i="100"/>
  <c r="M25" i="100"/>
  <c r="M15" i="100"/>
  <c r="N27" i="100"/>
  <c r="O27" i="100" s="1"/>
  <c r="M26" i="100"/>
  <c r="M24" i="100"/>
  <c r="M16" i="100"/>
  <c r="M21" i="100"/>
  <c r="M11" i="100"/>
  <c r="M22" i="100"/>
  <c r="N6" i="100"/>
  <c r="N10" i="100"/>
  <c r="N21" i="100"/>
  <c r="N15" i="100"/>
  <c r="N25" i="100"/>
  <c r="O27" i="96"/>
  <c r="N9" i="100"/>
  <c r="N26" i="100"/>
  <c r="O26" i="100" s="1"/>
  <c r="M7" i="100"/>
  <c r="M14" i="100"/>
  <c r="M12" i="100"/>
  <c r="M9" i="100"/>
  <c r="BI40" i="53"/>
  <c r="B152" i="116"/>
  <c r="L129" i="116"/>
  <c r="J129" i="116"/>
  <c r="H129" i="116"/>
  <c r="F129" i="116"/>
  <c r="M144" i="116"/>
  <c r="M145" i="116" s="1"/>
  <c r="K144" i="116"/>
  <c r="K145" i="116" s="1"/>
  <c r="N129" i="116"/>
  <c r="G144" i="116"/>
  <c r="G145" i="116" s="1"/>
  <c r="I144" i="116"/>
  <c r="I145" i="116" s="1"/>
  <c r="E144" i="116"/>
  <c r="E145" i="116" s="1"/>
  <c r="BI86" i="53"/>
  <c r="S10" i="53"/>
  <c r="K119" i="87"/>
  <c r="K120" i="87" s="1"/>
  <c r="I119" i="87"/>
  <c r="I120" i="87" s="1"/>
  <c r="G119" i="87"/>
  <c r="G120" i="87" s="1"/>
  <c r="L104" i="87"/>
  <c r="J104" i="87"/>
  <c r="E119" i="87"/>
  <c r="E120" i="87" s="1"/>
  <c r="M119" i="87"/>
  <c r="M120" i="87" s="1"/>
  <c r="F104" i="87"/>
  <c r="H104" i="87"/>
  <c r="B127" i="87"/>
  <c r="B103" i="87"/>
  <c r="N104" i="87"/>
  <c r="C5" i="120"/>
  <c r="D5" i="120"/>
  <c r="I42" i="57"/>
  <c r="K119" i="41"/>
  <c r="K120" i="41" s="1"/>
  <c r="F104" i="41"/>
  <c r="E119" i="41"/>
  <c r="E120" i="41" s="1"/>
  <c r="J104" i="41"/>
  <c r="I119" i="41"/>
  <c r="I120" i="41" s="1"/>
  <c r="N104" i="41"/>
  <c r="G119" i="41"/>
  <c r="G120" i="41" s="1"/>
  <c r="B103" i="41"/>
  <c r="H104" i="41"/>
  <c r="L104" i="41"/>
  <c r="M119" i="41"/>
  <c r="M120" i="41" s="1"/>
  <c r="B127" i="41"/>
  <c r="K144" i="85"/>
  <c r="K145" i="85" s="1"/>
  <c r="B152" i="85"/>
  <c r="L129" i="85"/>
  <c r="E144" i="85"/>
  <c r="E145" i="85" s="1"/>
  <c r="F129" i="85"/>
  <c r="H129" i="85"/>
  <c r="I144" i="85"/>
  <c r="I145" i="85" s="1"/>
  <c r="M144" i="85"/>
  <c r="M145" i="85" s="1"/>
  <c r="J129" i="85"/>
  <c r="B128" i="85"/>
  <c r="G144" i="85"/>
  <c r="G145" i="85" s="1"/>
  <c r="N129" i="85"/>
  <c r="S114" i="57"/>
  <c r="M2" i="100"/>
  <c r="D12" i="58"/>
  <c r="C19" i="69"/>
  <c r="H19" i="69" s="1"/>
  <c r="O3" i="96"/>
  <c r="BI12" i="53"/>
  <c r="BI10" i="53"/>
  <c r="AP7" i="58"/>
  <c r="D7" i="58" s="1"/>
  <c r="R7" i="58" s="1"/>
  <c r="N12" i="100"/>
  <c r="BI89" i="53"/>
  <c r="BI7" i="53"/>
  <c r="O44" i="97"/>
  <c r="M18" i="100"/>
  <c r="BI8" i="53"/>
  <c r="N23" i="100"/>
  <c r="BI59" i="53"/>
  <c r="O34" i="96"/>
  <c r="U39" i="55"/>
  <c r="D34" i="58"/>
  <c r="P88" i="57"/>
  <c r="I95" i="86"/>
  <c r="G94" i="86"/>
  <c r="G95" i="86" s="1"/>
  <c r="B78" i="86"/>
  <c r="E94" i="86"/>
  <c r="E95" i="86" s="1"/>
  <c r="M94" i="86"/>
  <c r="M95" i="86" s="1"/>
  <c r="H79" i="86"/>
  <c r="K94" i="86"/>
  <c r="K95" i="86" s="1"/>
  <c r="B102" i="86"/>
  <c r="J79" i="86"/>
  <c r="F79" i="86"/>
  <c r="N79" i="86"/>
  <c r="L79" i="86"/>
  <c r="U117" i="57"/>
  <c r="U33" i="57"/>
  <c r="U88" i="57"/>
  <c r="H49" i="57"/>
  <c r="J36" i="57" s="1"/>
  <c r="O42" i="57"/>
  <c r="U36" i="57"/>
  <c r="E22" i="57"/>
  <c r="G7" i="57" s="1"/>
  <c r="H126" i="57"/>
  <c r="G36" i="57"/>
  <c r="P85" i="57"/>
  <c r="H179" i="57"/>
  <c r="J166" i="57" s="1"/>
  <c r="S36" i="57"/>
  <c r="Q154" i="57"/>
  <c r="S143" i="57" s="1"/>
  <c r="M10" i="57"/>
  <c r="N126" i="57"/>
  <c r="G114" i="57"/>
  <c r="Q102" i="55"/>
  <c r="S91" i="55" s="1"/>
  <c r="U91" i="53"/>
  <c r="U11" i="53"/>
  <c r="S114" i="53"/>
  <c r="U85" i="53"/>
  <c r="U34" i="53"/>
  <c r="L16" i="53"/>
  <c r="P85" i="52"/>
  <c r="U11" i="52"/>
  <c r="P173" i="59"/>
  <c r="O34" i="97"/>
  <c r="O79" i="97"/>
  <c r="O49" i="97"/>
  <c r="O87" i="97"/>
  <c r="O59" i="97"/>
  <c r="O82" i="97"/>
  <c r="BM9" i="57"/>
  <c r="R111" i="57"/>
  <c r="O111" i="57"/>
  <c r="I111" i="57"/>
  <c r="L111" i="57"/>
  <c r="L120" i="57" s="1"/>
  <c r="BM40" i="57"/>
  <c r="BM59" i="57"/>
  <c r="BM137" i="57"/>
  <c r="BM8" i="57"/>
  <c r="BM141" i="57"/>
  <c r="BM13" i="57"/>
  <c r="BM190" i="57"/>
  <c r="BM194" i="57"/>
  <c r="BM171" i="57"/>
  <c r="BM114" i="57"/>
  <c r="BM62" i="57"/>
  <c r="BM112" i="57"/>
  <c r="BM118" i="57"/>
  <c r="BM7" i="57"/>
  <c r="BM88" i="57"/>
  <c r="BM116" i="57"/>
  <c r="BM14" i="57"/>
  <c r="BM93" i="57"/>
  <c r="BM170" i="57"/>
  <c r="BM169" i="57"/>
  <c r="BM196" i="57"/>
  <c r="BM144" i="57"/>
  <c r="BM12" i="57"/>
  <c r="BM38" i="57"/>
  <c r="BM142" i="57"/>
  <c r="BM34" i="57"/>
  <c r="BM64" i="57"/>
  <c r="BM167" i="57"/>
  <c r="BM191" i="57"/>
  <c r="BM86" i="57"/>
  <c r="BM65" i="57"/>
  <c r="BM87" i="57"/>
  <c r="BM145" i="57"/>
  <c r="BM33" i="57"/>
  <c r="BM138" i="57"/>
  <c r="BM143" i="57"/>
  <c r="BM166" i="57"/>
  <c r="BM168" i="57"/>
  <c r="BM63" i="57"/>
  <c r="BM37" i="57"/>
  <c r="BM41" i="57"/>
  <c r="BM39" i="57"/>
  <c r="BM115" i="57"/>
  <c r="BM35" i="57"/>
  <c r="BM139" i="57"/>
  <c r="BM119" i="57"/>
  <c r="BM192" i="57"/>
  <c r="BM193" i="57"/>
  <c r="BM67" i="57"/>
  <c r="BM140" i="57"/>
  <c r="BM92" i="57"/>
  <c r="BM66" i="57"/>
  <c r="BM111" i="57"/>
  <c r="BM15" i="57"/>
  <c r="BM163" i="57"/>
  <c r="BM189" i="57"/>
  <c r="BM61" i="57"/>
  <c r="BM36" i="57"/>
  <c r="BM195" i="57"/>
  <c r="BM164" i="57"/>
  <c r="BM60" i="57"/>
  <c r="BM89" i="57"/>
  <c r="BM113" i="57"/>
  <c r="BM11" i="57"/>
  <c r="BM90" i="57"/>
  <c r="BM165" i="57"/>
  <c r="BM197" i="57"/>
  <c r="BM91" i="57"/>
  <c r="O92" i="97"/>
  <c r="BM117" i="57"/>
  <c r="M88" i="57"/>
  <c r="G88" i="57"/>
  <c r="R91" i="57"/>
  <c r="Q76" i="57" s="1"/>
  <c r="S65" i="57" s="1"/>
  <c r="I91" i="57"/>
  <c r="L91" i="57"/>
  <c r="O91" i="57"/>
  <c r="F91" i="57"/>
  <c r="O104" i="97"/>
  <c r="O36" i="97"/>
  <c r="O84" i="97"/>
  <c r="L65" i="57"/>
  <c r="F65" i="57"/>
  <c r="O52" i="97"/>
  <c r="R63" i="57"/>
  <c r="Q101" i="57" s="1"/>
  <c r="S88" i="57" s="1"/>
  <c r="L63" i="57"/>
  <c r="M62" i="57" s="1"/>
  <c r="I63" i="57"/>
  <c r="G33" i="57"/>
  <c r="R42" i="57"/>
  <c r="O71" i="97"/>
  <c r="O58" i="97"/>
  <c r="O56" i="97"/>
  <c r="O39" i="97"/>
  <c r="O45" i="97"/>
  <c r="G39" i="57"/>
  <c r="O77" i="97"/>
  <c r="O96" i="97"/>
  <c r="O85" i="97"/>
  <c r="O38" i="97"/>
  <c r="F42" i="57"/>
  <c r="E181" i="57"/>
  <c r="G172" i="57" s="1"/>
  <c r="G173" i="57" s="1"/>
  <c r="O67" i="97"/>
  <c r="H102" i="57"/>
  <c r="H128" i="57"/>
  <c r="J117" i="57" s="1"/>
  <c r="P36" i="57"/>
  <c r="O74" i="97"/>
  <c r="O88" i="97"/>
  <c r="S10" i="57"/>
  <c r="U10" i="57"/>
  <c r="N153" i="57"/>
  <c r="P140" i="57" s="1"/>
  <c r="O99" i="97"/>
  <c r="O50" i="97"/>
  <c r="O43" i="97"/>
  <c r="O86" i="97"/>
  <c r="O89" i="97"/>
  <c r="O103" i="97"/>
  <c r="O41" i="97"/>
  <c r="S173" i="57"/>
  <c r="BM85" i="57"/>
  <c r="R14" i="57"/>
  <c r="Q50" i="57" s="1"/>
  <c r="S39" i="57" s="1"/>
  <c r="L14" i="57"/>
  <c r="K102" i="57" s="1"/>
  <c r="O14" i="57"/>
  <c r="N154" i="57" s="1"/>
  <c r="P143" i="57" s="1"/>
  <c r="R9" i="57"/>
  <c r="O9" i="57"/>
  <c r="N207" i="57"/>
  <c r="P198" i="57" s="1"/>
  <c r="P199" i="57" s="1"/>
  <c r="I13" i="57"/>
  <c r="F13" i="57"/>
  <c r="G13" i="57" s="1"/>
  <c r="E100" i="55"/>
  <c r="U137" i="55"/>
  <c r="S117" i="55"/>
  <c r="G117" i="55"/>
  <c r="R114" i="55"/>
  <c r="Q101" i="55" s="1"/>
  <c r="L114" i="55"/>
  <c r="K75" i="55" s="1"/>
  <c r="I114" i="55"/>
  <c r="H205" i="55" s="1"/>
  <c r="J192" i="55" s="1"/>
  <c r="F114" i="55"/>
  <c r="O114" i="55"/>
  <c r="N153" i="55" s="1"/>
  <c r="P140" i="55" s="1"/>
  <c r="R111" i="55"/>
  <c r="I111" i="55"/>
  <c r="O111" i="55"/>
  <c r="L111" i="55"/>
  <c r="M111" i="55" s="1"/>
  <c r="F111" i="55"/>
  <c r="G111" i="55" s="1"/>
  <c r="BL169" i="55"/>
  <c r="BL168" i="55"/>
  <c r="BL164" i="55"/>
  <c r="BL194" i="55"/>
  <c r="BL189" i="55"/>
  <c r="BL197" i="55"/>
  <c r="BL190" i="55"/>
  <c r="BL163" i="55"/>
  <c r="BL192" i="55"/>
  <c r="BL170" i="55"/>
  <c r="BL191" i="55"/>
  <c r="BL166" i="55"/>
  <c r="BL195" i="55"/>
  <c r="BL196" i="55"/>
  <c r="BL167" i="55"/>
  <c r="BL165" i="55"/>
  <c r="BL171" i="55"/>
  <c r="AP85" i="55"/>
  <c r="D85" i="55" s="1"/>
  <c r="O88" i="55"/>
  <c r="N75" i="55" s="1"/>
  <c r="P62" i="55" s="1"/>
  <c r="F88" i="55"/>
  <c r="L88" i="55"/>
  <c r="K179" i="55" s="1"/>
  <c r="M166" i="55" s="1"/>
  <c r="I88" i="55"/>
  <c r="R88" i="55"/>
  <c r="L63" i="55"/>
  <c r="K127" i="55" s="1"/>
  <c r="R63" i="55"/>
  <c r="S62" i="55" s="1"/>
  <c r="U62" i="55"/>
  <c r="F59" i="55"/>
  <c r="G59" i="55" s="1"/>
  <c r="I59" i="55"/>
  <c r="H48" i="55" s="1"/>
  <c r="J33" i="55" s="1"/>
  <c r="R66" i="55"/>
  <c r="Q180" i="55" s="1"/>
  <c r="S169" i="55" s="1"/>
  <c r="I66" i="55"/>
  <c r="O66" i="55"/>
  <c r="AP65" i="55"/>
  <c r="D65" i="55" s="1"/>
  <c r="Q178" i="55"/>
  <c r="S163" i="55" s="1"/>
  <c r="U61" i="55"/>
  <c r="R36" i="55"/>
  <c r="I36" i="55"/>
  <c r="L36" i="55"/>
  <c r="M36" i="55" s="1"/>
  <c r="O36" i="55"/>
  <c r="F36" i="55"/>
  <c r="I13" i="55"/>
  <c r="H102" i="55" s="1"/>
  <c r="J91" i="55" s="1"/>
  <c r="O13" i="55"/>
  <c r="N50" i="55" s="1"/>
  <c r="P39" i="55" s="1"/>
  <c r="L13" i="55"/>
  <c r="K50" i="55" s="1"/>
  <c r="M39" i="55" s="1"/>
  <c r="R13" i="55"/>
  <c r="Q206" i="55" s="1"/>
  <c r="S195" i="55" s="1"/>
  <c r="O50" i="96"/>
  <c r="O59" i="96"/>
  <c r="O69" i="96"/>
  <c r="O46" i="96"/>
  <c r="O86" i="96"/>
  <c r="O49" i="96"/>
  <c r="O45" i="96"/>
  <c r="O96" i="96"/>
  <c r="O98" i="96"/>
  <c r="O90" i="96"/>
  <c r="O73" i="96"/>
  <c r="O87" i="96"/>
  <c r="O32" i="96"/>
  <c r="O75" i="96"/>
  <c r="O92" i="96"/>
  <c r="O35" i="96"/>
  <c r="O70" i="96"/>
  <c r="O38" i="96"/>
  <c r="O82" i="96"/>
  <c r="O79" i="96"/>
  <c r="O97" i="96"/>
  <c r="O44" i="96"/>
  <c r="O37" i="96"/>
  <c r="O99" i="96"/>
  <c r="O62" i="96"/>
  <c r="O101" i="96"/>
  <c r="O72" i="96"/>
  <c r="O77" i="96"/>
  <c r="O94" i="96"/>
  <c r="O51" i="96"/>
  <c r="O54" i="96"/>
  <c r="O40" i="96"/>
  <c r="O104" i="96"/>
  <c r="O91" i="96"/>
  <c r="O103" i="96"/>
  <c r="F10" i="55"/>
  <c r="L10" i="55"/>
  <c r="R10" i="55"/>
  <c r="Q205" i="55" s="1"/>
  <c r="S192" i="55" s="1"/>
  <c r="O48" i="96"/>
  <c r="O71" i="96"/>
  <c r="O84" i="96"/>
  <c r="O93" i="96"/>
  <c r="O78" i="96"/>
  <c r="O102" i="96"/>
  <c r="O81" i="96"/>
  <c r="O80" i="96"/>
  <c r="O53" i="96"/>
  <c r="O57" i="96"/>
  <c r="O64" i="96"/>
  <c r="O67" i="96"/>
  <c r="O47" i="96"/>
  <c r="O52" i="96"/>
  <c r="O33" i="96"/>
  <c r="O83" i="96"/>
  <c r="O41" i="96"/>
  <c r="O68" i="96"/>
  <c r="O65" i="96"/>
  <c r="O85" i="96"/>
  <c r="O61" i="96"/>
  <c r="O95" i="96"/>
  <c r="O88" i="96"/>
  <c r="O100" i="96"/>
  <c r="I11" i="55"/>
  <c r="O11" i="55"/>
  <c r="AP7" i="55"/>
  <c r="D7" i="55" s="1"/>
  <c r="O55" i="96"/>
  <c r="O60" i="96"/>
  <c r="O76" i="96"/>
  <c r="O63" i="96"/>
  <c r="O89" i="96"/>
  <c r="O43" i="96"/>
  <c r="O56" i="96"/>
  <c r="O36" i="96"/>
  <c r="O39" i="96"/>
  <c r="O51" i="95"/>
  <c r="P117" i="53"/>
  <c r="BM116" i="53"/>
  <c r="BM62" i="53"/>
  <c r="BM11" i="53"/>
  <c r="BM60" i="53"/>
  <c r="BM67" i="53"/>
  <c r="BM143" i="53"/>
  <c r="BM12" i="53"/>
  <c r="BM197" i="53"/>
  <c r="BM87" i="53"/>
  <c r="BM112" i="53"/>
  <c r="BM61" i="53"/>
  <c r="BM15" i="53"/>
  <c r="BM92" i="53"/>
  <c r="BM38" i="53"/>
  <c r="BM189" i="53"/>
  <c r="BM171" i="53"/>
  <c r="BM169" i="53"/>
  <c r="BM40" i="53"/>
  <c r="BM10" i="53"/>
  <c r="BM8" i="53"/>
  <c r="BM89" i="53"/>
  <c r="BM118" i="53"/>
  <c r="BM63" i="53"/>
  <c r="BM142" i="53"/>
  <c r="BM170" i="53"/>
  <c r="U115" i="53"/>
  <c r="BM91" i="53"/>
  <c r="BM41" i="53"/>
  <c r="BM145" i="53"/>
  <c r="BM90" i="53"/>
  <c r="BM36" i="53"/>
  <c r="BM37" i="53"/>
  <c r="BM86" i="53"/>
  <c r="BM66" i="53"/>
  <c r="BM193" i="53"/>
  <c r="BM191" i="53"/>
  <c r="BM196" i="53"/>
  <c r="BM117" i="53"/>
  <c r="BM140" i="53"/>
  <c r="BM14" i="53"/>
  <c r="BM59" i="53"/>
  <c r="BM144" i="53"/>
  <c r="BM141" i="53"/>
  <c r="BM192" i="53"/>
  <c r="BM194" i="53"/>
  <c r="BM165" i="53"/>
  <c r="BM65" i="53"/>
  <c r="BM115" i="53"/>
  <c r="BM88" i="53"/>
  <c r="BM35" i="53"/>
  <c r="BM166" i="53"/>
  <c r="BM164" i="53"/>
  <c r="BM163" i="53"/>
  <c r="BM64" i="53"/>
  <c r="BM9" i="53"/>
  <c r="BM114" i="53"/>
  <c r="BM139" i="53"/>
  <c r="BM119" i="53"/>
  <c r="BM137" i="53"/>
  <c r="BM168" i="53"/>
  <c r="BM190" i="53"/>
  <c r="BM138" i="53"/>
  <c r="BM33" i="53"/>
  <c r="BM93" i="53"/>
  <c r="BM7" i="53"/>
  <c r="BM39" i="53"/>
  <c r="BM34" i="53"/>
  <c r="BM113" i="53"/>
  <c r="BM167" i="53"/>
  <c r="BM195" i="53"/>
  <c r="J114" i="53"/>
  <c r="O46" i="95"/>
  <c r="O44" i="95"/>
  <c r="O60" i="95"/>
  <c r="O52" i="95"/>
  <c r="O103" i="95"/>
  <c r="O95" i="95"/>
  <c r="O38" i="95"/>
  <c r="O58" i="95"/>
  <c r="O97" i="95"/>
  <c r="O93" i="95"/>
  <c r="O36" i="95"/>
  <c r="BM111" i="53"/>
  <c r="O88" i="53"/>
  <c r="O94" i="53" s="1"/>
  <c r="F88" i="53"/>
  <c r="I88" i="53"/>
  <c r="J88" i="53" s="1"/>
  <c r="L88" i="53"/>
  <c r="K49" i="53" s="1"/>
  <c r="R88" i="53"/>
  <c r="Q205" i="53" s="1"/>
  <c r="S91" i="53"/>
  <c r="BI195" i="53"/>
  <c r="O67" i="95"/>
  <c r="O69" i="95"/>
  <c r="O85" i="95"/>
  <c r="O99" i="95"/>
  <c r="O82" i="95"/>
  <c r="U62" i="53"/>
  <c r="G62" i="53"/>
  <c r="O57" i="95"/>
  <c r="P65" i="53"/>
  <c r="O78" i="95"/>
  <c r="U66" i="53"/>
  <c r="O35" i="95"/>
  <c r="L68" i="53"/>
  <c r="U60" i="53"/>
  <c r="O47" i="95"/>
  <c r="P62" i="53"/>
  <c r="BI194" i="53"/>
  <c r="O88" i="95"/>
  <c r="BI171" i="53"/>
  <c r="O90" i="95"/>
  <c r="O104" i="95"/>
  <c r="O54" i="95"/>
  <c r="L37" i="53"/>
  <c r="K101" i="53" s="1"/>
  <c r="O37" i="53"/>
  <c r="N153" i="53" s="1"/>
  <c r="R37" i="53"/>
  <c r="S36" i="53" s="1"/>
  <c r="I39" i="53"/>
  <c r="L39" i="53"/>
  <c r="F39" i="53"/>
  <c r="Q178" i="53"/>
  <c r="S163" i="53" s="1"/>
  <c r="U35" i="53"/>
  <c r="S33" i="53"/>
  <c r="R40" i="53"/>
  <c r="Q180" i="53" s="1"/>
  <c r="S169" i="53" s="1"/>
  <c r="O40" i="53"/>
  <c r="BI137" i="53"/>
  <c r="BI145" i="53"/>
  <c r="BI192" i="53"/>
  <c r="BI118" i="53"/>
  <c r="BI140" i="53"/>
  <c r="BI139" i="53"/>
  <c r="BI115" i="53"/>
  <c r="BI13" i="53"/>
  <c r="BI112" i="53"/>
  <c r="O59" i="95"/>
  <c r="O86" i="95"/>
  <c r="O33" i="95"/>
  <c r="BI191" i="53"/>
  <c r="BI169" i="53"/>
  <c r="BI119" i="53"/>
  <c r="BI88" i="53"/>
  <c r="BI91" i="53"/>
  <c r="BI85" i="53"/>
  <c r="BI87" i="53"/>
  <c r="BI92" i="53"/>
  <c r="O56" i="95"/>
  <c r="BI164" i="53"/>
  <c r="BI165" i="53"/>
  <c r="BI193" i="53"/>
  <c r="BI90" i="53"/>
  <c r="BI66" i="53"/>
  <c r="BI142" i="53"/>
  <c r="BI116" i="53"/>
  <c r="BI14" i="53"/>
  <c r="BI60" i="53"/>
  <c r="BI143" i="53"/>
  <c r="BI61" i="53"/>
  <c r="BI37" i="53"/>
  <c r="BI36" i="53"/>
  <c r="BI15" i="53"/>
  <c r="BI163" i="53"/>
  <c r="O73" i="95"/>
  <c r="BI167" i="53"/>
  <c r="BI166" i="53"/>
  <c r="BI196" i="53"/>
  <c r="O101" i="95"/>
  <c r="O61" i="95"/>
  <c r="BI168" i="53"/>
  <c r="BI170" i="53"/>
  <c r="BI190" i="53"/>
  <c r="BI197" i="53"/>
  <c r="BI11" i="53"/>
  <c r="BI33" i="53"/>
  <c r="BI9" i="53"/>
  <c r="BI138" i="53"/>
  <c r="BI39" i="53"/>
  <c r="BI63" i="53"/>
  <c r="BI189" i="53"/>
  <c r="BM85" i="53"/>
  <c r="N205" i="53"/>
  <c r="U12" i="53"/>
  <c r="E178" i="52"/>
  <c r="F198" i="52"/>
  <c r="U189" i="52"/>
  <c r="O65" i="88"/>
  <c r="O43" i="88"/>
  <c r="O39" i="88"/>
  <c r="O52" i="88"/>
  <c r="AP142" i="52"/>
  <c r="D142" i="52" s="1"/>
  <c r="O34" i="88"/>
  <c r="O115" i="52"/>
  <c r="N23" i="52" s="1"/>
  <c r="L115" i="52"/>
  <c r="K101" i="52" s="1"/>
  <c r="O118" i="52"/>
  <c r="R118" i="52"/>
  <c r="Q24" i="52" s="1"/>
  <c r="Q25" i="52" s="1"/>
  <c r="I111" i="52"/>
  <c r="F111" i="52"/>
  <c r="AP116" i="52"/>
  <c r="D116" i="52" s="1"/>
  <c r="R116" i="52" s="1"/>
  <c r="AP112" i="52"/>
  <c r="D112" i="52" s="1"/>
  <c r="AP117" i="52"/>
  <c r="D117" i="52" s="1"/>
  <c r="O91" i="88"/>
  <c r="BM118" i="52"/>
  <c r="BM59" i="52"/>
  <c r="BM119" i="52"/>
  <c r="BM85" i="52"/>
  <c r="BM67" i="52"/>
  <c r="BM87" i="52"/>
  <c r="BM113" i="52"/>
  <c r="BM167" i="52"/>
  <c r="O101" i="88"/>
  <c r="BM38" i="52"/>
  <c r="BM15" i="52"/>
  <c r="BM141" i="52"/>
  <c r="BM115" i="52"/>
  <c r="BM91" i="52"/>
  <c r="BM163" i="52"/>
  <c r="BM190" i="52"/>
  <c r="BM65" i="52"/>
  <c r="BM145" i="52"/>
  <c r="BM33" i="52"/>
  <c r="BM10" i="52"/>
  <c r="BM189" i="52"/>
  <c r="BM193" i="52"/>
  <c r="BM143" i="52"/>
  <c r="BM14" i="52"/>
  <c r="BM36" i="52"/>
  <c r="BM139" i="52"/>
  <c r="BM11" i="52"/>
  <c r="BM92" i="52"/>
  <c r="BM12" i="52"/>
  <c r="BM170" i="52"/>
  <c r="BM168" i="52"/>
  <c r="BM192" i="52"/>
  <c r="BM112" i="52"/>
  <c r="BM41" i="52"/>
  <c r="BM9" i="52"/>
  <c r="BM64" i="52"/>
  <c r="BM142" i="52"/>
  <c r="BM137" i="52"/>
  <c r="BM35" i="52"/>
  <c r="BM194" i="52"/>
  <c r="BM66" i="52"/>
  <c r="BM117" i="52"/>
  <c r="BM34" i="52"/>
  <c r="BM111" i="52"/>
  <c r="BM86" i="52"/>
  <c r="BM114" i="52"/>
  <c r="BM93" i="52"/>
  <c r="BM7" i="52"/>
  <c r="BM164" i="52"/>
  <c r="BM169" i="52"/>
  <c r="BM191" i="52"/>
  <c r="BM165" i="52"/>
  <c r="BM89" i="52"/>
  <c r="BM144" i="52"/>
  <c r="BM40" i="52"/>
  <c r="BM90" i="52"/>
  <c r="BM63" i="52"/>
  <c r="BM8" i="52"/>
  <c r="BM39" i="52"/>
  <c r="BM196" i="52"/>
  <c r="BM197" i="52"/>
  <c r="BM171" i="52"/>
  <c r="BM138" i="52"/>
  <c r="BM37" i="52"/>
  <c r="BM116" i="52"/>
  <c r="BM60" i="52"/>
  <c r="BM62" i="52"/>
  <c r="BM140" i="52"/>
  <c r="BM195" i="52"/>
  <c r="BM166" i="52"/>
  <c r="BM61" i="52"/>
  <c r="F88" i="52"/>
  <c r="I88" i="52"/>
  <c r="R88" i="52"/>
  <c r="L88" i="52"/>
  <c r="O88" i="52"/>
  <c r="F91" i="52"/>
  <c r="I91" i="52"/>
  <c r="L91" i="52"/>
  <c r="R91" i="52"/>
  <c r="O91" i="52"/>
  <c r="N206" i="52" s="1"/>
  <c r="P195" i="52" s="1"/>
  <c r="O93" i="88"/>
  <c r="O49" i="88"/>
  <c r="O65" i="52"/>
  <c r="O56" i="88"/>
  <c r="R65" i="52"/>
  <c r="O66" i="88"/>
  <c r="O63" i="52"/>
  <c r="I63" i="52"/>
  <c r="AP60" i="52"/>
  <c r="D60" i="52" s="1"/>
  <c r="AP66" i="52"/>
  <c r="D66" i="52" s="1"/>
  <c r="AP62" i="52"/>
  <c r="D62" i="52" s="1"/>
  <c r="I62" i="52" s="1"/>
  <c r="AP59" i="52"/>
  <c r="D59" i="52" s="1"/>
  <c r="O53" i="88"/>
  <c r="U35" i="52"/>
  <c r="Q126" i="52"/>
  <c r="O51" i="88"/>
  <c r="O47" i="88"/>
  <c r="O46" i="88"/>
  <c r="O76" i="88"/>
  <c r="O100" i="88"/>
  <c r="O92" i="88"/>
  <c r="O94" i="88"/>
  <c r="O87" i="88"/>
  <c r="AP37" i="52"/>
  <c r="D37" i="52" s="1"/>
  <c r="I37" i="52" s="1"/>
  <c r="O95" i="88"/>
  <c r="AP34" i="52"/>
  <c r="D34" i="52" s="1"/>
  <c r="AP36" i="52"/>
  <c r="D36" i="52" s="1"/>
  <c r="AP33" i="52"/>
  <c r="D33" i="52" s="1"/>
  <c r="D40" i="52"/>
  <c r="O54" i="88"/>
  <c r="O40" i="88"/>
  <c r="O50" i="88"/>
  <c r="O103" i="88"/>
  <c r="O102" i="88"/>
  <c r="O58" i="88"/>
  <c r="O104" i="88"/>
  <c r="O61" i="88"/>
  <c r="BM88" i="52"/>
  <c r="O96" i="88"/>
  <c r="O79" i="88"/>
  <c r="O97" i="88"/>
  <c r="S7" i="52"/>
  <c r="O78" i="88"/>
  <c r="I10" i="52"/>
  <c r="H75" i="52" s="1"/>
  <c r="O10" i="52"/>
  <c r="F10" i="52"/>
  <c r="R13" i="52"/>
  <c r="I13" i="52"/>
  <c r="H76" i="52" s="1"/>
  <c r="L13" i="52"/>
  <c r="M13" i="52" s="1"/>
  <c r="O13" i="52"/>
  <c r="F13" i="52"/>
  <c r="G13" i="52" s="1"/>
  <c r="I7" i="52"/>
  <c r="L7" i="52"/>
  <c r="O7" i="52"/>
  <c r="O62" i="88"/>
  <c r="P199" i="59"/>
  <c r="G199" i="59"/>
  <c r="S199" i="57"/>
  <c r="G173" i="59"/>
  <c r="S173" i="59"/>
  <c r="K23" i="52"/>
  <c r="S163" i="52"/>
  <c r="K76" i="52"/>
  <c r="Q152" i="53"/>
  <c r="S137" i="53" s="1"/>
  <c r="U111" i="53"/>
  <c r="E204" i="53"/>
  <c r="Q153" i="53"/>
  <c r="S140" i="53" s="1"/>
  <c r="J7" i="53"/>
  <c r="M117" i="53"/>
  <c r="K180" i="53"/>
  <c r="M169" i="53" s="1"/>
  <c r="H75" i="53"/>
  <c r="J62" i="53" s="1"/>
  <c r="P59" i="53"/>
  <c r="Q76" i="55"/>
  <c r="Q77" i="55" s="1"/>
  <c r="Q24" i="55"/>
  <c r="K74" i="57"/>
  <c r="M59" i="57" s="1"/>
  <c r="V163" i="59"/>
  <c r="J173" i="59"/>
  <c r="V172" i="59"/>
  <c r="J199" i="59"/>
  <c r="V198" i="59"/>
  <c r="V189" i="59"/>
  <c r="B7" i="120"/>
  <c r="C7" i="120" s="1"/>
  <c r="P60" i="98"/>
  <c r="O30" i="88"/>
  <c r="P13" i="98"/>
  <c r="BM36" i="58"/>
  <c r="P12" i="98"/>
  <c r="BM91" i="58"/>
  <c r="P2" i="98"/>
  <c r="P9" i="98"/>
  <c r="P30" i="98"/>
  <c r="P94" i="98"/>
  <c r="BM116" i="58"/>
  <c r="BM89" i="58"/>
  <c r="BM111" i="58"/>
  <c r="P53" i="98"/>
  <c r="P41" i="98"/>
  <c r="P44" i="98"/>
  <c r="P23" i="98"/>
  <c r="P65" i="98"/>
  <c r="P45" i="98"/>
  <c r="BM139" i="58"/>
  <c r="BM115" i="58"/>
  <c r="P95" i="98"/>
  <c r="P97" i="98"/>
  <c r="P99" i="98"/>
  <c r="P77" i="98"/>
  <c r="P84" i="98"/>
  <c r="P47" i="98"/>
  <c r="P96" i="98"/>
  <c r="P68" i="98"/>
  <c r="P104" i="99"/>
  <c r="P43" i="98"/>
  <c r="BM40" i="58"/>
  <c r="P21" i="98"/>
  <c r="P55" i="98"/>
  <c r="BM141" i="58"/>
  <c r="P42" i="98"/>
  <c r="P74" i="98"/>
  <c r="P54" i="98"/>
  <c r="P83" i="98"/>
  <c r="BM13" i="58"/>
  <c r="P63" i="98"/>
  <c r="P82" i="98"/>
  <c r="P69" i="98"/>
  <c r="P86" i="99"/>
  <c r="BM85" i="58"/>
  <c r="P19" i="98"/>
  <c r="P78" i="98"/>
  <c r="P92" i="98"/>
  <c r="P85" i="98"/>
  <c r="P6" i="98"/>
  <c r="P67" i="98"/>
  <c r="P70" i="98"/>
  <c r="P81" i="98"/>
  <c r="BM88" i="58"/>
  <c r="BM112" i="58"/>
  <c r="P48" i="98"/>
  <c r="P102" i="98"/>
  <c r="P7" i="98"/>
  <c r="P61" i="98"/>
  <c r="P8" i="98"/>
  <c r="P80" i="98"/>
  <c r="P104" i="98"/>
  <c r="P58" i="98"/>
  <c r="P32" i="98"/>
  <c r="P64" i="98"/>
  <c r="P52" i="98"/>
  <c r="P22" i="98"/>
  <c r="P76" i="98"/>
  <c r="P4" i="98"/>
  <c r="BM8" i="58"/>
  <c r="P66" i="98"/>
  <c r="P101" i="98"/>
  <c r="P26" i="98"/>
  <c r="P49" i="99"/>
  <c r="P15" i="98"/>
  <c r="P57" i="98"/>
  <c r="P73" i="98"/>
  <c r="P5" i="98"/>
  <c r="P87" i="98"/>
  <c r="P62" i="98"/>
  <c r="P46" i="98"/>
  <c r="P91" i="98"/>
  <c r="P36" i="98"/>
  <c r="P24" i="98"/>
  <c r="P93" i="98"/>
  <c r="BM38" i="58"/>
  <c r="P35" i="98"/>
  <c r="BM114" i="58"/>
  <c r="P34" i="98"/>
  <c r="P98" i="98"/>
  <c r="P39" i="98"/>
  <c r="P11" i="98"/>
  <c r="P31" i="98"/>
  <c r="P27" i="98"/>
  <c r="P79" i="98"/>
  <c r="P14" i="98"/>
  <c r="BM137" i="58"/>
  <c r="P71" i="98"/>
  <c r="BM15" i="58"/>
  <c r="P103" i="98"/>
  <c r="BM10" i="58"/>
  <c r="BM14" i="58"/>
  <c r="P18" i="98"/>
  <c r="P51" i="98"/>
  <c r="BM12" i="58"/>
  <c r="P84" i="99"/>
  <c r="BM144" i="58"/>
  <c r="P3" i="98"/>
  <c r="BM35" i="58"/>
  <c r="P16" i="98"/>
  <c r="BM119" i="58"/>
  <c r="P33" i="98"/>
  <c r="P25" i="98"/>
  <c r="BM86" i="58"/>
  <c r="P56" i="98"/>
  <c r="BM138" i="58"/>
  <c r="P20" i="98"/>
  <c r="BM117" i="58"/>
  <c r="BM90" i="58"/>
  <c r="P72" i="98"/>
  <c r="P49" i="98"/>
  <c r="P28" i="98"/>
  <c r="BM92" i="58"/>
  <c r="P50" i="98"/>
  <c r="P59" i="98"/>
  <c r="P10" i="98"/>
  <c r="BM60" i="58"/>
  <c r="P38" i="98"/>
  <c r="BM87" i="58"/>
  <c r="P40" i="98"/>
  <c r="P17" i="98"/>
  <c r="BM59" i="58"/>
  <c r="P29" i="98"/>
  <c r="BM61" i="58"/>
  <c r="P89" i="98"/>
  <c r="BM37" i="58"/>
  <c r="P86" i="98"/>
  <c r="P100" i="98"/>
  <c r="P90" i="98"/>
  <c r="P88" i="98"/>
  <c r="BE95" i="117"/>
  <c r="BE147" i="117"/>
  <c r="P75" i="98"/>
  <c r="BE121" i="117"/>
  <c r="BE69" i="117"/>
  <c r="BE43" i="117"/>
  <c r="BE199" i="117"/>
  <c r="BE173" i="117"/>
  <c r="BE17" i="117"/>
  <c r="M17" i="59"/>
  <c r="P52" i="99"/>
  <c r="BM195" i="59"/>
  <c r="BM189" i="59"/>
  <c r="BM190" i="59"/>
  <c r="BM194" i="59"/>
  <c r="BM192" i="59"/>
  <c r="BM196" i="59"/>
  <c r="BM197" i="59"/>
  <c r="BM191" i="59"/>
  <c r="BM193" i="59"/>
  <c r="BM111" i="59"/>
  <c r="BM164" i="59"/>
  <c r="BM165" i="59"/>
  <c r="BM169" i="59"/>
  <c r="BM166" i="59"/>
  <c r="BM167" i="59"/>
  <c r="BM171" i="59"/>
  <c r="BM170" i="59"/>
  <c r="BM163" i="59"/>
  <c r="BM168" i="59"/>
  <c r="BM34" i="59"/>
  <c r="P78" i="99"/>
  <c r="P103" i="99"/>
  <c r="P35" i="99"/>
  <c r="BM113" i="59"/>
  <c r="BM41" i="59"/>
  <c r="BM35" i="59"/>
  <c r="BM89" i="59"/>
  <c r="BM59" i="59"/>
  <c r="BM112" i="59"/>
  <c r="BM90" i="59"/>
  <c r="P55" i="99"/>
  <c r="P99" i="99"/>
  <c r="P75" i="99"/>
  <c r="P68" i="99"/>
  <c r="P54" i="99"/>
  <c r="P96" i="99"/>
  <c r="P5" i="99"/>
  <c r="P16" i="99"/>
  <c r="P18" i="99"/>
  <c r="P20" i="99"/>
  <c r="P25" i="99"/>
  <c r="P14" i="99"/>
  <c r="P8" i="99"/>
  <c r="P31" i="99"/>
  <c r="P23" i="99"/>
  <c r="P29" i="99"/>
  <c r="P27" i="99"/>
  <c r="P12" i="99"/>
  <c r="P22" i="99"/>
  <c r="P19" i="99"/>
  <c r="P3" i="99"/>
  <c r="P11" i="99"/>
  <c r="P32" i="99"/>
  <c r="P15" i="99"/>
  <c r="P24" i="99"/>
  <c r="P10" i="99"/>
  <c r="P95" i="99"/>
  <c r="P7" i="99"/>
  <c r="P21" i="99"/>
  <c r="P28" i="99"/>
  <c r="P9" i="99"/>
  <c r="P79" i="99"/>
  <c r="P26" i="99"/>
  <c r="P13" i="99"/>
  <c r="P6" i="99"/>
  <c r="P17" i="99"/>
  <c r="P2" i="99"/>
  <c r="P30" i="99"/>
  <c r="P81" i="99"/>
  <c r="P4" i="99"/>
  <c r="P39" i="99"/>
  <c r="P87" i="99"/>
  <c r="BM67" i="59"/>
  <c r="BM119" i="59"/>
  <c r="BM118" i="59"/>
  <c r="BM142" i="59"/>
  <c r="BM9" i="59"/>
  <c r="BM139" i="59"/>
  <c r="P67" i="99"/>
  <c r="P48" i="99"/>
  <c r="P102" i="99"/>
  <c r="P82" i="99"/>
  <c r="P41" i="99"/>
  <c r="P77" i="99"/>
  <c r="P69" i="99"/>
  <c r="P33" i="99"/>
  <c r="BM36" i="59"/>
  <c r="BM85" i="59"/>
  <c r="BM137" i="59"/>
  <c r="BM14" i="59"/>
  <c r="BM86" i="59"/>
  <c r="P85" i="99"/>
  <c r="P98" i="99"/>
  <c r="P73" i="99"/>
  <c r="P40" i="99"/>
  <c r="P83" i="99"/>
  <c r="P37" i="99"/>
  <c r="P91" i="99"/>
  <c r="BM11" i="59"/>
  <c r="BM12" i="59"/>
  <c r="BM114" i="59"/>
  <c r="BM115" i="59"/>
  <c r="BM13" i="59"/>
  <c r="BM7" i="59"/>
  <c r="BM64" i="59"/>
  <c r="BM143" i="59"/>
  <c r="P63" i="99"/>
  <c r="P36" i="99"/>
  <c r="P76" i="99"/>
  <c r="P34" i="99"/>
  <c r="P59" i="99"/>
  <c r="P88" i="99"/>
  <c r="P94" i="99"/>
  <c r="P66" i="99"/>
  <c r="P64" i="99"/>
  <c r="BM66" i="59"/>
  <c r="BM15" i="59"/>
  <c r="BM63" i="59"/>
  <c r="BM37" i="59"/>
  <c r="BM91" i="59"/>
  <c r="BM92" i="59"/>
  <c r="BM93" i="59"/>
  <c r="P90" i="99"/>
  <c r="P42" i="99"/>
  <c r="P53" i="99"/>
  <c r="P38" i="99"/>
  <c r="P92" i="99"/>
  <c r="P71" i="99"/>
  <c r="P58" i="99"/>
  <c r="P43" i="99"/>
  <c r="BM62" i="59"/>
  <c r="P89" i="99"/>
  <c r="BM61" i="59"/>
  <c r="BM65" i="59"/>
  <c r="BM138" i="59"/>
  <c r="BM144" i="59"/>
  <c r="BM40" i="59"/>
  <c r="BM10" i="59"/>
  <c r="BM39" i="59"/>
  <c r="P44" i="99"/>
  <c r="P97" i="99"/>
  <c r="P60" i="99"/>
  <c r="P74" i="99"/>
  <c r="P47" i="99"/>
  <c r="BM117" i="59"/>
  <c r="BM140" i="59"/>
  <c r="BM38" i="59"/>
  <c r="BM88" i="59"/>
  <c r="BM33" i="59"/>
  <c r="BM145" i="59"/>
  <c r="P57" i="99"/>
  <c r="P61" i="99"/>
  <c r="P101" i="99"/>
  <c r="P65" i="99"/>
  <c r="P72" i="99"/>
  <c r="P93" i="99"/>
  <c r="P70" i="99"/>
  <c r="P45" i="99"/>
  <c r="P50" i="99"/>
  <c r="BM116" i="59"/>
  <c r="BM87" i="59"/>
  <c r="BM8" i="59"/>
  <c r="BM60" i="59"/>
  <c r="BM141" i="59"/>
  <c r="P62" i="99"/>
  <c r="P80" i="99"/>
  <c r="P51" i="99"/>
  <c r="P100" i="99"/>
  <c r="P46" i="99"/>
  <c r="P56" i="99"/>
  <c r="BM64" i="58"/>
  <c r="BM39" i="58"/>
  <c r="BM140" i="58"/>
  <c r="BM62" i="58"/>
  <c r="BI196" i="58"/>
  <c r="BI190" i="58"/>
  <c r="BI191" i="58"/>
  <c r="BI195" i="58"/>
  <c r="BI197" i="58"/>
  <c r="BI194" i="58"/>
  <c r="BI192" i="58"/>
  <c r="BI189" i="58"/>
  <c r="BI193" i="58"/>
  <c r="P37" i="98"/>
  <c r="BM113" i="58"/>
  <c r="BM9" i="58"/>
  <c r="BM67" i="58"/>
  <c r="BM93" i="58"/>
  <c r="BM63" i="58"/>
  <c r="BM7" i="58"/>
  <c r="BM143" i="58"/>
  <c r="BM11" i="58"/>
  <c r="BM34" i="58"/>
  <c r="BM41" i="58"/>
  <c r="BM190" i="58"/>
  <c r="BM195" i="58"/>
  <c r="BM191" i="58"/>
  <c r="BM192" i="58"/>
  <c r="BM194" i="58"/>
  <c r="BM196" i="58"/>
  <c r="BM189" i="58"/>
  <c r="BM193" i="58"/>
  <c r="BM197" i="58"/>
  <c r="BI15" i="58"/>
  <c r="BM33" i="58"/>
  <c r="BM118" i="58"/>
  <c r="BM145" i="58"/>
  <c r="BM66" i="58"/>
  <c r="BI166" i="58"/>
  <c r="BI165" i="58"/>
  <c r="BI167" i="58"/>
  <c r="BI164" i="58"/>
  <c r="BI169" i="58"/>
  <c r="BI170" i="58"/>
  <c r="BI163" i="58"/>
  <c r="BI168" i="58"/>
  <c r="BI171" i="58"/>
  <c r="BM142" i="58"/>
  <c r="BM169" i="58"/>
  <c r="BM164" i="58"/>
  <c r="BM171" i="58"/>
  <c r="BM163" i="58"/>
  <c r="BM166" i="58"/>
  <c r="BM168" i="58"/>
  <c r="BM170" i="58"/>
  <c r="BM165" i="58"/>
  <c r="BM167" i="58"/>
  <c r="BI10" i="58"/>
  <c r="BI137" i="58"/>
  <c r="BI92" i="58"/>
  <c r="BI33" i="58"/>
  <c r="BI60" i="58"/>
  <c r="BI118" i="58"/>
  <c r="BI64" i="58"/>
  <c r="BI12" i="58"/>
  <c r="BI13" i="58"/>
  <c r="BI119" i="58"/>
  <c r="BI142" i="58"/>
  <c r="BM65" i="58"/>
  <c r="BI11" i="58"/>
  <c r="BI7" i="58"/>
  <c r="BI138" i="58"/>
  <c r="BI63" i="58"/>
  <c r="BI91" i="58"/>
  <c r="BI140" i="58"/>
  <c r="BI87" i="58"/>
  <c r="BI62" i="58"/>
  <c r="BI145" i="58"/>
  <c r="BI14" i="58"/>
  <c r="BI144" i="58"/>
  <c r="BI115" i="58"/>
  <c r="BI112" i="58"/>
  <c r="BI65" i="58"/>
  <c r="BI89" i="58"/>
  <c r="BI116" i="58"/>
  <c r="BI8" i="58"/>
  <c r="BI141" i="58"/>
  <c r="BI86" i="58"/>
  <c r="BI35" i="58"/>
  <c r="BI117" i="58"/>
  <c r="BI90" i="58"/>
  <c r="BI67" i="58"/>
  <c r="BI113" i="58"/>
  <c r="BI93" i="58"/>
  <c r="BI38" i="58"/>
  <c r="BI143" i="58"/>
  <c r="BI9" i="58"/>
  <c r="BI36" i="58"/>
  <c r="BI139" i="58"/>
  <c r="BI34" i="58"/>
  <c r="BI39" i="58"/>
  <c r="BI41" i="58"/>
  <c r="BI85" i="58"/>
  <c r="BI61" i="58"/>
  <c r="BI114" i="58"/>
  <c r="BI37" i="58"/>
  <c r="BI66" i="58"/>
  <c r="BI40" i="58"/>
  <c r="BI111" i="58"/>
  <c r="BI88" i="58"/>
  <c r="BI59" i="58"/>
  <c r="Q25" i="57"/>
  <c r="BM10" i="57"/>
  <c r="BI193" i="55"/>
  <c r="BI192" i="55"/>
  <c r="BI196" i="55"/>
  <c r="BI197" i="55"/>
  <c r="BI194" i="55"/>
  <c r="BI189" i="55"/>
  <c r="BI191" i="55"/>
  <c r="BI195" i="55"/>
  <c r="BI190" i="55"/>
  <c r="BI145" i="55"/>
  <c r="BI163" i="55"/>
  <c r="BI165" i="55"/>
  <c r="BI169" i="55"/>
  <c r="BI170" i="55"/>
  <c r="BI166" i="55"/>
  <c r="BI164" i="55"/>
  <c r="BI168" i="55"/>
  <c r="BI167" i="55"/>
  <c r="BI171" i="55"/>
  <c r="BI35" i="55"/>
  <c r="BI15" i="55"/>
  <c r="BI85" i="55"/>
  <c r="BI13" i="55"/>
  <c r="BI119" i="55"/>
  <c r="BI92" i="55"/>
  <c r="BI140" i="55"/>
  <c r="BI114" i="55"/>
  <c r="BI59" i="55"/>
  <c r="BI10" i="55"/>
  <c r="BI90" i="55"/>
  <c r="BI14" i="55"/>
  <c r="BI93" i="55"/>
  <c r="BI87" i="55"/>
  <c r="BI41" i="55"/>
  <c r="BI12" i="55"/>
  <c r="BI144" i="55"/>
  <c r="BI142" i="55"/>
  <c r="BI86" i="55"/>
  <c r="BI34" i="55"/>
  <c r="BI89" i="55"/>
  <c r="BI141" i="55"/>
  <c r="BI67" i="55"/>
  <c r="BI38" i="55"/>
  <c r="BI137" i="55"/>
  <c r="BI115" i="55"/>
  <c r="BI8" i="55"/>
  <c r="BI39" i="55"/>
  <c r="BI63" i="55"/>
  <c r="BI62" i="55"/>
  <c r="BI60" i="55"/>
  <c r="BI36" i="55"/>
  <c r="BI7" i="55"/>
  <c r="BI116" i="55"/>
  <c r="BI9" i="55"/>
  <c r="BI61" i="55"/>
  <c r="BI91" i="55"/>
  <c r="BI65" i="55"/>
  <c r="BI11" i="55"/>
  <c r="BI64" i="55"/>
  <c r="BI143" i="55"/>
  <c r="BI111" i="55"/>
  <c r="BI66" i="55"/>
  <c r="BI139" i="55"/>
  <c r="BI118" i="55"/>
  <c r="BI88" i="55"/>
  <c r="BI138" i="55"/>
  <c r="BI33" i="55"/>
  <c r="BI112" i="55"/>
  <c r="BI40" i="55"/>
  <c r="BI113" i="55"/>
  <c r="BI37" i="55"/>
  <c r="BI117" i="55"/>
  <c r="G117" i="53"/>
  <c r="G111" i="53"/>
  <c r="BM13" i="53"/>
  <c r="BI145" i="52"/>
  <c r="BI13" i="52"/>
  <c r="BI189" i="52"/>
  <c r="BI142" i="52"/>
  <c r="BI114" i="52"/>
  <c r="BI62" i="52"/>
  <c r="BI195" i="52"/>
  <c r="BI66" i="52"/>
  <c r="N98" i="100"/>
  <c r="N49" i="100"/>
  <c r="N60" i="100"/>
  <c r="N41" i="100"/>
  <c r="N88" i="100"/>
  <c r="N37" i="100"/>
  <c r="N63" i="100"/>
  <c r="N102" i="100"/>
  <c r="N92" i="100"/>
  <c r="BI171" i="52"/>
  <c r="BI194" i="52"/>
  <c r="BI193" i="52"/>
  <c r="BI196" i="52"/>
  <c r="BI192" i="52"/>
  <c r="BI197" i="52"/>
  <c r="BI191" i="52"/>
  <c r="BI190" i="52"/>
  <c r="BI164" i="52"/>
  <c r="BI167" i="52"/>
  <c r="BI168" i="52"/>
  <c r="BI169" i="52"/>
  <c r="BI163" i="52"/>
  <c r="BI165" i="52"/>
  <c r="BI166" i="52"/>
  <c r="BI170" i="52"/>
  <c r="BI119" i="52"/>
  <c r="BI9" i="52"/>
  <c r="BI144" i="52"/>
  <c r="BI86" i="52"/>
  <c r="BI112" i="52"/>
  <c r="BI89" i="52"/>
  <c r="BI139" i="52"/>
  <c r="BI8" i="52"/>
  <c r="BI39" i="52"/>
  <c r="BI138" i="52"/>
  <c r="BI137" i="52"/>
  <c r="BI118" i="52"/>
  <c r="BI67" i="52"/>
  <c r="BI143" i="52"/>
  <c r="BI117" i="52"/>
  <c r="BI87" i="52"/>
  <c r="BI59" i="52"/>
  <c r="BI34" i="52"/>
  <c r="BI15" i="52"/>
  <c r="BI115" i="52"/>
  <c r="BI111" i="52"/>
  <c r="BI60" i="52"/>
  <c r="BI93" i="52"/>
  <c r="BI14" i="52"/>
  <c r="BI90" i="52"/>
  <c r="BI63" i="52"/>
  <c r="BI92" i="52"/>
  <c r="BI40" i="52"/>
  <c r="BI113" i="52"/>
  <c r="BI61" i="52"/>
  <c r="BI36" i="52"/>
  <c r="BI116" i="52"/>
  <c r="BI11" i="52"/>
  <c r="BI85" i="52"/>
  <c r="BI65" i="52"/>
  <c r="BI10" i="52"/>
  <c r="BI41" i="52"/>
  <c r="BI141" i="52"/>
  <c r="BI35" i="52"/>
  <c r="BI37" i="52"/>
  <c r="BI12" i="52"/>
  <c r="BI33" i="52"/>
  <c r="BI91" i="52"/>
  <c r="BI38" i="52"/>
  <c r="BI140" i="52"/>
  <c r="BI88" i="52"/>
  <c r="BI7" i="52"/>
  <c r="BI64" i="52"/>
  <c r="N64" i="100"/>
  <c r="N36" i="100"/>
  <c r="N94" i="100"/>
  <c r="N85" i="100"/>
  <c r="N65" i="100"/>
  <c r="N30" i="100"/>
  <c r="N90" i="100"/>
  <c r="N40" i="100"/>
  <c r="BM13" i="52"/>
  <c r="N93" i="100"/>
  <c r="O93" i="100" s="1"/>
  <c r="N82" i="100"/>
  <c r="N83" i="100"/>
  <c r="N54" i="100"/>
  <c r="N76" i="100"/>
  <c r="N61" i="100"/>
  <c r="N104" i="100"/>
  <c r="N42" i="100"/>
  <c r="N72" i="100"/>
  <c r="N101" i="100"/>
  <c r="N34" i="100"/>
  <c r="N46" i="100"/>
  <c r="N89" i="100"/>
  <c r="N31" i="100"/>
  <c r="O31" i="100" s="1"/>
  <c r="N62" i="100"/>
  <c r="N45" i="100"/>
  <c r="N86" i="100"/>
  <c r="N52" i="100"/>
  <c r="N100" i="100"/>
  <c r="N28" i="100"/>
  <c r="N56" i="100"/>
  <c r="N84" i="100"/>
  <c r="N39" i="100"/>
  <c r="O39" i="100" s="1"/>
  <c r="N48" i="100"/>
  <c r="N80" i="100"/>
  <c r="O28" i="88"/>
  <c r="N53" i="100"/>
  <c r="N73" i="100"/>
  <c r="N59" i="100"/>
  <c r="N91" i="100"/>
  <c r="O91" i="100" s="1"/>
  <c r="N47" i="100"/>
  <c r="N87" i="100"/>
  <c r="N103" i="100"/>
  <c r="N55" i="100"/>
  <c r="N50" i="100"/>
  <c r="N99" i="100"/>
  <c r="N68" i="100"/>
  <c r="N95" i="100"/>
  <c r="N57" i="100"/>
  <c r="N69" i="100"/>
  <c r="N81" i="100"/>
  <c r="N29" i="100"/>
  <c r="N74" i="100"/>
  <c r="N75" i="100"/>
  <c r="N32" i="100"/>
  <c r="N33" i="100"/>
  <c r="N97" i="100"/>
  <c r="N96" i="100"/>
  <c r="N71" i="100"/>
  <c r="N38" i="100"/>
  <c r="N35" i="100"/>
  <c r="N44" i="100"/>
  <c r="N78" i="100"/>
  <c r="N79" i="100"/>
  <c r="N58" i="100"/>
  <c r="N51" i="100"/>
  <c r="N77" i="100"/>
  <c r="N66" i="100"/>
  <c r="N43" i="100"/>
  <c r="N67" i="100"/>
  <c r="N70" i="100"/>
  <c r="B128" i="116"/>
  <c r="J94" i="59"/>
  <c r="P120" i="59"/>
  <c r="G94" i="59"/>
  <c r="G95" i="59" s="1"/>
  <c r="V91" i="59"/>
  <c r="G16" i="59"/>
  <c r="V16" i="59" s="1"/>
  <c r="S42" i="58"/>
  <c r="S43" i="58" s="1"/>
  <c r="V117" i="59"/>
  <c r="G147" i="59"/>
  <c r="M121" i="59"/>
  <c r="G121" i="59"/>
  <c r="V114" i="59"/>
  <c r="V143" i="59"/>
  <c r="V39" i="59"/>
  <c r="V140" i="59"/>
  <c r="V36" i="59"/>
  <c r="S43" i="59"/>
  <c r="G43" i="59"/>
  <c r="P69" i="59"/>
  <c r="J17" i="59"/>
  <c r="M94" i="59"/>
  <c r="M95" i="59" s="1"/>
  <c r="V143" i="58"/>
  <c r="S17" i="59"/>
  <c r="M68" i="59"/>
  <c r="V68" i="59" s="1"/>
  <c r="V117" i="58"/>
  <c r="V7" i="59"/>
  <c r="J43" i="59"/>
  <c r="G120" i="58"/>
  <c r="P121" i="58"/>
  <c r="V59" i="59"/>
  <c r="S94" i="59"/>
  <c r="V13" i="59"/>
  <c r="V62" i="59"/>
  <c r="V85" i="59"/>
  <c r="P95" i="59"/>
  <c r="V65" i="59"/>
  <c r="P17" i="59"/>
  <c r="V137" i="59"/>
  <c r="V10" i="59"/>
  <c r="M146" i="59"/>
  <c r="J69" i="59"/>
  <c r="J147" i="59"/>
  <c r="S69" i="59"/>
  <c r="E51" i="57"/>
  <c r="P147" i="59"/>
  <c r="G10" i="57"/>
  <c r="S85" i="52"/>
  <c r="N24" i="53"/>
  <c r="P13" i="53" s="1"/>
  <c r="O68" i="53"/>
  <c r="P68" i="53" s="1"/>
  <c r="N152" i="53"/>
  <c r="P137" i="53" s="1"/>
  <c r="F120" i="53"/>
  <c r="U117" i="53"/>
  <c r="H48" i="53"/>
  <c r="J33" i="53" s="1"/>
  <c r="H100" i="53"/>
  <c r="J85" i="53" s="1"/>
  <c r="BL140" i="55"/>
  <c r="BL145" i="55"/>
  <c r="BL33" i="55"/>
  <c r="BL90" i="55"/>
  <c r="BL14" i="55"/>
  <c r="BL13" i="55"/>
  <c r="BL9" i="55"/>
  <c r="BL119" i="55"/>
  <c r="BL63" i="55"/>
  <c r="BL92" i="55"/>
  <c r="BL89" i="55"/>
  <c r="BL141" i="55"/>
  <c r="BL36" i="55"/>
  <c r="BL38" i="55"/>
  <c r="BL143" i="55"/>
  <c r="BL12" i="55"/>
  <c r="BL117" i="55"/>
  <c r="BL62" i="55"/>
  <c r="BL34" i="55"/>
  <c r="BL59" i="55"/>
  <c r="BL60" i="55"/>
  <c r="BL64" i="55"/>
  <c r="BL112" i="55"/>
  <c r="BL10" i="55"/>
  <c r="BL91" i="55"/>
  <c r="BL85" i="55"/>
  <c r="BL139" i="55"/>
  <c r="BL86" i="55"/>
  <c r="BL35" i="55"/>
  <c r="BL138" i="55"/>
  <c r="BL115" i="55"/>
  <c r="BL66" i="55"/>
  <c r="BL142" i="55"/>
  <c r="BL118" i="55"/>
  <c r="BL7" i="55"/>
  <c r="BL114" i="55"/>
  <c r="BL67" i="55"/>
  <c r="BL144" i="55"/>
  <c r="BL65" i="55"/>
  <c r="BL37" i="55"/>
  <c r="BL113" i="55"/>
  <c r="BL137" i="55"/>
  <c r="BL88" i="55"/>
  <c r="BL41" i="55"/>
  <c r="BL11" i="55"/>
  <c r="BL40" i="55"/>
  <c r="BL8" i="55"/>
  <c r="BL39" i="55"/>
  <c r="BL116" i="55"/>
  <c r="BL61" i="55"/>
  <c r="BL15" i="55"/>
  <c r="BL87" i="55"/>
  <c r="BL111" i="55"/>
  <c r="BL93" i="55"/>
  <c r="E152" i="53"/>
  <c r="G137" i="53" s="1"/>
  <c r="U59" i="53"/>
  <c r="E48" i="53"/>
  <c r="G33" i="53" s="1"/>
  <c r="P43" i="59"/>
  <c r="G69" i="59"/>
  <c r="H154" i="53"/>
  <c r="J143" i="53" s="1"/>
  <c r="I120" i="53"/>
  <c r="Q23" i="55"/>
  <c r="K76" i="53"/>
  <c r="M65" i="53" s="1"/>
  <c r="L120" i="53"/>
  <c r="M120" i="53" s="1"/>
  <c r="K101" i="55"/>
  <c r="Q50" i="53"/>
  <c r="R68" i="53"/>
  <c r="H49" i="55"/>
  <c r="Q102" i="52"/>
  <c r="K155" i="57"/>
  <c r="S147" i="59"/>
  <c r="E129" i="53"/>
  <c r="H155" i="52"/>
  <c r="M43" i="59"/>
  <c r="V42" i="59"/>
  <c r="Q129" i="57"/>
  <c r="K155" i="53"/>
  <c r="N51" i="57"/>
  <c r="Q75" i="58" l="1"/>
  <c r="S62" i="58" s="1"/>
  <c r="S114" i="58"/>
  <c r="R120" i="58"/>
  <c r="S120" i="58" s="1"/>
  <c r="Q74" i="58"/>
  <c r="S111" i="58"/>
  <c r="S121" i="58" s="1"/>
  <c r="R16" i="58"/>
  <c r="Q152" i="58"/>
  <c r="S7" i="58"/>
  <c r="Q25" i="58"/>
  <c r="S16" i="58" s="1"/>
  <c r="Q178" i="58"/>
  <c r="R94" i="58"/>
  <c r="S94" i="58" s="1"/>
  <c r="S85" i="58"/>
  <c r="S95" i="58" s="1"/>
  <c r="S192" i="58"/>
  <c r="V192" i="58" s="1"/>
  <c r="Q207" i="58"/>
  <c r="S198" i="58" s="1"/>
  <c r="S199" i="58" s="1"/>
  <c r="O68" i="58"/>
  <c r="U68" i="58" s="1"/>
  <c r="AS69" i="58" s="1"/>
  <c r="N48" i="58"/>
  <c r="N75" i="58"/>
  <c r="P62" i="58" s="1"/>
  <c r="V62" i="58" s="1"/>
  <c r="P36" i="58"/>
  <c r="P59" i="58"/>
  <c r="N77" i="58"/>
  <c r="P68" i="58" s="1"/>
  <c r="P189" i="58"/>
  <c r="N207" i="58"/>
  <c r="P198" i="58" s="1"/>
  <c r="N101" i="58"/>
  <c r="P88" i="58" s="1"/>
  <c r="P10" i="58"/>
  <c r="L7" i="58"/>
  <c r="O7" i="58"/>
  <c r="N25" i="58"/>
  <c r="P7" i="58"/>
  <c r="N179" i="58"/>
  <c r="P166" i="58" s="1"/>
  <c r="P140" i="58"/>
  <c r="O146" i="58"/>
  <c r="P146" i="58" s="1"/>
  <c r="N178" i="58"/>
  <c r="P137" i="58"/>
  <c r="P147" i="58" s="1"/>
  <c r="K206" i="58"/>
  <c r="M195" i="58" s="1"/>
  <c r="V195" i="58" s="1"/>
  <c r="M65" i="58"/>
  <c r="M189" i="58"/>
  <c r="K207" i="58"/>
  <c r="M198" i="58" s="1"/>
  <c r="L120" i="58"/>
  <c r="U120" i="58" s="1"/>
  <c r="AS121" i="58" s="1"/>
  <c r="K48" i="58"/>
  <c r="M111" i="58"/>
  <c r="U112" i="58"/>
  <c r="M114" i="58"/>
  <c r="K129" i="58"/>
  <c r="M120" i="58" s="1"/>
  <c r="M140" i="58"/>
  <c r="V140" i="58" s="1"/>
  <c r="K155" i="58"/>
  <c r="M146" i="58" s="1"/>
  <c r="M85" i="58"/>
  <c r="K103" i="58"/>
  <c r="M94" i="58" s="1"/>
  <c r="K178" i="58"/>
  <c r="L16" i="58"/>
  <c r="M16" i="58" s="1"/>
  <c r="M7" i="58"/>
  <c r="M17" i="58" s="1"/>
  <c r="G39" i="58"/>
  <c r="V39" i="58" s="1"/>
  <c r="E51" i="58"/>
  <c r="G42" i="58" s="1"/>
  <c r="J189" i="58"/>
  <c r="H207" i="58"/>
  <c r="J198" i="58" s="1"/>
  <c r="U94" i="58"/>
  <c r="AS95" i="58" s="1"/>
  <c r="J94" i="58"/>
  <c r="J95" i="58" s="1"/>
  <c r="H127" i="58"/>
  <c r="J114" i="58" s="1"/>
  <c r="V114" i="58" s="1"/>
  <c r="J10" i="58"/>
  <c r="V10" i="58" s="1"/>
  <c r="F7" i="58"/>
  <c r="I7" i="58"/>
  <c r="H179" i="58"/>
  <c r="J166" i="58" s="1"/>
  <c r="J36" i="58"/>
  <c r="I146" i="58"/>
  <c r="J146" i="58" s="1"/>
  <c r="H74" i="58"/>
  <c r="J137" i="58"/>
  <c r="J163" i="58"/>
  <c r="H181" i="58"/>
  <c r="J172" i="58" s="1"/>
  <c r="J173" i="58" s="1"/>
  <c r="G166" i="58"/>
  <c r="E181" i="58"/>
  <c r="G172" i="58" s="1"/>
  <c r="U146" i="58"/>
  <c r="AS147" i="58" s="1"/>
  <c r="G146" i="58"/>
  <c r="G147" i="58" s="1"/>
  <c r="E207" i="58"/>
  <c r="G198" i="58" s="1"/>
  <c r="V198" i="58" s="1"/>
  <c r="G189" i="58"/>
  <c r="G13" i="58"/>
  <c r="V13" i="58" s="1"/>
  <c r="E25" i="58"/>
  <c r="F16" i="58"/>
  <c r="U7" i="58"/>
  <c r="E74" i="58"/>
  <c r="G7" i="58"/>
  <c r="G88" i="58"/>
  <c r="E103" i="58"/>
  <c r="G94" i="58" s="1"/>
  <c r="U118" i="53"/>
  <c r="P163" i="53"/>
  <c r="E5" i="98"/>
  <c r="U39" i="52"/>
  <c r="U59" i="57"/>
  <c r="N102" i="53"/>
  <c r="P91" i="53" s="1"/>
  <c r="M137" i="57"/>
  <c r="J59" i="57"/>
  <c r="U7" i="53"/>
  <c r="G7" i="53"/>
  <c r="R146" i="53"/>
  <c r="U141" i="57"/>
  <c r="L146" i="57"/>
  <c r="M146" i="57" s="1"/>
  <c r="M140" i="57"/>
  <c r="J65" i="57"/>
  <c r="V166" i="57"/>
  <c r="M143" i="57"/>
  <c r="O146" i="57"/>
  <c r="N22" i="57"/>
  <c r="N25" i="57" s="1"/>
  <c r="P65" i="57"/>
  <c r="N127" i="57"/>
  <c r="P114" i="57" s="1"/>
  <c r="V114" i="57" s="1"/>
  <c r="O68" i="57"/>
  <c r="U62" i="57"/>
  <c r="M85" i="57"/>
  <c r="G85" i="57"/>
  <c r="F146" i="57"/>
  <c r="K181" i="57"/>
  <c r="M172" i="57" s="1"/>
  <c r="M163" i="57"/>
  <c r="Q100" i="57"/>
  <c r="S85" i="57" s="1"/>
  <c r="G140" i="57"/>
  <c r="U86" i="57"/>
  <c r="J137" i="57"/>
  <c r="H101" i="57"/>
  <c r="J88" i="57" s="1"/>
  <c r="V88" i="57" s="1"/>
  <c r="U143" i="57"/>
  <c r="E76" i="57"/>
  <c r="G65" i="57" s="1"/>
  <c r="U140" i="57"/>
  <c r="E75" i="57"/>
  <c r="U137" i="57"/>
  <c r="I146" i="57"/>
  <c r="H100" i="57"/>
  <c r="J85" i="57" s="1"/>
  <c r="G59" i="57"/>
  <c r="Q152" i="57"/>
  <c r="S137" i="57" s="1"/>
  <c r="F68" i="57"/>
  <c r="U61" i="57"/>
  <c r="U7" i="57"/>
  <c r="N20" i="70"/>
  <c r="C20" i="70" s="1"/>
  <c r="H20" i="70" s="1"/>
  <c r="N19" i="70"/>
  <c r="C19" i="70"/>
  <c r="H19" i="70" s="1"/>
  <c r="M65" i="57"/>
  <c r="M7" i="57"/>
  <c r="J7" i="57"/>
  <c r="N21" i="70"/>
  <c r="C21" i="70" s="1"/>
  <c r="H21" i="70" s="1"/>
  <c r="S111" i="57"/>
  <c r="M91" i="57"/>
  <c r="P140" i="53"/>
  <c r="B127" i="45"/>
  <c r="E119" i="45"/>
  <c r="E120" i="45" s="1"/>
  <c r="K119" i="45"/>
  <c r="K120" i="45" s="1"/>
  <c r="J104" i="45"/>
  <c r="G119" i="45"/>
  <c r="G120" i="45" s="1"/>
  <c r="B103" i="45"/>
  <c r="M119" i="45"/>
  <c r="M120" i="45" s="1"/>
  <c r="I119" i="45"/>
  <c r="I120" i="45" s="1"/>
  <c r="H104" i="45"/>
  <c r="L104" i="45"/>
  <c r="N104" i="45"/>
  <c r="F104" i="45"/>
  <c r="U42" i="57"/>
  <c r="AS43" i="57" s="1"/>
  <c r="S143" i="53"/>
  <c r="U114" i="53"/>
  <c r="U36" i="53"/>
  <c r="Q77" i="53"/>
  <c r="S68" i="53" s="1"/>
  <c r="S69" i="53" s="1"/>
  <c r="M88" i="55"/>
  <c r="B152" i="84"/>
  <c r="M144" i="84"/>
  <c r="M145" i="84" s="1"/>
  <c r="E144" i="84"/>
  <c r="E145" i="84" s="1"/>
  <c r="I144" i="84"/>
  <c r="I145" i="84" s="1"/>
  <c r="B128" i="84"/>
  <c r="G144" i="84"/>
  <c r="G145" i="84" s="1"/>
  <c r="K144" i="84"/>
  <c r="K145" i="84" s="1"/>
  <c r="L129" i="84"/>
  <c r="H129" i="84"/>
  <c r="J129" i="84"/>
  <c r="N129" i="84"/>
  <c r="F129" i="84"/>
  <c r="O146" i="55"/>
  <c r="Q48" i="55"/>
  <c r="R146" i="55"/>
  <c r="J137" i="55"/>
  <c r="P189" i="55"/>
  <c r="N207" i="55"/>
  <c r="P198" i="55" s="1"/>
  <c r="U91" i="55"/>
  <c r="K180" i="55"/>
  <c r="M169" i="55" s="1"/>
  <c r="V169" i="55" s="1"/>
  <c r="M91" i="55"/>
  <c r="U138" i="55"/>
  <c r="H178" i="55"/>
  <c r="J163" i="55" s="1"/>
  <c r="F146" i="55"/>
  <c r="L146" i="55"/>
  <c r="K22" i="55"/>
  <c r="K25" i="55" s="1"/>
  <c r="I146" i="55"/>
  <c r="J146" i="55" s="1"/>
  <c r="G143" i="55"/>
  <c r="J143" i="55"/>
  <c r="U143" i="55"/>
  <c r="E102" i="55"/>
  <c r="G91" i="55" s="1"/>
  <c r="H179" i="55"/>
  <c r="J166" i="55" s="1"/>
  <c r="J140" i="55"/>
  <c r="U140" i="55"/>
  <c r="E101" i="55"/>
  <c r="L65" i="55"/>
  <c r="K128" i="55" s="1"/>
  <c r="M117" i="55" s="1"/>
  <c r="I65" i="55"/>
  <c r="H50" i="55" s="1"/>
  <c r="J39" i="55" s="1"/>
  <c r="V39" i="55" s="1"/>
  <c r="F65" i="55"/>
  <c r="E206" i="55" s="1"/>
  <c r="G195" i="55" s="1"/>
  <c r="V195" i="55" s="1"/>
  <c r="J36" i="55"/>
  <c r="M62" i="55"/>
  <c r="U63" i="55"/>
  <c r="R68" i="55"/>
  <c r="S68" i="55" s="1"/>
  <c r="S13" i="55"/>
  <c r="K51" i="53"/>
  <c r="F68" i="53"/>
  <c r="J65" i="53"/>
  <c r="M140" i="53"/>
  <c r="L146" i="53"/>
  <c r="M146" i="53" s="1"/>
  <c r="K178" i="53"/>
  <c r="M163" i="53" s="1"/>
  <c r="E205" i="53"/>
  <c r="G192" i="53" s="1"/>
  <c r="M114" i="53"/>
  <c r="M121" i="53" s="1"/>
  <c r="R120" i="53"/>
  <c r="O120" i="53"/>
  <c r="S111" i="53"/>
  <c r="V111" i="53" s="1"/>
  <c r="N100" i="53"/>
  <c r="U112" i="53"/>
  <c r="I68" i="53"/>
  <c r="Q129" i="53"/>
  <c r="J59" i="53"/>
  <c r="G59" i="53"/>
  <c r="S13" i="53"/>
  <c r="E102" i="53"/>
  <c r="G91" i="53" s="1"/>
  <c r="F16" i="53"/>
  <c r="P7" i="53"/>
  <c r="O16" i="53"/>
  <c r="U143" i="53"/>
  <c r="E180" i="53"/>
  <c r="G169" i="53" s="1"/>
  <c r="V169" i="53" s="1"/>
  <c r="K207" i="53"/>
  <c r="M198" i="53" s="1"/>
  <c r="M199" i="53" s="1"/>
  <c r="O146" i="53"/>
  <c r="N49" i="53"/>
  <c r="N51" i="53" s="1"/>
  <c r="M59" i="53"/>
  <c r="H205" i="53"/>
  <c r="J192" i="53" s="1"/>
  <c r="J36" i="53"/>
  <c r="M7" i="53"/>
  <c r="I16" i="53"/>
  <c r="O12" i="100"/>
  <c r="U140" i="53"/>
  <c r="H25" i="53"/>
  <c r="H153" i="53"/>
  <c r="J140" i="53" s="1"/>
  <c r="J10" i="53"/>
  <c r="I146" i="53"/>
  <c r="J13" i="53"/>
  <c r="F146" i="53"/>
  <c r="G140" i="53"/>
  <c r="O40" i="100"/>
  <c r="G166" i="53"/>
  <c r="K25" i="53"/>
  <c r="M16" i="53" s="1"/>
  <c r="O32" i="100"/>
  <c r="H129" i="53"/>
  <c r="J120" i="53" s="1"/>
  <c r="J121" i="53" s="1"/>
  <c r="E50" i="53"/>
  <c r="G39" i="53" s="1"/>
  <c r="U65" i="53"/>
  <c r="O17" i="100"/>
  <c r="U14" i="53"/>
  <c r="U10" i="53"/>
  <c r="E101" i="53"/>
  <c r="G88" i="53" s="1"/>
  <c r="O9" i="100"/>
  <c r="M143" i="52"/>
  <c r="L94" i="53"/>
  <c r="M88" i="53"/>
  <c r="O97" i="100"/>
  <c r="O92" i="100"/>
  <c r="O75" i="100"/>
  <c r="O46" i="100"/>
  <c r="O2" i="100"/>
  <c r="O66" i="52"/>
  <c r="P65" i="52" s="1"/>
  <c r="R66" i="52"/>
  <c r="Q206" i="52" s="1"/>
  <c r="S195" i="52" s="1"/>
  <c r="S88" i="52"/>
  <c r="U89" i="52"/>
  <c r="K128" i="52"/>
  <c r="U86" i="52"/>
  <c r="H50" i="52"/>
  <c r="J39" i="52" s="1"/>
  <c r="O103" i="100"/>
  <c r="O62" i="100"/>
  <c r="U114" i="52"/>
  <c r="O57" i="100"/>
  <c r="O78" i="100"/>
  <c r="O56" i="100"/>
  <c r="J114" i="52"/>
  <c r="O44" i="100"/>
  <c r="O83" i="100"/>
  <c r="O88" i="100"/>
  <c r="U198" i="52"/>
  <c r="AS199" i="52" s="1"/>
  <c r="G140" i="52"/>
  <c r="L146" i="52"/>
  <c r="U143" i="52"/>
  <c r="E128" i="52"/>
  <c r="O146" i="52"/>
  <c r="N74" i="52"/>
  <c r="N77" i="52" s="1"/>
  <c r="U172" i="52"/>
  <c r="AS173" i="52" s="1"/>
  <c r="O6" i="100"/>
  <c r="O5" i="100"/>
  <c r="O54" i="100"/>
  <c r="O100" i="100"/>
  <c r="O72" i="100"/>
  <c r="O50" i="100"/>
  <c r="O81" i="100"/>
  <c r="O4" i="100"/>
  <c r="O35" i="100"/>
  <c r="E207" i="52"/>
  <c r="G198" i="52" s="1"/>
  <c r="G199" i="52" s="1"/>
  <c r="J143" i="52"/>
  <c r="U140" i="52"/>
  <c r="E127" i="52"/>
  <c r="G114" i="52" s="1"/>
  <c r="O38" i="100"/>
  <c r="J140" i="52"/>
  <c r="O41" i="100"/>
  <c r="I146" i="52"/>
  <c r="J146" i="52" s="1"/>
  <c r="H204" i="52"/>
  <c r="U137" i="52"/>
  <c r="E126" i="52"/>
  <c r="F146" i="52"/>
  <c r="O30" i="100"/>
  <c r="O86" i="100"/>
  <c r="O45" i="100"/>
  <c r="O47" i="100"/>
  <c r="O98" i="100"/>
  <c r="O74" i="100"/>
  <c r="O53" i="100"/>
  <c r="O51" i="100"/>
  <c r="O80" i="100"/>
  <c r="O69" i="100"/>
  <c r="O48" i="100"/>
  <c r="O64" i="100"/>
  <c r="O104" i="100"/>
  <c r="O95" i="100"/>
  <c r="O102" i="100"/>
  <c r="O29" i="100"/>
  <c r="U92" i="52"/>
  <c r="O24" i="100"/>
  <c r="O23" i="100"/>
  <c r="U85" i="52"/>
  <c r="O25" i="100"/>
  <c r="O21" i="100"/>
  <c r="O79" i="100"/>
  <c r="O68" i="100"/>
  <c r="O73" i="100"/>
  <c r="O65" i="100"/>
  <c r="O66" i="100"/>
  <c r="O85" i="100"/>
  <c r="O101" i="100"/>
  <c r="O94" i="100"/>
  <c r="O76" i="100"/>
  <c r="O99" i="100"/>
  <c r="O52" i="100"/>
  <c r="O82" i="100"/>
  <c r="G91" i="52"/>
  <c r="O96" i="100"/>
  <c r="O49" i="100"/>
  <c r="I66" i="52"/>
  <c r="L66" i="52"/>
  <c r="K180" i="52" s="1"/>
  <c r="M169" i="52" s="1"/>
  <c r="O67" i="100"/>
  <c r="O59" i="100"/>
  <c r="O89" i="100"/>
  <c r="O8" i="100"/>
  <c r="O10" i="100"/>
  <c r="O19" i="100"/>
  <c r="O60" i="52"/>
  <c r="L60" i="52"/>
  <c r="O18" i="100"/>
  <c r="O16" i="100"/>
  <c r="O15" i="100"/>
  <c r="F33" i="52"/>
  <c r="G33" i="52" s="1"/>
  <c r="I33" i="52"/>
  <c r="O13" i="100"/>
  <c r="N13" i="101"/>
  <c r="N13" i="102" s="1"/>
  <c r="F7" i="120"/>
  <c r="A8" i="120"/>
  <c r="F8" i="120" s="1"/>
  <c r="G7" i="120"/>
  <c r="M5" i="101"/>
  <c r="E25" i="57"/>
  <c r="M43" i="101"/>
  <c r="M56" i="101"/>
  <c r="M89" i="101"/>
  <c r="M72" i="101"/>
  <c r="M102" i="101"/>
  <c r="M96" i="101"/>
  <c r="S91" i="52"/>
  <c r="N6" i="101"/>
  <c r="O20" i="100"/>
  <c r="M64" i="101"/>
  <c r="O11" i="100"/>
  <c r="N24" i="101"/>
  <c r="O22" i="100"/>
  <c r="O14" i="100"/>
  <c r="M40" i="101"/>
  <c r="M91" i="101"/>
  <c r="M38" i="101"/>
  <c r="M53" i="101"/>
  <c r="M101" i="101"/>
  <c r="O37" i="100"/>
  <c r="M103" i="101"/>
  <c r="M83" i="101"/>
  <c r="M39" i="101"/>
  <c r="O61" i="100"/>
  <c r="M50" i="101"/>
  <c r="O70" i="100"/>
  <c r="M73" i="101"/>
  <c r="O43" i="100"/>
  <c r="M104" i="101"/>
  <c r="O34" i="100"/>
  <c r="M74" i="101"/>
  <c r="M68" i="101"/>
  <c r="M63" i="101"/>
  <c r="O84" i="100"/>
  <c r="O90" i="100"/>
  <c r="O71" i="100"/>
  <c r="O77" i="100"/>
  <c r="M99" i="101"/>
  <c r="M37" i="101"/>
  <c r="M57" i="101"/>
  <c r="M82" i="101"/>
  <c r="M55" i="101"/>
  <c r="M81" i="101"/>
  <c r="M59" i="101"/>
  <c r="M79" i="101"/>
  <c r="O58" i="100"/>
  <c r="O42" i="100"/>
  <c r="O87" i="100"/>
  <c r="N18" i="101"/>
  <c r="O60" i="100"/>
  <c r="Q179" i="52"/>
  <c r="S166" i="52" s="1"/>
  <c r="O36" i="100"/>
  <c r="O63" i="100"/>
  <c r="M10" i="52"/>
  <c r="O55" i="100"/>
  <c r="O33" i="100"/>
  <c r="N4" i="101"/>
  <c r="M58" i="101"/>
  <c r="M97" i="101"/>
  <c r="M34" i="101"/>
  <c r="M90" i="101"/>
  <c r="M47" i="101"/>
  <c r="M86" i="101"/>
  <c r="M71" i="101"/>
  <c r="M54" i="101"/>
  <c r="M41" i="101"/>
  <c r="M60" i="101"/>
  <c r="M93" i="101"/>
  <c r="M66" i="101"/>
  <c r="M84" i="101"/>
  <c r="M65" i="101"/>
  <c r="M75" i="101"/>
  <c r="M80" i="101"/>
  <c r="M88" i="101"/>
  <c r="M70" i="101"/>
  <c r="M100" i="101"/>
  <c r="M46" i="101"/>
  <c r="M62" i="101"/>
  <c r="M94" i="101"/>
  <c r="M95" i="101"/>
  <c r="M92" i="101"/>
  <c r="M45" i="101"/>
  <c r="M61" i="101"/>
  <c r="M98" i="101"/>
  <c r="M35" i="101"/>
  <c r="M77" i="101"/>
  <c r="M76" i="101"/>
  <c r="M51" i="101"/>
  <c r="M44" i="101"/>
  <c r="M69" i="101"/>
  <c r="M42" i="101"/>
  <c r="M48" i="101"/>
  <c r="M87" i="101"/>
  <c r="M36" i="101"/>
  <c r="M67" i="101"/>
  <c r="M85" i="101"/>
  <c r="M78" i="101"/>
  <c r="M52" i="101"/>
  <c r="M49" i="101"/>
  <c r="O3" i="100"/>
  <c r="N5" i="101"/>
  <c r="M21" i="101"/>
  <c r="N17" i="101"/>
  <c r="N16" i="101"/>
  <c r="N26" i="101"/>
  <c r="O26" i="101" s="1"/>
  <c r="N10" i="101"/>
  <c r="N19" i="101"/>
  <c r="N21" i="101"/>
  <c r="N25" i="101"/>
  <c r="N15" i="101"/>
  <c r="N12" i="101"/>
  <c r="N27" i="101"/>
  <c r="O27" i="101" s="1"/>
  <c r="N7" i="101"/>
  <c r="O7" i="101" s="1"/>
  <c r="N9" i="101"/>
  <c r="N23" i="101"/>
  <c r="M20" i="101"/>
  <c r="O20" i="101" s="1"/>
  <c r="M6" i="101"/>
  <c r="M13" i="101"/>
  <c r="M4" i="101"/>
  <c r="M7" i="101"/>
  <c r="N8" i="102"/>
  <c r="H77" i="53"/>
  <c r="J68" i="53" s="1"/>
  <c r="M10" i="101"/>
  <c r="M26" i="101"/>
  <c r="M3" i="101"/>
  <c r="O3" i="101" s="1"/>
  <c r="M2" i="101"/>
  <c r="O2" i="101" s="1"/>
  <c r="M18" i="101"/>
  <c r="M25" i="101"/>
  <c r="B152" i="87"/>
  <c r="L129" i="87"/>
  <c r="G144" i="87"/>
  <c r="G145" i="87" s="1"/>
  <c r="E144" i="87"/>
  <c r="E145" i="87" s="1"/>
  <c r="I144" i="87"/>
  <c r="I145" i="87" s="1"/>
  <c r="M144" i="87"/>
  <c r="M145" i="87" s="1"/>
  <c r="K144" i="87"/>
  <c r="K145" i="87" s="1"/>
  <c r="B128" i="87"/>
  <c r="J129" i="87"/>
  <c r="N129" i="87"/>
  <c r="H129" i="87"/>
  <c r="F129" i="87"/>
  <c r="J62" i="52"/>
  <c r="N20" i="66"/>
  <c r="C20" i="66" s="1"/>
  <c r="H20" i="66" s="1"/>
  <c r="M9" i="101"/>
  <c r="M12" i="101"/>
  <c r="M15" i="101"/>
  <c r="M11" i="101"/>
  <c r="O11" i="101" s="1"/>
  <c r="M14" i="101"/>
  <c r="O14" i="101" s="1"/>
  <c r="G169" i="85"/>
  <c r="G170" i="85" s="1"/>
  <c r="F154" i="85"/>
  <c r="B177" i="85"/>
  <c r="I169" i="85"/>
  <c r="I170" i="85" s="1"/>
  <c r="H154" i="85"/>
  <c r="K169" i="85"/>
  <c r="K170" i="85" s="1"/>
  <c r="J154" i="85"/>
  <c r="M169" i="85"/>
  <c r="M170" i="85" s="1"/>
  <c r="L154" i="85"/>
  <c r="B153" i="85"/>
  <c r="E169" i="85"/>
  <c r="E170" i="85" s="1"/>
  <c r="N154" i="85"/>
  <c r="M27" i="101"/>
  <c r="R120" i="57"/>
  <c r="S120" i="57" s="1"/>
  <c r="M22" i="101"/>
  <c r="O22" i="101" s="1"/>
  <c r="M16" i="101"/>
  <c r="M17" i="101"/>
  <c r="E119" i="86"/>
  <c r="E120" i="86" s="1"/>
  <c r="H104" i="86"/>
  <c r="G119" i="86"/>
  <c r="G120" i="86" s="1"/>
  <c r="M119" i="86"/>
  <c r="M120" i="86" s="1"/>
  <c r="K119" i="86"/>
  <c r="K120" i="86" s="1"/>
  <c r="I119" i="86"/>
  <c r="I120" i="86" s="1"/>
  <c r="B103" i="86"/>
  <c r="B127" i="86"/>
  <c r="N104" i="86"/>
  <c r="L104" i="86"/>
  <c r="J104" i="86"/>
  <c r="F104" i="86"/>
  <c r="B152" i="41"/>
  <c r="K144" i="41"/>
  <c r="K145" i="41" s="1"/>
  <c r="H129" i="41"/>
  <c r="J129" i="41"/>
  <c r="I144" i="41"/>
  <c r="I145" i="41" s="1"/>
  <c r="F129" i="41"/>
  <c r="M144" i="41"/>
  <c r="M145" i="41" s="1"/>
  <c r="B128" i="41"/>
  <c r="G144" i="41"/>
  <c r="G145" i="41" s="1"/>
  <c r="L129" i="41"/>
  <c r="E144" i="41"/>
  <c r="E145" i="41" s="1"/>
  <c r="N129" i="41"/>
  <c r="M23" i="101"/>
  <c r="G169" i="116"/>
  <c r="G170" i="116" s="1"/>
  <c r="B177" i="116"/>
  <c r="F154" i="116"/>
  <c r="I169" i="116"/>
  <c r="I170" i="116" s="1"/>
  <c r="H154" i="116"/>
  <c r="K169" i="116"/>
  <c r="K170" i="116" s="1"/>
  <c r="J154" i="116"/>
  <c r="M169" i="116"/>
  <c r="M170" i="116" s="1"/>
  <c r="L154" i="116"/>
  <c r="N154" i="116"/>
  <c r="E169" i="116"/>
  <c r="E170" i="116" s="1"/>
  <c r="B153" i="116"/>
  <c r="D7" i="120"/>
  <c r="M24" i="101"/>
  <c r="M8" i="101"/>
  <c r="O8" i="101" s="1"/>
  <c r="M19" i="101"/>
  <c r="M111" i="57"/>
  <c r="J111" i="57"/>
  <c r="L16" i="57"/>
  <c r="P111" i="57"/>
  <c r="R68" i="57"/>
  <c r="E76" i="53"/>
  <c r="G65" i="53" s="1"/>
  <c r="F42" i="53"/>
  <c r="S39" i="53"/>
  <c r="N154" i="52"/>
  <c r="P143" i="52" s="1"/>
  <c r="K77" i="52"/>
  <c r="K206" i="52"/>
  <c r="M195" i="52" s="1"/>
  <c r="K51" i="55"/>
  <c r="H179" i="53"/>
  <c r="J166" i="53" s="1"/>
  <c r="N2" i="102"/>
  <c r="N3" i="102"/>
  <c r="U111" i="57"/>
  <c r="K204" i="57"/>
  <c r="M189" i="57" s="1"/>
  <c r="V189" i="57" s="1"/>
  <c r="H48" i="57"/>
  <c r="I120" i="57"/>
  <c r="O120" i="57"/>
  <c r="N74" i="57"/>
  <c r="J91" i="57"/>
  <c r="Q77" i="57"/>
  <c r="E206" i="57"/>
  <c r="G91" i="57"/>
  <c r="F94" i="57"/>
  <c r="U91" i="57"/>
  <c r="P91" i="57"/>
  <c r="N180" i="57"/>
  <c r="O94" i="57"/>
  <c r="P94" i="57" s="1"/>
  <c r="K24" i="57"/>
  <c r="K25" i="57" s="1"/>
  <c r="L94" i="57"/>
  <c r="I94" i="57"/>
  <c r="H154" i="57"/>
  <c r="S91" i="57"/>
  <c r="R94" i="57"/>
  <c r="S62" i="57"/>
  <c r="H205" i="57"/>
  <c r="J62" i="57"/>
  <c r="I68" i="57"/>
  <c r="J68" i="57" s="1"/>
  <c r="U63" i="57"/>
  <c r="K49" i="57"/>
  <c r="L68" i="57"/>
  <c r="E154" i="57"/>
  <c r="U65" i="57"/>
  <c r="K128" i="57"/>
  <c r="K50" i="57"/>
  <c r="M39" i="57" s="1"/>
  <c r="V39" i="57" s="1"/>
  <c r="V10" i="57"/>
  <c r="P66" i="97"/>
  <c r="H129" i="57"/>
  <c r="P46" i="97"/>
  <c r="P67" i="97"/>
  <c r="P43" i="97"/>
  <c r="P22" i="97"/>
  <c r="P56" i="97"/>
  <c r="P100" i="97"/>
  <c r="P95" i="97"/>
  <c r="P88" i="97"/>
  <c r="P19" i="97"/>
  <c r="P84" i="97"/>
  <c r="P18" i="97"/>
  <c r="P31" i="97"/>
  <c r="P39" i="97"/>
  <c r="P24" i="97"/>
  <c r="P53" i="97"/>
  <c r="P37" i="97"/>
  <c r="P86" i="97"/>
  <c r="P36" i="97"/>
  <c r="P103" i="97"/>
  <c r="P70" i="97"/>
  <c r="P25" i="97"/>
  <c r="P82" i="97"/>
  <c r="P73" i="97"/>
  <c r="P34" i="97"/>
  <c r="P27" i="97"/>
  <c r="P98" i="97"/>
  <c r="P41" i="97"/>
  <c r="P101" i="97"/>
  <c r="P61" i="97"/>
  <c r="P15" i="97"/>
  <c r="P77" i="97"/>
  <c r="P79" i="97"/>
  <c r="P48" i="97"/>
  <c r="P85" i="97"/>
  <c r="P59" i="97"/>
  <c r="P57" i="97"/>
  <c r="P81" i="97"/>
  <c r="P3" i="97"/>
  <c r="P93" i="97"/>
  <c r="K103" i="57"/>
  <c r="P12" i="97"/>
  <c r="P63" i="97"/>
  <c r="P72" i="97"/>
  <c r="P33" i="97"/>
  <c r="P13" i="57"/>
  <c r="P91" i="97"/>
  <c r="S13" i="57"/>
  <c r="P74" i="97"/>
  <c r="P76" i="97"/>
  <c r="P4" i="97"/>
  <c r="P42" i="97"/>
  <c r="P78" i="97"/>
  <c r="P11" i="97"/>
  <c r="P51" i="97"/>
  <c r="P87" i="97"/>
  <c r="P92" i="97"/>
  <c r="P64" i="97"/>
  <c r="P50" i="97"/>
  <c r="P16" i="97"/>
  <c r="P90" i="97"/>
  <c r="P9" i="97"/>
  <c r="P7" i="97"/>
  <c r="P96" i="97"/>
  <c r="P23" i="97"/>
  <c r="P68" i="97"/>
  <c r="P40" i="97"/>
  <c r="P29" i="97"/>
  <c r="P58" i="97"/>
  <c r="P8" i="97"/>
  <c r="P75" i="97"/>
  <c r="P94" i="97"/>
  <c r="P6" i="97"/>
  <c r="P104" i="97"/>
  <c r="P65" i="97"/>
  <c r="P83" i="97"/>
  <c r="P2" i="97"/>
  <c r="P55" i="97"/>
  <c r="P99" i="97"/>
  <c r="P20" i="97"/>
  <c r="P102" i="97"/>
  <c r="P14" i="97"/>
  <c r="P71" i="97"/>
  <c r="P35" i="97"/>
  <c r="P30" i="97"/>
  <c r="P52" i="97"/>
  <c r="P97" i="97"/>
  <c r="P32" i="97"/>
  <c r="P54" i="97"/>
  <c r="P80" i="97"/>
  <c r="P5" i="97"/>
  <c r="P89" i="97"/>
  <c r="P10" i="97"/>
  <c r="P28" i="97"/>
  <c r="P26" i="97"/>
  <c r="P49" i="97"/>
  <c r="P17" i="97"/>
  <c r="P69" i="97"/>
  <c r="P45" i="97"/>
  <c r="P13" i="97"/>
  <c r="P47" i="97"/>
  <c r="P44" i="97"/>
  <c r="P21" i="97"/>
  <c r="P38" i="97"/>
  <c r="P62" i="97"/>
  <c r="P60" i="97"/>
  <c r="N24" i="70"/>
  <c r="C24" i="70" s="1"/>
  <c r="H24" i="70" s="1"/>
  <c r="U14" i="57"/>
  <c r="N152" i="57"/>
  <c r="U9" i="57"/>
  <c r="O16" i="57"/>
  <c r="P16" i="57" s="1"/>
  <c r="Q48" i="57"/>
  <c r="R16" i="57"/>
  <c r="S16" i="57" s="1"/>
  <c r="S7" i="57"/>
  <c r="U13" i="57"/>
  <c r="E128" i="57"/>
  <c r="H180" i="57"/>
  <c r="I16" i="57"/>
  <c r="J16" i="57" s="1"/>
  <c r="J13" i="57"/>
  <c r="F16" i="57"/>
  <c r="M114" i="55"/>
  <c r="BM193" i="55"/>
  <c r="BM8" i="55"/>
  <c r="BM35" i="55"/>
  <c r="BM15" i="55"/>
  <c r="BM88" i="55"/>
  <c r="BM139" i="55"/>
  <c r="BM34" i="55"/>
  <c r="BM89" i="55"/>
  <c r="BM33" i="55"/>
  <c r="BM170" i="55"/>
  <c r="BM168" i="55"/>
  <c r="BM67" i="55"/>
  <c r="BM61" i="55"/>
  <c r="BM137" i="55"/>
  <c r="BM118" i="55"/>
  <c r="BM85" i="55"/>
  <c r="BM62" i="55"/>
  <c r="BM92" i="55"/>
  <c r="BM145" i="55"/>
  <c r="BM171" i="55"/>
  <c r="BM192" i="55"/>
  <c r="BM169" i="55"/>
  <c r="BM60" i="55"/>
  <c r="BM116" i="55"/>
  <c r="BM113" i="55"/>
  <c r="BM142" i="55"/>
  <c r="BM117" i="55"/>
  <c r="BM63" i="55"/>
  <c r="BM140" i="55"/>
  <c r="BM165" i="55"/>
  <c r="BM163" i="55"/>
  <c r="BM36" i="55"/>
  <c r="BM37" i="55"/>
  <c r="BM66" i="55"/>
  <c r="BM10" i="55"/>
  <c r="BM12" i="55"/>
  <c r="BM119" i="55"/>
  <c r="BM167" i="55"/>
  <c r="BM190" i="55"/>
  <c r="BM115" i="55"/>
  <c r="BM112" i="55"/>
  <c r="BM9" i="55"/>
  <c r="BM196" i="55"/>
  <c r="BM197" i="55"/>
  <c r="BM65" i="55"/>
  <c r="BM143" i="55"/>
  <c r="BM93" i="55"/>
  <c r="BM40" i="55"/>
  <c r="BM144" i="55"/>
  <c r="BM138" i="55"/>
  <c r="BM64" i="55"/>
  <c r="BM38" i="55"/>
  <c r="BM13" i="55"/>
  <c r="BM195" i="55"/>
  <c r="BM189" i="55"/>
  <c r="BM111" i="55"/>
  <c r="BM14" i="55"/>
  <c r="BM166" i="55"/>
  <c r="BM194" i="55"/>
  <c r="BM11" i="55"/>
  <c r="BM87" i="55"/>
  <c r="BM41" i="55"/>
  <c r="BM86" i="55"/>
  <c r="BM59" i="55"/>
  <c r="BM141" i="55"/>
  <c r="BM90" i="55"/>
  <c r="BM191" i="55"/>
  <c r="BM164" i="55"/>
  <c r="H204" i="55"/>
  <c r="I120" i="55"/>
  <c r="Q100" i="55"/>
  <c r="Q103" i="55" s="1"/>
  <c r="R120" i="55"/>
  <c r="L120" i="55"/>
  <c r="E75" i="55"/>
  <c r="U114" i="55"/>
  <c r="E49" i="55"/>
  <c r="G36" i="55" s="1"/>
  <c r="E48" i="55"/>
  <c r="F120" i="55"/>
  <c r="U111" i="55"/>
  <c r="N152" i="55"/>
  <c r="O120" i="55"/>
  <c r="P111" i="55"/>
  <c r="BM114" i="55"/>
  <c r="F85" i="55"/>
  <c r="E152" i="55" s="1"/>
  <c r="G137" i="55" s="1"/>
  <c r="O85" i="55"/>
  <c r="N74" i="55" s="1"/>
  <c r="N77" i="55" s="1"/>
  <c r="R85" i="55"/>
  <c r="Q126" i="55" s="1"/>
  <c r="I85" i="55"/>
  <c r="H22" i="55" s="1"/>
  <c r="L85" i="55"/>
  <c r="K178" i="55" s="1"/>
  <c r="H127" i="55"/>
  <c r="J114" i="55" s="1"/>
  <c r="H23" i="55"/>
  <c r="J10" i="55" s="1"/>
  <c r="E153" i="55"/>
  <c r="G140" i="55" s="1"/>
  <c r="U88" i="55"/>
  <c r="P88" i="55"/>
  <c r="Q127" i="55"/>
  <c r="S114" i="55" s="1"/>
  <c r="S88" i="55"/>
  <c r="U66" i="55"/>
  <c r="Q179" i="55"/>
  <c r="S166" i="55" s="1"/>
  <c r="S65" i="55"/>
  <c r="J59" i="55"/>
  <c r="O68" i="55"/>
  <c r="N102" i="55"/>
  <c r="P65" i="55"/>
  <c r="E204" i="55"/>
  <c r="G189" i="55" s="1"/>
  <c r="U59" i="55"/>
  <c r="BM91" i="55"/>
  <c r="U36" i="55"/>
  <c r="E127" i="55"/>
  <c r="F42" i="55"/>
  <c r="N23" i="55"/>
  <c r="N25" i="55" s="1"/>
  <c r="O42" i="55"/>
  <c r="K205" i="55"/>
  <c r="L42" i="55"/>
  <c r="H75" i="55"/>
  <c r="I42" i="55"/>
  <c r="S36" i="55"/>
  <c r="Q153" i="55"/>
  <c r="S140" i="55" s="1"/>
  <c r="R42" i="55"/>
  <c r="P52" i="96"/>
  <c r="P54" i="96"/>
  <c r="P88" i="96"/>
  <c r="P18" i="96"/>
  <c r="P44" i="96"/>
  <c r="M13" i="55"/>
  <c r="P7" i="96"/>
  <c r="K154" i="55"/>
  <c r="M143" i="55" s="1"/>
  <c r="P15" i="96"/>
  <c r="P84" i="96"/>
  <c r="P104" i="96"/>
  <c r="P62" i="96"/>
  <c r="P98" i="96"/>
  <c r="P50" i="96"/>
  <c r="P63" i="96"/>
  <c r="P97" i="96"/>
  <c r="P12" i="96"/>
  <c r="P76" i="96"/>
  <c r="P37" i="96"/>
  <c r="P46" i="96"/>
  <c r="P4" i="96"/>
  <c r="U13" i="55"/>
  <c r="P78" i="96"/>
  <c r="P103" i="96"/>
  <c r="P45" i="96"/>
  <c r="P73" i="96"/>
  <c r="P13" i="96"/>
  <c r="P24" i="96"/>
  <c r="P53" i="96"/>
  <c r="P90" i="96"/>
  <c r="P69" i="96"/>
  <c r="P71" i="96"/>
  <c r="P72" i="96"/>
  <c r="P61" i="96"/>
  <c r="P32" i="96"/>
  <c r="P59" i="96"/>
  <c r="P47" i="96"/>
  <c r="P2" i="96"/>
  <c r="P48" i="96"/>
  <c r="P94" i="96"/>
  <c r="P66" i="96"/>
  <c r="P34" i="96"/>
  <c r="P58" i="96"/>
  <c r="P21" i="96"/>
  <c r="P85" i="96"/>
  <c r="P67" i="96"/>
  <c r="P93" i="96"/>
  <c r="P91" i="96"/>
  <c r="P101" i="96"/>
  <c r="P36" i="96"/>
  <c r="P68" i="96"/>
  <c r="P57" i="96"/>
  <c r="P40" i="96"/>
  <c r="P99" i="96"/>
  <c r="P38" i="96"/>
  <c r="P83" i="96"/>
  <c r="P100" i="96"/>
  <c r="P79" i="96"/>
  <c r="P43" i="96"/>
  <c r="P70" i="96"/>
  <c r="P96" i="96"/>
  <c r="J13" i="55"/>
  <c r="BM39" i="55"/>
  <c r="P5" i="96"/>
  <c r="P80" i="96"/>
  <c r="P51" i="96"/>
  <c r="P30" i="96"/>
  <c r="P75" i="96"/>
  <c r="P49" i="96"/>
  <c r="P95" i="96"/>
  <c r="P102" i="96"/>
  <c r="P77" i="96"/>
  <c r="N128" i="55"/>
  <c r="P117" i="55" s="1"/>
  <c r="P13" i="55"/>
  <c r="P27" i="96"/>
  <c r="P56" i="96"/>
  <c r="P28" i="96"/>
  <c r="P64" i="96"/>
  <c r="P19" i="96"/>
  <c r="P26" i="96"/>
  <c r="P60" i="96"/>
  <c r="P87" i="96"/>
  <c r="O7" i="55"/>
  <c r="O16" i="55" s="1"/>
  <c r="F7" i="55"/>
  <c r="E178" i="55" s="1"/>
  <c r="L7" i="55"/>
  <c r="R7" i="55"/>
  <c r="Q204" i="55" s="1"/>
  <c r="Q207" i="55" s="1"/>
  <c r="S198" i="55" s="1"/>
  <c r="I7" i="55"/>
  <c r="H100" i="55" s="1"/>
  <c r="S10" i="55"/>
  <c r="P35" i="96"/>
  <c r="P33" i="96"/>
  <c r="P92" i="96"/>
  <c r="P20" i="96"/>
  <c r="P89" i="96"/>
  <c r="P81" i="96"/>
  <c r="P42" i="96"/>
  <c r="P11" i="96"/>
  <c r="P14" i="96"/>
  <c r="U11" i="55"/>
  <c r="H101" i="55"/>
  <c r="J88" i="55" s="1"/>
  <c r="P16" i="96"/>
  <c r="P22" i="96"/>
  <c r="P41" i="96"/>
  <c r="P82" i="96"/>
  <c r="P10" i="96"/>
  <c r="P8" i="96"/>
  <c r="P31" i="96"/>
  <c r="P25" i="96"/>
  <c r="M10" i="55"/>
  <c r="K153" i="55"/>
  <c r="M140" i="55" s="1"/>
  <c r="E179" i="55"/>
  <c r="G166" i="55" s="1"/>
  <c r="U10" i="55"/>
  <c r="P86" i="96"/>
  <c r="P29" i="96"/>
  <c r="P65" i="96"/>
  <c r="P6" i="96"/>
  <c r="G10" i="55"/>
  <c r="P9" i="96"/>
  <c r="P55" i="96"/>
  <c r="P74" i="96"/>
  <c r="P23" i="96"/>
  <c r="P3" i="96"/>
  <c r="P39" i="96"/>
  <c r="P17" i="96"/>
  <c r="N127" i="55"/>
  <c r="N49" i="55"/>
  <c r="P36" i="55" s="1"/>
  <c r="G120" i="53"/>
  <c r="M36" i="53"/>
  <c r="Q155" i="53"/>
  <c r="S146" i="53" s="1"/>
  <c r="N19" i="66"/>
  <c r="C19" i="66"/>
  <c r="H19" i="66" s="1"/>
  <c r="N21" i="66"/>
  <c r="C21" i="66" s="1"/>
  <c r="H21" i="66" s="1"/>
  <c r="R94" i="53"/>
  <c r="S94" i="53" s="1"/>
  <c r="S88" i="53"/>
  <c r="U88" i="53"/>
  <c r="I94" i="53"/>
  <c r="E23" i="53"/>
  <c r="F94" i="53"/>
  <c r="N127" i="53"/>
  <c r="P88" i="53"/>
  <c r="N24" i="66"/>
  <c r="C24" i="66" s="1"/>
  <c r="H24" i="66" s="1"/>
  <c r="V62" i="53"/>
  <c r="U39" i="53"/>
  <c r="P101" i="95"/>
  <c r="P6" i="95"/>
  <c r="Q179" i="53"/>
  <c r="S166" i="53" s="1"/>
  <c r="P19" i="95"/>
  <c r="R42" i="53"/>
  <c r="J39" i="53"/>
  <c r="P72" i="95"/>
  <c r="U37" i="53"/>
  <c r="P104" i="95"/>
  <c r="P86" i="95"/>
  <c r="P73" i="95"/>
  <c r="P34" i="95"/>
  <c r="P88" i="95"/>
  <c r="P62" i="95"/>
  <c r="P42" i="95"/>
  <c r="P99" i="95"/>
  <c r="P38" i="95"/>
  <c r="P32" i="95"/>
  <c r="P91" i="95"/>
  <c r="P36" i="95"/>
  <c r="P60" i="95"/>
  <c r="N154" i="53"/>
  <c r="P143" i="53" s="1"/>
  <c r="U40" i="53"/>
  <c r="P39" i="53"/>
  <c r="O42" i="53"/>
  <c r="P15" i="95"/>
  <c r="K102" i="53"/>
  <c r="M91" i="53" s="1"/>
  <c r="L42" i="53"/>
  <c r="M39" i="53"/>
  <c r="P102" i="95"/>
  <c r="P28" i="95"/>
  <c r="P7" i="95"/>
  <c r="P93" i="95"/>
  <c r="H206" i="53"/>
  <c r="I42" i="53"/>
  <c r="P8" i="95"/>
  <c r="P87" i="95"/>
  <c r="P24" i="95"/>
  <c r="P95" i="95"/>
  <c r="P66" i="95"/>
  <c r="P94" i="95"/>
  <c r="P77" i="95"/>
  <c r="P61" i="95"/>
  <c r="P80" i="95"/>
  <c r="P98" i="95"/>
  <c r="P100" i="95"/>
  <c r="P3" i="95"/>
  <c r="P83" i="95"/>
  <c r="P81" i="95"/>
  <c r="P55" i="95"/>
  <c r="P31" i="95"/>
  <c r="P74" i="95"/>
  <c r="P103" i="95"/>
  <c r="P9" i="95"/>
  <c r="P57" i="95"/>
  <c r="P75" i="95"/>
  <c r="P45" i="95"/>
  <c r="P89" i="95"/>
  <c r="P27" i="95"/>
  <c r="P4" i="95"/>
  <c r="P97" i="95"/>
  <c r="P58" i="95"/>
  <c r="P46" i="95"/>
  <c r="P18" i="95"/>
  <c r="P17" i="95"/>
  <c r="P82" i="95"/>
  <c r="P53" i="95"/>
  <c r="P14" i="95"/>
  <c r="P63" i="95"/>
  <c r="P70" i="95"/>
  <c r="P56" i="95"/>
  <c r="P12" i="95"/>
  <c r="P85" i="95"/>
  <c r="P47" i="95"/>
  <c r="P29" i="95"/>
  <c r="P69" i="95"/>
  <c r="P59" i="95"/>
  <c r="P13" i="95"/>
  <c r="P71" i="95"/>
  <c r="P25" i="95"/>
  <c r="P30" i="95"/>
  <c r="P40" i="95"/>
  <c r="P92" i="95"/>
  <c r="P2" i="95"/>
  <c r="P50" i="95"/>
  <c r="P39" i="95"/>
  <c r="P20" i="95"/>
  <c r="P96" i="95"/>
  <c r="P21" i="95"/>
  <c r="P16" i="95"/>
  <c r="P37" i="95"/>
  <c r="P11" i="95"/>
  <c r="P22" i="95"/>
  <c r="P49" i="95"/>
  <c r="P35" i="95"/>
  <c r="P78" i="95"/>
  <c r="P48" i="95"/>
  <c r="P79" i="95"/>
  <c r="P65" i="95"/>
  <c r="P33" i="95"/>
  <c r="P52" i="95"/>
  <c r="P41" i="95"/>
  <c r="P44" i="95"/>
  <c r="P5" i="95"/>
  <c r="P67" i="95"/>
  <c r="P26" i="95"/>
  <c r="P84" i="95"/>
  <c r="P51" i="95"/>
  <c r="P10" i="95"/>
  <c r="P68" i="95"/>
  <c r="P43" i="95"/>
  <c r="P23" i="95"/>
  <c r="P54" i="95"/>
  <c r="P64" i="95"/>
  <c r="P76" i="95"/>
  <c r="P90" i="95"/>
  <c r="P192" i="53"/>
  <c r="N207" i="53"/>
  <c r="P198" i="53" s="1"/>
  <c r="N20" i="60"/>
  <c r="C20" i="60" s="1"/>
  <c r="H20" i="60" s="1"/>
  <c r="E181" i="52"/>
  <c r="G172" i="52" s="1"/>
  <c r="G163" i="52"/>
  <c r="U115" i="52"/>
  <c r="L117" i="52"/>
  <c r="I117" i="52"/>
  <c r="H180" i="52" s="1"/>
  <c r="J169" i="52" s="1"/>
  <c r="F117" i="52"/>
  <c r="O112" i="52"/>
  <c r="R112" i="52"/>
  <c r="L112" i="52"/>
  <c r="U116" i="52"/>
  <c r="Q49" i="52"/>
  <c r="U111" i="52"/>
  <c r="E152" i="52"/>
  <c r="G137" i="52" s="1"/>
  <c r="H178" i="52"/>
  <c r="J163" i="52" s="1"/>
  <c r="J111" i="52"/>
  <c r="N24" i="52"/>
  <c r="P13" i="52" s="1"/>
  <c r="U118" i="52"/>
  <c r="N23" i="60"/>
  <c r="C23" i="60" s="1"/>
  <c r="H23" i="60" s="1"/>
  <c r="N205" i="52"/>
  <c r="O94" i="52"/>
  <c r="Q50" i="52"/>
  <c r="Q154" i="52"/>
  <c r="S143" i="52" s="1"/>
  <c r="K127" i="52"/>
  <c r="M88" i="52"/>
  <c r="L94" i="52"/>
  <c r="Q153" i="52"/>
  <c r="R94" i="52"/>
  <c r="H49" i="52"/>
  <c r="I94" i="52"/>
  <c r="E76" i="52"/>
  <c r="G65" i="52" s="1"/>
  <c r="U91" i="52"/>
  <c r="F94" i="52"/>
  <c r="E75" i="52"/>
  <c r="U88" i="52"/>
  <c r="U65" i="52"/>
  <c r="F59" i="52"/>
  <c r="E100" i="52" s="1"/>
  <c r="I59" i="52"/>
  <c r="I68" i="52" s="1"/>
  <c r="R59" i="52"/>
  <c r="Q204" i="52" s="1"/>
  <c r="S189" i="52" s="1"/>
  <c r="L59" i="52"/>
  <c r="H24" i="52"/>
  <c r="J13" i="52" s="1"/>
  <c r="L62" i="52"/>
  <c r="F62" i="52"/>
  <c r="R62" i="52"/>
  <c r="J65" i="52"/>
  <c r="H23" i="52"/>
  <c r="J10" i="52" s="1"/>
  <c r="U63" i="52"/>
  <c r="N153" i="52"/>
  <c r="P140" i="52" s="1"/>
  <c r="P62" i="52"/>
  <c r="P57" i="88"/>
  <c r="R37" i="52"/>
  <c r="Q127" i="52" s="1"/>
  <c r="S114" i="52" s="1"/>
  <c r="L37" i="52"/>
  <c r="K153" i="52" s="1"/>
  <c r="M140" i="52" s="1"/>
  <c r="O37" i="52"/>
  <c r="P36" i="52" s="1"/>
  <c r="I36" i="52"/>
  <c r="F36" i="52"/>
  <c r="F42" i="52" s="1"/>
  <c r="L34" i="52"/>
  <c r="M33" i="52" s="1"/>
  <c r="I34" i="52"/>
  <c r="O34" i="52"/>
  <c r="N178" i="52" s="1"/>
  <c r="P163" i="52" s="1"/>
  <c r="R40" i="52"/>
  <c r="O40" i="52"/>
  <c r="E22" i="52"/>
  <c r="U13" i="52"/>
  <c r="E50" i="52"/>
  <c r="G39" i="52" s="1"/>
  <c r="N102" i="52"/>
  <c r="P91" i="52" s="1"/>
  <c r="N128" i="52"/>
  <c r="P117" i="52" s="1"/>
  <c r="N126" i="52"/>
  <c r="O16" i="52"/>
  <c r="Q180" i="52"/>
  <c r="S13" i="52"/>
  <c r="R16" i="52"/>
  <c r="S16" i="52" s="1"/>
  <c r="K204" i="52"/>
  <c r="M189" i="52" s="1"/>
  <c r="L16" i="52"/>
  <c r="E49" i="52"/>
  <c r="U10" i="52"/>
  <c r="F16" i="52"/>
  <c r="I16" i="52"/>
  <c r="U7" i="52"/>
  <c r="H74" i="52"/>
  <c r="H77" i="52" s="1"/>
  <c r="N101" i="52"/>
  <c r="N127" i="52"/>
  <c r="P114" i="52" s="1"/>
  <c r="P10" i="52"/>
  <c r="V199" i="59"/>
  <c r="AQ199" i="59" s="1"/>
  <c r="BD199" i="59" s="1"/>
  <c r="K22" i="52"/>
  <c r="M7" i="52" s="1"/>
  <c r="J166" i="52"/>
  <c r="G189" i="53"/>
  <c r="E207" i="53"/>
  <c r="G198" i="53" s="1"/>
  <c r="S192" i="53"/>
  <c r="Q207" i="53"/>
  <c r="S198" i="53" s="1"/>
  <c r="P173" i="53"/>
  <c r="K77" i="57"/>
  <c r="V173" i="59"/>
  <c r="AQ173" i="59" s="1"/>
  <c r="BD173" i="59" s="1"/>
  <c r="E14" i="118"/>
  <c r="H13" i="118"/>
  <c r="K12" i="118"/>
  <c r="C12" i="118"/>
  <c r="F11" i="118"/>
  <c r="I10" i="118"/>
  <c r="L9" i="118"/>
  <c r="D9" i="118"/>
  <c r="G8" i="118"/>
  <c r="J7" i="118"/>
  <c r="B7" i="118"/>
  <c r="L14" i="118"/>
  <c r="D14" i="118"/>
  <c r="G13" i="118"/>
  <c r="J12" i="118"/>
  <c r="B12" i="118"/>
  <c r="E11" i="118"/>
  <c r="H10" i="118"/>
  <c r="K9" i="118"/>
  <c r="C9" i="118"/>
  <c r="F8" i="118"/>
  <c r="I7" i="118"/>
  <c r="K14" i="118"/>
  <c r="C14" i="118"/>
  <c r="F13" i="118"/>
  <c r="I12" i="118"/>
  <c r="L11" i="118"/>
  <c r="D11" i="118"/>
  <c r="G10" i="118"/>
  <c r="J9" i="118"/>
  <c r="B9" i="118"/>
  <c r="E8" i="118"/>
  <c r="H7" i="118"/>
  <c r="J14" i="118"/>
  <c r="B14" i="118"/>
  <c r="E13" i="118"/>
  <c r="H12" i="118"/>
  <c r="K11" i="118"/>
  <c r="C11" i="118"/>
  <c r="F10" i="118"/>
  <c r="I9" i="118"/>
  <c r="L8" i="118"/>
  <c r="D8" i="118"/>
  <c r="G7" i="118"/>
  <c r="I14" i="118"/>
  <c r="L13" i="118"/>
  <c r="D13" i="118"/>
  <c r="G12" i="118"/>
  <c r="J11" i="118"/>
  <c r="B11" i="118"/>
  <c r="E10" i="118"/>
  <c r="H9" i="118"/>
  <c r="K8" i="118"/>
  <c r="C8" i="118"/>
  <c r="F7" i="118"/>
  <c r="H14" i="118"/>
  <c r="K13" i="118"/>
  <c r="C13" i="118"/>
  <c r="F12" i="118"/>
  <c r="I11" i="118"/>
  <c r="L10" i="118"/>
  <c r="D10" i="118"/>
  <c r="G9" i="118"/>
  <c r="J8" i="118"/>
  <c r="B8" i="118"/>
  <c r="E7" i="118"/>
  <c r="G14" i="118"/>
  <c r="J13" i="118"/>
  <c r="B13" i="118"/>
  <c r="AE13" i="118" s="1"/>
  <c r="E12" i="118"/>
  <c r="H11" i="118"/>
  <c r="K10" i="118"/>
  <c r="C10" i="118"/>
  <c r="F9" i="118"/>
  <c r="I8" i="118"/>
  <c r="L7" i="118"/>
  <c r="D7" i="118"/>
  <c r="F14" i="118"/>
  <c r="I13" i="118"/>
  <c r="L12" i="118"/>
  <c r="D12" i="118"/>
  <c r="G11" i="118"/>
  <c r="J10" i="118"/>
  <c r="B10" i="118"/>
  <c r="E9" i="118"/>
  <c r="H8" i="118"/>
  <c r="K7" i="118"/>
  <c r="C7" i="118"/>
  <c r="P72" i="88"/>
  <c r="P100" i="88"/>
  <c r="P40" i="88"/>
  <c r="C22" i="70"/>
  <c r="H22" i="70" s="1"/>
  <c r="N23" i="70"/>
  <c r="C23" i="70" s="1"/>
  <c r="H23" i="70" s="1"/>
  <c r="N22" i="70"/>
  <c r="G5" i="98"/>
  <c r="F5" i="98"/>
  <c r="B5" i="98"/>
  <c r="D5" i="98" s="1"/>
  <c r="N22" i="68"/>
  <c r="A6" i="98"/>
  <c r="F6" i="98" s="1"/>
  <c r="C22" i="68"/>
  <c r="H22" i="68" s="1"/>
  <c r="N22" i="69"/>
  <c r="N23" i="68"/>
  <c r="C23" i="68" s="1"/>
  <c r="H23" i="68" s="1"/>
  <c r="A6" i="99"/>
  <c r="B5" i="99"/>
  <c r="E5" i="99"/>
  <c r="F5" i="99"/>
  <c r="G5" i="99"/>
  <c r="N24" i="69"/>
  <c r="C24" i="69" s="1"/>
  <c r="H24" i="69" s="1"/>
  <c r="C22" i="69"/>
  <c r="H22" i="69" s="1"/>
  <c r="N23" i="69"/>
  <c r="C23" i="69" s="1"/>
  <c r="H23" i="69" s="1"/>
  <c r="N24" i="68"/>
  <c r="C24" i="68" s="1"/>
  <c r="H24" i="68" s="1"/>
  <c r="C19" i="68"/>
  <c r="H19" i="68" s="1"/>
  <c r="N21" i="68"/>
  <c r="C21" i="68" s="1"/>
  <c r="H21" i="68" s="1"/>
  <c r="N20" i="68"/>
  <c r="C20" i="68" s="1"/>
  <c r="H20" i="68" s="1"/>
  <c r="N19" i="68"/>
  <c r="N20" i="63"/>
  <c r="C20" i="63" s="1"/>
  <c r="H20" i="63" s="1"/>
  <c r="C19" i="63"/>
  <c r="H19" i="63" s="1"/>
  <c r="N19" i="63"/>
  <c r="N21" i="63"/>
  <c r="C21" i="63" s="1"/>
  <c r="H21" i="63" s="1"/>
  <c r="N22" i="66"/>
  <c r="C22" i="66"/>
  <c r="H22" i="66" s="1"/>
  <c r="N23" i="66"/>
  <c r="C23" i="66" s="1"/>
  <c r="H23" i="66" s="1"/>
  <c r="N88" i="101"/>
  <c r="N86" i="101"/>
  <c r="P18" i="88"/>
  <c r="P38" i="88"/>
  <c r="P88" i="88"/>
  <c r="N55" i="101"/>
  <c r="P77" i="88"/>
  <c r="P23" i="88"/>
  <c r="N84" i="101"/>
  <c r="P103" i="88"/>
  <c r="P64" i="88"/>
  <c r="P12" i="88"/>
  <c r="P11" i="88"/>
  <c r="P80" i="88"/>
  <c r="N81" i="101"/>
  <c r="P16" i="88"/>
  <c r="P34" i="88"/>
  <c r="P48" i="88"/>
  <c r="P14" i="88"/>
  <c r="N71" i="101"/>
  <c r="P3" i="88"/>
  <c r="P59" i="88"/>
  <c r="P15" i="88"/>
  <c r="P104" i="88"/>
  <c r="P28" i="88"/>
  <c r="P50" i="88"/>
  <c r="P75" i="88"/>
  <c r="P89" i="88"/>
  <c r="P31" i="88"/>
  <c r="P97" i="88"/>
  <c r="P78" i="88"/>
  <c r="P69" i="88"/>
  <c r="P74" i="88"/>
  <c r="P92" i="88"/>
  <c r="N95" i="101"/>
  <c r="N98" i="101"/>
  <c r="P19" i="88"/>
  <c r="P46" i="88"/>
  <c r="P47" i="88"/>
  <c r="P81" i="88"/>
  <c r="P10" i="88"/>
  <c r="P39" i="88"/>
  <c r="N39" i="101"/>
  <c r="O39" i="101" s="1"/>
  <c r="P21" i="88"/>
  <c r="P29" i="88"/>
  <c r="P67" i="88"/>
  <c r="P68" i="88"/>
  <c r="P35" i="88"/>
  <c r="N103" i="101"/>
  <c r="P32" i="88"/>
  <c r="P27" i="88"/>
  <c r="P7" i="88"/>
  <c r="P24" i="88"/>
  <c r="P17" i="88"/>
  <c r="P41" i="88"/>
  <c r="P42" i="88"/>
  <c r="P83" i="88"/>
  <c r="P22" i="88"/>
  <c r="N53" i="101"/>
  <c r="N90" i="101"/>
  <c r="P91" i="88"/>
  <c r="P20" i="88"/>
  <c r="P58" i="88"/>
  <c r="P101" i="88"/>
  <c r="P62" i="88"/>
  <c r="P4" i="88"/>
  <c r="P43" i="88"/>
  <c r="P73" i="88"/>
  <c r="N70" i="101"/>
  <c r="N46" i="101"/>
  <c r="N59" i="101"/>
  <c r="N89" i="101"/>
  <c r="N51" i="101"/>
  <c r="N102" i="101"/>
  <c r="N73" i="101"/>
  <c r="N57" i="101"/>
  <c r="N49" i="101"/>
  <c r="P36" i="88"/>
  <c r="P63" i="88"/>
  <c r="C22" i="60"/>
  <c r="H22" i="60" s="1"/>
  <c r="P93" i="88"/>
  <c r="N22" i="60"/>
  <c r="P79" i="88"/>
  <c r="P51" i="88"/>
  <c r="N97" i="101"/>
  <c r="N65" i="101"/>
  <c r="N50" i="101"/>
  <c r="N38" i="101"/>
  <c r="N96" i="101"/>
  <c r="N68" i="101"/>
  <c r="N52" i="101"/>
  <c r="N79" i="101"/>
  <c r="N54" i="101"/>
  <c r="N83" i="101"/>
  <c r="N40" i="101"/>
  <c r="N66" i="101"/>
  <c r="N62" i="101"/>
  <c r="N72" i="101"/>
  <c r="N30" i="101"/>
  <c r="O30" i="101" s="1"/>
  <c r="N43" i="101"/>
  <c r="N42" i="101"/>
  <c r="N80" i="101"/>
  <c r="N36" i="101"/>
  <c r="N94" i="101"/>
  <c r="N64" i="101"/>
  <c r="N61" i="101"/>
  <c r="N34" i="101"/>
  <c r="N45" i="101"/>
  <c r="N56" i="101"/>
  <c r="N60" i="101"/>
  <c r="N82" i="101"/>
  <c r="N48" i="101"/>
  <c r="N91" i="101"/>
  <c r="N21" i="60"/>
  <c r="C21" i="60" s="1"/>
  <c r="H21" i="60" s="1"/>
  <c r="N104" i="101"/>
  <c r="N32" i="101"/>
  <c r="O32" i="101" s="1"/>
  <c r="N74" i="101"/>
  <c r="N75" i="101"/>
  <c r="N29" i="101"/>
  <c r="N69" i="101"/>
  <c r="N77" i="101"/>
  <c r="N76" i="101"/>
  <c r="N37" i="101"/>
  <c r="N87" i="101"/>
  <c r="N85" i="101"/>
  <c r="N100" i="101"/>
  <c r="N101" i="101"/>
  <c r="N41" i="101"/>
  <c r="N92" i="101"/>
  <c r="N78" i="101"/>
  <c r="N63" i="101"/>
  <c r="N28" i="101"/>
  <c r="O28" i="101" s="1"/>
  <c r="N93" i="101"/>
  <c r="N58" i="101"/>
  <c r="O58" i="101" s="1"/>
  <c r="N44" i="101"/>
  <c r="N99" i="101"/>
  <c r="N31" i="101"/>
  <c r="O31" i="101" s="1"/>
  <c r="N47" i="101"/>
  <c r="N35" i="101"/>
  <c r="N67" i="101"/>
  <c r="O28" i="100"/>
  <c r="N33" i="101"/>
  <c r="O33" i="101" s="1"/>
  <c r="P33" i="88"/>
  <c r="P60" i="88"/>
  <c r="P84" i="88"/>
  <c r="N24" i="60"/>
  <c r="C24" i="60" s="1"/>
  <c r="H24" i="60" s="1"/>
  <c r="P45" i="88"/>
  <c r="P71" i="88"/>
  <c r="P6" i="88"/>
  <c r="P61" i="88"/>
  <c r="N19" i="60"/>
  <c r="P25" i="88"/>
  <c r="P56" i="88"/>
  <c r="P99" i="88"/>
  <c r="P5" i="88"/>
  <c r="P95" i="88"/>
  <c r="P90" i="88"/>
  <c r="P82" i="88"/>
  <c r="C19" i="60"/>
  <c r="H19" i="60" s="1"/>
  <c r="P94" i="88"/>
  <c r="P76" i="88"/>
  <c r="P44" i="88"/>
  <c r="P98" i="88"/>
  <c r="P96" i="88"/>
  <c r="P70" i="88"/>
  <c r="P66" i="88"/>
  <c r="P26" i="88"/>
  <c r="P55" i="88"/>
  <c r="P52" i="88"/>
  <c r="P54" i="88"/>
  <c r="P9" i="88"/>
  <c r="P102" i="88"/>
  <c r="P8" i="88"/>
  <c r="P86" i="88"/>
  <c r="P85" i="88"/>
  <c r="P87" i="88"/>
  <c r="P2" i="88"/>
  <c r="P30" i="88"/>
  <c r="P49" i="88"/>
  <c r="P13" i="88"/>
  <c r="P65" i="88"/>
  <c r="P37" i="88"/>
  <c r="P53" i="88"/>
  <c r="N14" i="102"/>
  <c r="N20" i="102"/>
  <c r="N11" i="102"/>
  <c r="N22" i="102"/>
  <c r="K50" i="52"/>
  <c r="J91" i="52"/>
  <c r="J95" i="59"/>
  <c r="V120" i="59"/>
  <c r="V121" i="59" s="1"/>
  <c r="P121" i="59"/>
  <c r="G17" i="59"/>
  <c r="M147" i="59"/>
  <c r="M147" i="58"/>
  <c r="P69" i="58"/>
  <c r="S17" i="58"/>
  <c r="M69" i="59"/>
  <c r="G43" i="58"/>
  <c r="G121" i="58"/>
  <c r="S95" i="59"/>
  <c r="V69" i="59"/>
  <c r="AQ69" i="59" s="1"/>
  <c r="BD69" i="59" s="1"/>
  <c r="V94" i="59"/>
  <c r="V17" i="59"/>
  <c r="AQ17" i="59" s="1"/>
  <c r="BD17" i="59" s="1"/>
  <c r="V146" i="59"/>
  <c r="V147" i="59" s="1"/>
  <c r="Q103" i="52"/>
  <c r="H51" i="53"/>
  <c r="E155" i="53"/>
  <c r="P42" i="57"/>
  <c r="P43" i="57" s="1"/>
  <c r="G42" i="57"/>
  <c r="Q152" i="55"/>
  <c r="S137" i="55" s="1"/>
  <c r="Q25" i="53"/>
  <c r="S16" i="53" s="1"/>
  <c r="Q25" i="55"/>
  <c r="BM7" i="55"/>
  <c r="K77" i="53"/>
  <c r="M68" i="53" s="1"/>
  <c r="E22" i="55"/>
  <c r="Q51" i="53"/>
  <c r="K74" i="55"/>
  <c r="M59" i="55" s="1"/>
  <c r="N25" i="53"/>
  <c r="K103" i="55"/>
  <c r="H126" i="55"/>
  <c r="J111" i="55" s="1"/>
  <c r="U68" i="53"/>
  <c r="AS69" i="53" s="1"/>
  <c r="P69" i="53"/>
  <c r="H103" i="53"/>
  <c r="M28" i="102"/>
  <c r="M33" i="102"/>
  <c r="M32" i="102"/>
  <c r="M29" i="102"/>
  <c r="M30" i="102"/>
  <c r="M31" i="102"/>
  <c r="V117" i="53"/>
  <c r="V43" i="59"/>
  <c r="S59" i="58" l="1"/>
  <c r="Q77" i="58"/>
  <c r="S68" i="58" s="1"/>
  <c r="Q155" i="58"/>
  <c r="S146" i="58" s="1"/>
  <c r="V146" i="58" s="1"/>
  <c r="S137" i="58"/>
  <c r="S147" i="58" s="1"/>
  <c r="S163" i="58"/>
  <c r="Q181" i="58"/>
  <c r="S172" i="58" s="1"/>
  <c r="P33" i="58"/>
  <c r="N51" i="58"/>
  <c r="P42" i="58" s="1"/>
  <c r="P199" i="58"/>
  <c r="O16" i="58"/>
  <c r="P16" i="58" s="1"/>
  <c r="P17" i="58" s="1"/>
  <c r="N100" i="58"/>
  <c r="P163" i="58"/>
  <c r="N181" i="58"/>
  <c r="P172" i="58" s="1"/>
  <c r="P173" i="58" s="1"/>
  <c r="V65" i="58"/>
  <c r="M69" i="58"/>
  <c r="M199" i="58"/>
  <c r="M33" i="58"/>
  <c r="K51" i="58"/>
  <c r="M42" i="58" s="1"/>
  <c r="V42" i="58" s="1"/>
  <c r="M121" i="58"/>
  <c r="M95" i="58"/>
  <c r="M163" i="58"/>
  <c r="V163" i="58" s="1"/>
  <c r="K181" i="58"/>
  <c r="M172" i="58" s="1"/>
  <c r="J199" i="58"/>
  <c r="I16" i="58"/>
  <c r="J16" i="58" s="1"/>
  <c r="H126" i="58"/>
  <c r="J7" i="58"/>
  <c r="J43" i="58"/>
  <c r="V36" i="58"/>
  <c r="J147" i="58"/>
  <c r="V137" i="58"/>
  <c r="V147" i="58" s="1"/>
  <c r="J59" i="58"/>
  <c r="H77" i="58"/>
  <c r="J68" i="58" s="1"/>
  <c r="V166" i="58"/>
  <c r="G173" i="58"/>
  <c r="G199" i="58"/>
  <c r="V189" i="58"/>
  <c r="V199" i="58" s="1"/>
  <c r="AQ199" i="58" s="1"/>
  <c r="BD199" i="58" s="1"/>
  <c r="V7" i="58"/>
  <c r="E77" i="58"/>
  <c r="G68" i="58" s="1"/>
  <c r="V68" i="58" s="1"/>
  <c r="G59" i="58"/>
  <c r="U16" i="58"/>
  <c r="AS17" i="58" s="1"/>
  <c r="G16" i="58"/>
  <c r="V88" i="58"/>
  <c r="G95" i="58"/>
  <c r="M147" i="57"/>
  <c r="K181" i="53"/>
  <c r="M172" i="53" s="1"/>
  <c r="U120" i="53"/>
  <c r="AS121" i="53" s="1"/>
  <c r="V140" i="57"/>
  <c r="S65" i="52"/>
  <c r="P7" i="57"/>
  <c r="P17" i="57" s="1"/>
  <c r="N129" i="57"/>
  <c r="P120" i="57" s="1"/>
  <c r="P121" i="57" s="1"/>
  <c r="U146" i="57"/>
  <c r="AS147" i="57" s="1"/>
  <c r="M173" i="57"/>
  <c r="V163" i="57"/>
  <c r="V85" i="57"/>
  <c r="Q103" i="57"/>
  <c r="S94" i="57" s="1"/>
  <c r="S95" i="57" s="1"/>
  <c r="G62" i="57"/>
  <c r="V62" i="57" s="1"/>
  <c r="E77" i="57"/>
  <c r="G68" i="57" s="1"/>
  <c r="Q155" i="57"/>
  <c r="S146" i="57" s="1"/>
  <c r="S147" i="57" s="1"/>
  <c r="H103" i="57"/>
  <c r="J94" i="57" s="1"/>
  <c r="J95" i="57" s="1"/>
  <c r="V65" i="57"/>
  <c r="M42" i="53"/>
  <c r="V143" i="53"/>
  <c r="U16" i="53"/>
  <c r="AS17" i="53" s="1"/>
  <c r="M65" i="52"/>
  <c r="V65" i="52" s="1"/>
  <c r="B153" i="84"/>
  <c r="G169" i="84"/>
  <c r="G170" i="84" s="1"/>
  <c r="B177" i="84"/>
  <c r="E169" i="84"/>
  <c r="E170" i="84" s="1"/>
  <c r="M169" i="84"/>
  <c r="M170" i="84" s="1"/>
  <c r="I169" i="84"/>
  <c r="I170" i="84" s="1"/>
  <c r="K169" i="84"/>
  <c r="K170" i="84" s="1"/>
  <c r="L154" i="84"/>
  <c r="H154" i="84"/>
  <c r="F154" i="84"/>
  <c r="N154" i="84"/>
  <c r="J154" i="84"/>
  <c r="M68" i="57"/>
  <c r="M69" i="57" s="1"/>
  <c r="S68" i="57"/>
  <c r="S69" i="57" s="1"/>
  <c r="E144" i="45"/>
  <c r="E145" i="45" s="1"/>
  <c r="G144" i="45"/>
  <c r="G145" i="45" s="1"/>
  <c r="B152" i="45"/>
  <c r="M144" i="45"/>
  <c r="M145" i="45" s="1"/>
  <c r="F129" i="45"/>
  <c r="B128" i="45"/>
  <c r="I144" i="45"/>
  <c r="I145" i="45" s="1"/>
  <c r="K144" i="45"/>
  <c r="K145" i="45" s="1"/>
  <c r="H129" i="45"/>
  <c r="N129" i="45"/>
  <c r="J129" i="45"/>
  <c r="L129" i="45"/>
  <c r="P16" i="53"/>
  <c r="O68" i="52"/>
  <c r="P68" i="52" s="1"/>
  <c r="Q51" i="55"/>
  <c r="S42" i="55" s="1"/>
  <c r="S33" i="55"/>
  <c r="O64" i="101"/>
  <c r="P199" i="55"/>
  <c r="G85" i="55"/>
  <c r="M7" i="55"/>
  <c r="O80" i="101"/>
  <c r="J65" i="55"/>
  <c r="M65" i="55"/>
  <c r="I68" i="55"/>
  <c r="U65" i="55"/>
  <c r="L68" i="55"/>
  <c r="R94" i="55"/>
  <c r="S94" i="55" s="1"/>
  <c r="U146" i="55"/>
  <c r="AS147" i="55" s="1"/>
  <c r="V143" i="55"/>
  <c r="E103" i="55"/>
  <c r="G88" i="55"/>
  <c r="V88" i="55" s="1"/>
  <c r="H181" i="55"/>
  <c r="J172" i="55" s="1"/>
  <c r="J173" i="55" s="1"/>
  <c r="N48" i="55"/>
  <c r="P33" i="55" s="1"/>
  <c r="F94" i="55"/>
  <c r="G65" i="55"/>
  <c r="F68" i="55"/>
  <c r="G7" i="55"/>
  <c r="L94" i="55"/>
  <c r="M94" i="55" s="1"/>
  <c r="I16" i="55"/>
  <c r="I94" i="55"/>
  <c r="F16" i="55"/>
  <c r="S120" i="53"/>
  <c r="S121" i="53" s="1"/>
  <c r="J69" i="53"/>
  <c r="P85" i="53"/>
  <c r="V85" i="53" s="1"/>
  <c r="N103" i="53"/>
  <c r="P94" i="53" s="1"/>
  <c r="V7" i="53"/>
  <c r="V59" i="53"/>
  <c r="P42" i="53"/>
  <c r="P36" i="53"/>
  <c r="V36" i="53" s="1"/>
  <c r="J16" i="53"/>
  <c r="J17" i="53" s="1"/>
  <c r="E181" i="53"/>
  <c r="G172" i="53" s="1"/>
  <c r="G173" i="53" s="1"/>
  <c r="H155" i="53"/>
  <c r="J146" i="53" s="1"/>
  <c r="U146" i="53"/>
  <c r="AS147" i="53" s="1"/>
  <c r="E51" i="53"/>
  <c r="G42" i="53" s="1"/>
  <c r="G146" i="53"/>
  <c r="G147" i="53" s="1"/>
  <c r="O12" i="101"/>
  <c r="V140" i="53"/>
  <c r="O40" i="101"/>
  <c r="E103" i="53"/>
  <c r="G94" i="53" s="1"/>
  <c r="O17" i="101"/>
  <c r="O9" i="101"/>
  <c r="A9" i="120"/>
  <c r="A10" i="120" s="1"/>
  <c r="E8" i="120"/>
  <c r="B8" i="120"/>
  <c r="D8" i="120" s="1"/>
  <c r="G8" i="120"/>
  <c r="O103" i="101"/>
  <c r="J94" i="53"/>
  <c r="U33" i="52"/>
  <c r="N152" i="52"/>
  <c r="N155" i="52" s="1"/>
  <c r="P146" i="52" s="1"/>
  <c r="U66" i="52"/>
  <c r="M117" i="52"/>
  <c r="H51" i="52"/>
  <c r="O45" i="101"/>
  <c r="O73" i="101"/>
  <c r="G117" i="52"/>
  <c r="O99" i="101"/>
  <c r="O75" i="101"/>
  <c r="O83" i="101"/>
  <c r="O76" i="101"/>
  <c r="O102" i="101"/>
  <c r="O66" i="101"/>
  <c r="O77" i="101"/>
  <c r="O96" i="101"/>
  <c r="O51" i="101"/>
  <c r="O69" i="101"/>
  <c r="O44" i="101"/>
  <c r="O50" i="101"/>
  <c r="O68" i="101"/>
  <c r="U146" i="52"/>
  <c r="AS147" i="52" s="1"/>
  <c r="O6" i="101"/>
  <c r="O34" i="101"/>
  <c r="O5" i="101"/>
  <c r="O82" i="101"/>
  <c r="O81" i="101"/>
  <c r="O59" i="101"/>
  <c r="O67" i="101"/>
  <c r="O87" i="101"/>
  <c r="O79" i="101"/>
  <c r="O57" i="101"/>
  <c r="O90" i="101"/>
  <c r="O35" i="101"/>
  <c r="O36" i="101"/>
  <c r="O38" i="101"/>
  <c r="E129" i="52"/>
  <c r="O37" i="101"/>
  <c r="J189" i="52"/>
  <c r="V189" i="52" s="1"/>
  <c r="H207" i="52"/>
  <c r="J198" i="52" s="1"/>
  <c r="G111" i="52"/>
  <c r="O52" i="101"/>
  <c r="O47" i="101"/>
  <c r="O53" i="101"/>
  <c r="O94" i="101"/>
  <c r="O46" i="101"/>
  <c r="O104" i="101"/>
  <c r="O88" i="101"/>
  <c r="O101" i="101"/>
  <c r="O100" i="101"/>
  <c r="J117" i="52"/>
  <c r="E154" i="52"/>
  <c r="G143" i="52" s="1"/>
  <c r="V143" i="52" s="1"/>
  <c r="O24" i="101"/>
  <c r="O23" i="101"/>
  <c r="O25" i="101"/>
  <c r="O21" i="101"/>
  <c r="O98" i="101"/>
  <c r="O48" i="101"/>
  <c r="P59" i="52"/>
  <c r="O60" i="101"/>
  <c r="O85" i="101"/>
  <c r="O56" i="101"/>
  <c r="O54" i="101"/>
  <c r="O65" i="101"/>
  <c r="O74" i="101"/>
  <c r="O97" i="101"/>
  <c r="O43" i="101"/>
  <c r="O89" i="101"/>
  <c r="O78" i="101"/>
  <c r="O72" i="101"/>
  <c r="O61" i="101"/>
  <c r="O63" i="101"/>
  <c r="O92" i="101"/>
  <c r="O91" i="101"/>
  <c r="O62" i="101"/>
  <c r="O86" i="101"/>
  <c r="U60" i="52"/>
  <c r="K178" i="52"/>
  <c r="M163" i="52" s="1"/>
  <c r="V163" i="52" s="1"/>
  <c r="O19" i="101"/>
  <c r="O18" i="101"/>
  <c r="J33" i="52"/>
  <c r="O16" i="101"/>
  <c r="O15" i="101"/>
  <c r="O13" i="101"/>
  <c r="O10" i="101"/>
  <c r="M63" i="102"/>
  <c r="H51" i="55"/>
  <c r="J42" i="55" s="1"/>
  <c r="E77" i="53"/>
  <c r="G68" i="53" s="1"/>
  <c r="V68" i="53" s="1"/>
  <c r="M74" i="102"/>
  <c r="F120" i="52"/>
  <c r="M96" i="102"/>
  <c r="M104" i="102"/>
  <c r="M57" i="102"/>
  <c r="M55" i="102"/>
  <c r="M86" i="102"/>
  <c r="M58" i="102"/>
  <c r="N24" i="102"/>
  <c r="N24" i="103" s="1"/>
  <c r="M69" i="102"/>
  <c r="M41" i="102"/>
  <c r="M66" i="102"/>
  <c r="N6" i="102"/>
  <c r="N6" i="103" s="1"/>
  <c r="M68" i="102"/>
  <c r="M37" i="102"/>
  <c r="M42" i="102"/>
  <c r="M48" i="102"/>
  <c r="M65" i="102"/>
  <c r="M39" i="102"/>
  <c r="M93" i="102"/>
  <c r="M98" i="102"/>
  <c r="M43" i="102"/>
  <c r="M59" i="102"/>
  <c r="M75" i="102"/>
  <c r="M49" i="102"/>
  <c r="M52" i="102"/>
  <c r="M87" i="102"/>
  <c r="M34" i="102"/>
  <c r="M64" i="102"/>
  <c r="M61" i="102"/>
  <c r="M85" i="102"/>
  <c r="M40" i="102"/>
  <c r="M73" i="102"/>
  <c r="M47" i="102"/>
  <c r="M71" i="102"/>
  <c r="M82" i="102"/>
  <c r="M84" i="102"/>
  <c r="M88" i="102"/>
  <c r="M35" i="102"/>
  <c r="M80" i="102"/>
  <c r="M38" i="102"/>
  <c r="M91" i="102"/>
  <c r="M62" i="102"/>
  <c r="M97" i="102"/>
  <c r="M101" i="102"/>
  <c r="M70" i="102"/>
  <c r="M45" i="102"/>
  <c r="M54" i="102"/>
  <c r="M77" i="102"/>
  <c r="M94" i="102"/>
  <c r="M92" i="102"/>
  <c r="M99" i="102"/>
  <c r="N18" i="102"/>
  <c r="N18" i="103" s="1"/>
  <c r="N8" i="103"/>
  <c r="N8" i="104" s="1"/>
  <c r="M36" i="102"/>
  <c r="M67" i="102"/>
  <c r="M102" i="102"/>
  <c r="M72" i="102"/>
  <c r="M60" i="102"/>
  <c r="M95" i="102"/>
  <c r="M51" i="102"/>
  <c r="M78" i="102"/>
  <c r="M81" i="102"/>
  <c r="M76" i="102"/>
  <c r="M79" i="102"/>
  <c r="M56" i="102"/>
  <c r="M53" i="102"/>
  <c r="M90" i="102"/>
  <c r="M100" i="102"/>
  <c r="M89" i="102"/>
  <c r="M103" i="102"/>
  <c r="M50" i="102"/>
  <c r="M83" i="102"/>
  <c r="M46" i="102"/>
  <c r="M44" i="102"/>
  <c r="N4" i="102"/>
  <c r="O4" i="101"/>
  <c r="N2" i="103"/>
  <c r="N2" i="104" s="1"/>
  <c r="O41" i="101"/>
  <c r="O70" i="101"/>
  <c r="P99" i="100"/>
  <c r="O42" i="101"/>
  <c r="O49" i="101"/>
  <c r="O71" i="101"/>
  <c r="O55" i="101"/>
  <c r="O93" i="101"/>
  <c r="O95" i="101"/>
  <c r="O84" i="101"/>
  <c r="N5" i="102"/>
  <c r="H100" i="52"/>
  <c r="J85" i="52" s="1"/>
  <c r="L120" i="52"/>
  <c r="P33" i="52"/>
  <c r="S59" i="52"/>
  <c r="N26" i="102"/>
  <c r="O26" i="102" s="1"/>
  <c r="N19" i="102"/>
  <c r="N21" i="102"/>
  <c r="N23" i="102"/>
  <c r="N7" i="102"/>
  <c r="N7" i="103" s="1"/>
  <c r="N16" i="102"/>
  <c r="N25" i="102"/>
  <c r="N15" i="102"/>
  <c r="N17" i="102"/>
  <c r="N12" i="102"/>
  <c r="N9" i="102"/>
  <c r="N9" i="103" s="1"/>
  <c r="N10" i="102"/>
  <c r="N27" i="102"/>
  <c r="O27" i="102" s="1"/>
  <c r="M19" i="102"/>
  <c r="M8" i="102"/>
  <c r="O8" i="102" s="1"/>
  <c r="M18" i="102"/>
  <c r="M42" i="55"/>
  <c r="M43" i="55" s="1"/>
  <c r="V140" i="55"/>
  <c r="V111" i="57"/>
  <c r="S85" i="55"/>
  <c r="G194" i="116"/>
  <c r="G195" i="116" s="1"/>
  <c r="H179" i="116"/>
  <c r="I194" i="116"/>
  <c r="I195" i="116" s="1"/>
  <c r="L179" i="116"/>
  <c r="J179" i="116"/>
  <c r="F179" i="116"/>
  <c r="K194" i="116"/>
  <c r="K195" i="116" s="1"/>
  <c r="B178" i="116"/>
  <c r="M194" i="116"/>
  <c r="M195" i="116" s="1"/>
  <c r="N179" i="116"/>
  <c r="E194" i="116"/>
  <c r="E195" i="116" s="1"/>
  <c r="G169" i="41"/>
  <c r="G170" i="41" s="1"/>
  <c r="F154" i="41"/>
  <c r="I169" i="41"/>
  <c r="I170" i="41" s="1"/>
  <c r="B177" i="41"/>
  <c r="H154" i="41"/>
  <c r="K169" i="41"/>
  <c r="K170" i="41" s="1"/>
  <c r="J154" i="41"/>
  <c r="M169" i="41"/>
  <c r="M170" i="41" s="1"/>
  <c r="L154" i="41"/>
  <c r="N154" i="41"/>
  <c r="E169" i="41"/>
  <c r="E170" i="41" s="1"/>
  <c r="B153" i="41"/>
  <c r="G169" i="87"/>
  <c r="G170" i="87" s="1"/>
  <c r="F154" i="87"/>
  <c r="B177" i="87"/>
  <c r="I169" i="87"/>
  <c r="I170" i="87" s="1"/>
  <c r="H154" i="87"/>
  <c r="M169" i="87"/>
  <c r="M170" i="87" s="1"/>
  <c r="K169" i="87"/>
  <c r="K170" i="87" s="1"/>
  <c r="J154" i="87"/>
  <c r="B153" i="87"/>
  <c r="N154" i="87"/>
  <c r="E169" i="87"/>
  <c r="E170" i="87" s="1"/>
  <c r="L154" i="87"/>
  <c r="L42" i="52"/>
  <c r="G6" i="98"/>
  <c r="G59" i="52"/>
  <c r="U34" i="52"/>
  <c r="L179" i="85"/>
  <c r="N179" i="85"/>
  <c r="M194" i="85"/>
  <c r="M195" i="85" s="1"/>
  <c r="B178" i="85"/>
  <c r="G194" i="85"/>
  <c r="G195" i="85" s="1"/>
  <c r="F179" i="85"/>
  <c r="J179" i="85"/>
  <c r="I194" i="85"/>
  <c r="I195" i="85" s="1"/>
  <c r="H179" i="85"/>
  <c r="E194" i="85"/>
  <c r="E195" i="85" s="1"/>
  <c r="K194" i="85"/>
  <c r="K195" i="85" s="1"/>
  <c r="M2" i="102"/>
  <c r="O2" i="102" s="1"/>
  <c r="M11" i="102"/>
  <c r="O11" i="102" s="1"/>
  <c r="M4" i="102"/>
  <c r="M20" i="102"/>
  <c r="O20" i="102" s="1"/>
  <c r="M13" i="102"/>
  <c r="O13" i="102" s="1"/>
  <c r="M9" i="102"/>
  <c r="M14" i="102"/>
  <c r="O14" i="102" s="1"/>
  <c r="M7" i="102"/>
  <c r="M3" i="102"/>
  <c r="O3" i="102" s="1"/>
  <c r="M25" i="102"/>
  <c r="M15" i="102"/>
  <c r="M12" i="102"/>
  <c r="M22" i="102"/>
  <c r="O22" i="102" s="1"/>
  <c r="M16" i="102"/>
  <c r="M27" i="102"/>
  <c r="M5" i="102"/>
  <c r="M10" i="102"/>
  <c r="M21" i="102"/>
  <c r="M23" i="102"/>
  <c r="M6" i="102"/>
  <c r="M17" i="102"/>
  <c r="M24" i="102"/>
  <c r="O42" i="52"/>
  <c r="P42" i="52" s="1"/>
  <c r="B152" i="86"/>
  <c r="M144" i="86"/>
  <c r="M145" i="86" s="1"/>
  <c r="B128" i="86"/>
  <c r="E144" i="86"/>
  <c r="E145" i="86" s="1"/>
  <c r="G144" i="86"/>
  <c r="G145" i="86" s="1"/>
  <c r="J129" i="86"/>
  <c r="K144" i="86"/>
  <c r="K145" i="86" s="1"/>
  <c r="N129" i="86"/>
  <c r="F129" i="86"/>
  <c r="H129" i="86"/>
  <c r="I144" i="86"/>
  <c r="I145" i="86" s="1"/>
  <c r="L129" i="86"/>
  <c r="S42" i="53"/>
  <c r="S43" i="53" s="1"/>
  <c r="V39" i="53"/>
  <c r="M26" i="102"/>
  <c r="U59" i="52"/>
  <c r="M16" i="57"/>
  <c r="M94" i="57"/>
  <c r="M95" i="57" s="1"/>
  <c r="L16" i="55"/>
  <c r="M16" i="55" s="1"/>
  <c r="I120" i="52"/>
  <c r="J120" i="52" s="1"/>
  <c r="S36" i="52"/>
  <c r="H22" i="52"/>
  <c r="J7" i="52" s="1"/>
  <c r="K152" i="52"/>
  <c r="K155" i="52" s="1"/>
  <c r="M146" i="52" s="1"/>
  <c r="U37" i="52"/>
  <c r="M36" i="52"/>
  <c r="U117" i="52"/>
  <c r="O94" i="55"/>
  <c r="S7" i="55"/>
  <c r="V117" i="55"/>
  <c r="U85" i="55"/>
  <c r="M85" i="55"/>
  <c r="J7" i="55"/>
  <c r="H181" i="53"/>
  <c r="J172" i="53" s="1"/>
  <c r="J173" i="53" s="1"/>
  <c r="I42" i="52"/>
  <c r="K102" i="52"/>
  <c r="M91" i="52" s="1"/>
  <c r="G173" i="52"/>
  <c r="N3" i="103"/>
  <c r="N3" i="104" s="1"/>
  <c r="K207" i="57"/>
  <c r="M198" i="57" s="1"/>
  <c r="M199" i="57" s="1"/>
  <c r="U120" i="57"/>
  <c r="AS121" i="57" s="1"/>
  <c r="V7" i="57"/>
  <c r="J120" i="57"/>
  <c r="J121" i="57" s="1"/>
  <c r="P59" i="57"/>
  <c r="N77" i="57"/>
  <c r="P68" i="57" s="1"/>
  <c r="J33" i="57"/>
  <c r="H51" i="57"/>
  <c r="J42" i="57" s="1"/>
  <c r="P95" i="57"/>
  <c r="V91" i="57"/>
  <c r="M13" i="57"/>
  <c r="P169" i="57"/>
  <c r="N181" i="57"/>
  <c r="P172" i="57" s="1"/>
  <c r="J143" i="57"/>
  <c r="H155" i="57"/>
  <c r="J146" i="57" s="1"/>
  <c r="G94" i="57"/>
  <c r="G95" i="57" s="1"/>
  <c r="U94" i="57"/>
  <c r="AS95" i="57" s="1"/>
  <c r="G195" i="57"/>
  <c r="E207" i="57"/>
  <c r="G198" i="57" s="1"/>
  <c r="J69" i="57"/>
  <c r="K51" i="57"/>
  <c r="M42" i="57" s="1"/>
  <c r="M36" i="57"/>
  <c r="V36" i="57" s="1"/>
  <c r="M117" i="57"/>
  <c r="K129" i="57"/>
  <c r="M120" i="57" s="1"/>
  <c r="J192" i="57"/>
  <c r="H207" i="57"/>
  <c r="J198" i="57" s="1"/>
  <c r="G143" i="57"/>
  <c r="E155" i="57"/>
  <c r="G146" i="57" s="1"/>
  <c r="U68" i="57"/>
  <c r="AS69" i="57" s="1"/>
  <c r="A6" i="97"/>
  <c r="E6" i="97" s="1"/>
  <c r="G5" i="97"/>
  <c r="B5" i="97"/>
  <c r="E5" i="97"/>
  <c r="F5" i="97"/>
  <c r="S17" i="57"/>
  <c r="U16" i="57"/>
  <c r="AS17" i="57" s="1"/>
  <c r="G16" i="57"/>
  <c r="G17" i="57" s="1"/>
  <c r="S33" i="57"/>
  <c r="Q51" i="57"/>
  <c r="S42" i="57" s="1"/>
  <c r="J169" i="57"/>
  <c r="H181" i="57"/>
  <c r="J172" i="57" s="1"/>
  <c r="G117" i="57"/>
  <c r="E129" i="57"/>
  <c r="G120" i="57" s="1"/>
  <c r="P137" i="57"/>
  <c r="N155" i="57"/>
  <c r="P146" i="57" s="1"/>
  <c r="P10" i="55"/>
  <c r="V10" i="55" s="1"/>
  <c r="H25" i="55"/>
  <c r="P59" i="55"/>
  <c r="U120" i="55"/>
  <c r="AS121" i="55" s="1"/>
  <c r="G62" i="55"/>
  <c r="E77" i="55"/>
  <c r="P137" i="55"/>
  <c r="N155" i="55"/>
  <c r="P146" i="55" s="1"/>
  <c r="G33" i="55"/>
  <c r="E51" i="55"/>
  <c r="G42" i="55" s="1"/>
  <c r="J189" i="55"/>
  <c r="H207" i="55"/>
  <c r="J198" i="55" s="1"/>
  <c r="E155" i="55"/>
  <c r="G146" i="55" s="1"/>
  <c r="G147" i="55" s="1"/>
  <c r="Q181" i="55"/>
  <c r="S172" i="55" s="1"/>
  <c r="S173" i="55" s="1"/>
  <c r="P85" i="55"/>
  <c r="V13" i="55"/>
  <c r="P16" i="55"/>
  <c r="K129" i="55"/>
  <c r="M120" i="55" s="1"/>
  <c r="M121" i="55" s="1"/>
  <c r="E207" i="55"/>
  <c r="G198" i="55" s="1"/>
  <c r="G199" i="55" s="1"/>
  <c r="P68" i="55"/>
  <c r="P91" i="55"/>
  <c r="V91" i="55" s="1"/>
  <c r="N103" i="55"/>
  <c r="M192" i="55"/>
  <c r="K207" i="55"/>
  <c r="M198" i="55" s="1"/>
  <c r="U42" i="55"/>
  <c r="AS43" i="55" s="1"/>
  <c r="H77" i="55"/>
  <c r="J62" i="55"/>
  <c r="G114" i="55"/>
  <c r="E129" i="55"/>
  <c r="G120" i="55" s="1"/>
  <c r="K152" i="55"/>
  <c r="M137" i="55" s="1"/>
  <c r="E181" i="55"/>
  <c r="G172" i="55" s="1"/>
  <c r="S189" i="55"/>
  <c r="S199" i="55" s="1"/>
  <c r="E5" i="96"/>
  <c r="G163" i="55"/>
  <c r="U7" i="55"/>
  <c r="G5" i="96"/>
  <c r="R16" i="55"/>
  <c r="S16" i="55" s="1"/>
  <c r="A6" i="96"/>
  <c r="B5" i="96"/>
  <c r="D5" i="96" s="1"/>
  <c r="F5" i="96"/>
  <c r="P7" i="55"/>
  <c r="P114" i="55"/>
  <c r="N129" i="55"/>
  <c r="P120" i="55" s="1"/>
  <c r="S95" i="53"/>
  <c r="V88" i="53"/>
  <c r="Q181" i="53"/>
  <c r="S172" i="53" s="1"/>
  <c r="S173" i="53" s="1"/>
  <c r="U94" i="53"/>
  <c r="AS95" i="53" s="1"/>
  <c r="P114" i="53"/>
  <c r="V114" i="53" s="1"/>
  <c r="N129" i="53"/>
  <c r="P120" i="53" s="1"/>
  <c r="G10" i="53"/>
  <c r="V10" i="53" s="1"/>
  <c r="E25" i="53"/>
  <c r="G16" i="53" s="1"/>
  <c r="N155" i="53"/>
  <c r="P146" i="53" s="1"/>
  <c r="M43" i="53"/>
  <c r="K103" i="53"/>
  <c r="M94" i="53" s="1"/>
  <c r="G5" i="95"/>
  <c r="U42" i="53"/>
  <c r="AS43" i="53" s="1"/>
  <c r="J195" i="53"/>
  <c r="V195" i="53" s="1"/>
  <c r="H207" i="53"/>
  <c r="J198" i="53" s="1"/>
  <c r="V198" i="53" s="1"/>
  <c r="F5" i="95"/>
  <c r="B5" i="95"/>
  <c r="C5" i="95" s="1"/>
  <c r="E5" i="95"/>
  <c r="A6" i="95"/>
  <c r="B6" i="95" s="1"/>
  <c r="D6" i="95" s="1"/>
  <c r="P199" i="53"/>
  <c r="H181" i="52"/>
  <c r="J172" i="52" s="1"/>
  <c r="J173" i="52" s="1"/>
  <c r="K25" i="52"/>
  <c r="M16" i="52" s="1"/>
  <c r="M17" i="52" s="1"/>
  <c r="K100" i="52"/>
  <c r="M85" i="52" s="1"/>
  <c r="U112" i="52"/>
  <c r="M111" i="52"/>
  <c r="Q48" i="52"/>
  <c r="S33" i="52" s="1"/>
  <c r="R120" i="52"/>
  <c r="N22" i="52"/>
  <c r="O120" i="52"/>
  <c r="S111" i="52"/>
  <c r="E77" i="52"/>
  <c r="U94" i="52"/>
  <c r="AS95" i="52" s="1"/>
  <c r="M114" i="52"/>
  <c r="V114" i="52" s="1"/>
  <c r="K129" i="52"/>
  <c r="P192" i="52"/>
  <c r="N207" i="52"/>
  <c r="P198" i="52" s="1"/>
  <c r="S140" i="52"/>
  <c r="V140" i="52" s="1"/>
  <c r="Q155" i="52"/>
  <c r="S146" i="52" s="1"/>
  <c r="R68" i="52"/>
  <c r="S68" i="52" s="1"/>
  <c r="V13" i="52"/>
  <c r="S62" i="52"/>
  <c r="Q205" i="52"/>
  <c r="E101" i="52"/>
  <c r="G88" i="52" s="1"/>
  <c r="G62" i="52"/>
  <c r="U62" i="52"/>
  <c r="L68" i="52"/>
  <c r="M68" i="52" s="1"/>
  <c r="M59" i="52"/>
  <c r="M62" i="52"/>
  <c r="K179" i="52"/>
  <c r="M166" i="52" s="1"/>
  <c r="F68" i="52"/>
  <c r="K207" i="52"/>
  <c r="M198" i="52" s="1"/>
  <c r="N179" i="52"/>
  <c r="P166" i="52" s="1"/>
  <c r="N180" i="52"/>
  <c r="P169" i="52" s="1"/>
  <c r="P39" i="52"/>
  <c r="U40" i="52"/>
  <c r="S39" i="52"/>
  <c r="Q128" i="52"/>
  <c r="R42" i="52"/>
  <c r="U36" i="52"/>
  <c r="E23" i="52"/>
  <c r="G10" i="52" s="1"/>
  <c r="V10" i="52" s="1"/>
  <c r="G7" i="52"/>
  <c r="H101" i="52"/>
  <c r="J88" i="52" s="1"/>
  <c r="J36" i="52"/>
  <c r="P45" i="100"/>
  <c r="P88" i="52"/>
  <c r="N103" i="52"/>
  <c r="P94" i="52" s="1"/>
  <c r="P111" i="52"/>
  <c r="N129" i="52"/>
  <c r="U16" i="52"/>
  <c r="AS17" i="52" s="1"/>
  <c r="G36" i="52"/>
  <c r="E51" i="52"/>
  <c r="G42" i="52" s="1"/>
  <c r="S169" i="52"/>
  <c r="Q181" i="52"/>
  <c r="S172" i="52" s="1"/>
  <c r="J59" i="52"/>
  <c r="M7" i="118"/>
  <c r="O7" i="118" s="1"/>
  <c r="V195" i="52"/>
  <c r="V192" i="53"/>
  <c r="S199" i="53"/>
  <c r="V166" i="53"/>
  <c r="V189" i="53"/>
  <c r="G199" i="53"/>
  <c r="M173" i="53"/>
  <c r="V163" i="53"/>
  <c r="M163" i="55"/>
  <c r="K181" i="55"/>
  <c r="M172" i="55" s="1"/>
  <c r="V166" i="55"/>
  <c r="M14" i="118"/>
  <c r="O14" i="118" s="1"/>
  <c r="N13" i="118"/>
  <c r="AB13" i="118" s="1"/>
  <c r="M11" i="118"/>
  <c r="O11" i="118" s="1"/>
  <c r="N9" i="118"/>
  <c r="AB9" i="118" s="1"/>
  <c r="N10" i="118"/>
  <c r="AB10" i="118" s="1"/>
  <c r="N7" i="118"/>
  <c r="N14" i="118"/>
  <c r="AB14" i="118" s="1"/>
  <c r="AE9" i="118"/>
  <c r="AE10" i="118"/>
  <c r="N11" i="118"/>
  <c r="AB11" i="118" s="1"/>
  <c r="M9" i="118"/>
  <c r="O9" i="118" s="1"/>
  <c r="M12" i="118"/>
  <c r="O12" i="118" s="1"/>
  <c r="N8" i="118"/>
  <c r="AB8" i="118" s="1"/>
  <c r="AE14" i="118"/>
  <c r="M8" i="118"/>
  <c r="O8" i="118" s="1"/>
  <c r="M13" i="118"/>
  <c r="O13" i="118" s="1"/>
  <c r="AE11" i="118"/>
  <c r="AE12" i="118"/>
  <c r="N12" i="118"/>
  <c r="AB12" i="118" s="1"/>
  <c r="M10" i="118"/>
  <c r="O10" i="118" s="1"/>
  <c r="AE8" i="118"/>
  <c r="C5" i="98"/>
  <c r="A7" i="98"/>
  <c r="B7" i="98" s="1"/>
  <c r="B6" i="98"/>
  <c r="D6" i="98" s="1"/>
  <c r="E6" i="98"/>
  <c r="C5" i="99"/>
  <c r="D5" i="99"/>
  <c r="B6" i="99"/>
  <c r="E6" i="99"/>
  <c r="F6" i="99"/>
  <c r="A7" i="99"/>
  <c r="G6" i="99"/>
  <c r="N30" i="102"/>
  <c r="O30" i="102" s="1"/>
  <c r="J85" i="55"/>
  <c r="H103" i="55"/>
  <c r="S111" i="55"/>
  <c r="Q129" i="55"/>
  <c r="S120" i="55" s="1"/>
  <c r="N13" i="103"/>
  <c r="P87" i="100"/>
  <c r="P58" i="100"/>
  <c r="P94" i="100"/>
  <c r="F5" i="88"/>
  <c r="N32" i="102"/>
  <c r="N59" i="102"/>
  <c r="N52" i="102"/>
  <c r="N42" i="102"/>
  <c r="N73" i="102"/>
  <c r="N46" i="102"/>
  <c r="N34" i="102"/>
  <c r="N66" i="102"/>
  <c r="N62" i="102"/>
  <c r="N40" i="102"/>
  <c r="N45" i="102"/>
  <c r="N60" i="102"/>
  <c r="N72" i="102"/>
  <c r="N82" i="102"/>
  <c r="N93" i="102"/>
  <c r="N38" i="102"/>
  <c r="N36" i="102"/>
  <c r="N50" i="102"/>
  <c r="N35" i="102"/>
  <c r="N55" i="102"/>
  <c r="P55" i="100"/>
  <c r="P12" i="100"/>
  <c r="P30" i="100"/>
  <c r="P89" i="100"/>
  <c r="P49" i="100"/>
  <c r="P64" i="100"/>
  <c r="P83" i="100"/>
  <c r="P27" i="100"/>
  <c r="P92" i="100"/>
  <c r="P59" i="100"/>
  <c r="P36" i="100"/>
  <c r="P18" i="100"/>
  <c r="P40" i="100"/>
  <c r="P101" i="100"/>
  <c r="P28" i="100"/>
  <c r="P16" i="100"/>
  <c r="P75" i="100"/>
  <c r="P57" i="100"/>
  <c r="P91" i="100"/>
  <c r="P44" i="100"/>
  <c r="P68" i="100"/>
  <c r="P81" i="100"/>
  <c r="P65" i="100"/>
  <c r="P37" i="100"/>
  <c r="P100" i="100"/>
  <c r="P32" i="100"/>
  <c r="P69" i="100"/>
  <c r="P5" i="100"/>
  <c r="P50" i="100"/>
  <c r="P71" i="100"/>
  <c r="P102" i="100"/>
  <c r="P19" i="100"/>
  <c r="P47" i="100"/>
  <c r="P20" i="100"/>
  <c r="P22" i="100"/>
  <c r="P95" i="100"/>
  <c r="P38" i="100"/>
  <c r="P82" i="100"/>
  <c r="P86" i="100"/>
  <c r="P61" i="100"/>
  <c r="P53" i="100"/>
  <c r="P42" i="100"/>
  <c r="P76" i="100"/>
  <c r="P98" i="100"/>
  <c r="P34" i="100"/>
  <c r="P56" i="100"/>
  <c r="P35" i="100"/>
  <c r="P4" i="100"/>
  <c r="P104" i="100"/>
  <c r="P67" i="100"/>
  <c r="P39" i="100"/>
  <c r="P70" i="100"/>
  <c r="P63" i="100"/>
  <c r="P48" i="100"/>
  <c r="P23" i="100"/>
  <c r="P24" i="100"/>
  <c r="P9" i="100"/>
  <c r="P93" i="100"/>
  <c r="P85" i="100"/>
  <c r="P60" i="100"/>
  <c r="P8" i="100"/>
  <c r="P72" i="100"/>
  <c r="P103" i="100"/>
  <c r="P26" i="100"/>
  <c r="P15" i="100"/>
  <c r="P46" i="100"/>
  <c r="P88" i="100"/>
  <c r="P11" i="100"/>
  <c r="P90" i="100"/>
  <c r="P43" i="100"/>
  <c r="P97" i="100"/>
  <c r="P77" i="100"/>
  <c r="P66" i="100"/>
  <c r="P54" i="100"/>
  <c r="P29" i="100"/>
  <c r="P17" i="100"/>
  <c r="P80" i="100"/>
  <c r="P52" i="100"/>
  <c r="P74" i="100"/>
  <c r="P62" i="100"/>
  <c r="P51" i="100"/>
  <c r="P96" i="100"/>
  <c r="P84" i="100"/>
  <c r="P73" i="100"/>
  <c r="P78" i="100"/>
  <c r="P3" i="100"/>
  <c r="P14" i="100"/>
  <c r="P10" i="100"/>
  <c r="P2" i="100"/>
  <c r="P21" i="100"/>
  <c r="P13" i="100"/>
  <c r="P31" i="100"/>
  <c r="P41" i="100"/>
  <c r="P33" i="100"/>
  <c r="P79" i="100"/>
  <c r="P7" i="100"/>
  <c r="P6" i="100"/>
  <c r="P25" i="100"/>
  <c r="E5" i="88"/>
  <c r="G5" i="88"/>
  <c r="B5" i="88"/>
  <c r="D5" i="88" s="1"/>
  <c r="N77" i="102"/>
  <c r="N101" i="102"/>
  <c r="O29" i="101"/>
  <c r="N81" i="102"/>
  <c r="N75" i="102"/>
  <c r="N56" i="102"/>
  <c r="N29" i="102"/>
  <c r="O29" i="102" s="1"/>
  <c r="N89" i="102"/>
  <c r="N86" i="102"/>
  <c r="N85" i="102"/>
  <c r="N103" i="102"/>
  <c r="N37" i="102"/>
  <c r="N51" i="102"/>
  <c r="N49" i="102"/>
  <c r="N68" i="102"/>
  <c r="N54" i="102"/>
  <c r="N33" i="102"/>
  <c r="O33" i="102" s="1"/>
  <c r="N102" i="102"/>
  <c r="N53" i="102"/>
  <c r="N63" i="102"/>
  <c r="N61" i="102"/>
  <c r="N48" i="102"/>
  <c r="N67" i="102"/>
  <c r="N69" i="102"/>
  <c r="N79" i="102"/>
  <c r="N28" i="102"/>
  <c r="O28" i="102" s="1"/>
  <c r="N92" i="102"/>
  <c r="N90" i="102"/>
  <c r="N80" i="102"/>
  <c r="N94" i="102"/>
  <c r="N31" i="102"/>
  <c r="N91" i="102"/>
  <c r="N57" i="102"/>
  <c r="N100" i="102"/>
  <c r="N41" i="102"/>
  <c r="N88" i="102"/>
  <c r="N78" i="102"/>
  <c r="N58" i="102"/>
  <c r="N39" i="102"/>
  <c r="O39" i="102" s="1"/>
  <c r="N83" i="102"/>
  <c r="N43" i="102"/>
  <c r="N97" i="102"/>
  <c r="N64" i="102"/>
  <c r="N95" i="102"/>
  <c r="N47" i="102"/>
  <c r="N96" i="102"/>
  <c r="N104" i="102"/>
  <c r="N65" i="102"/>
  <c r="N87" i="102"/>
  <c r="A6" i="88"/>
  <c r="G6" i="88" s="1"/>
  <c r="N99" i="102"/>
  <c r="N98" i="102"/>
  <c r="N84" i="102"/>
  <c r="N44" i="102"/>
  <c r="N71" i="102"/>
  <c r="N76" i="102"/>
  <c r="N70" i="102"/>
  <c r="N74" i="102"/>
  <c r="J68" i="52"/>
  <c r="N22" i="103"/>
  <c r="N20" i="103"/>
  <c r="M39" i="52"/>
  <c r="K51" i="52"/>
  <c r="G85" i="52"/>
  <c r="N14" i="103"/>
  <c r="N11" i="103"/>
  <c r="AQ147" i="58"/>
  <c r="BD147" i="58" s="1"/>
  <c r="AQ121" i="59"/>
  <c r="BD121" i="59" s="1"/>
  <c r="V95" i="59"/>
  <c r="AQ147" i="59"/>
  <c r="BD147" i="59" s="1"/>
  <c r="S94" i="52"/>
  <c r="S17" i="52"/>
  <c r="G43" i="57"/>
  <c r="J42" i="53"/>
  <c r="M17" i="53"/>
  <c r="V13" i="53"/>
  <c r="Q155" i="55"/>
  <c r="S146" i="55" s="1"/>
  <c r="V137" i="53"/>
  <c r="K77" i="55"/>
  <c r="V65" i="53"/>
  <c r="M69" i="53"/>
  <c r="N24" i="63"/>
  <c r="C24" i="63" s="1"/>
  <c r="H24" i="63" s="1"/>
  <c r="N22" i="63"/>
  <c r="C22" i="63"/>
  <c r="H22" i="63" s="1"/>
  <c r="N23" i="63"/>
  <c r="C23" i="63" s="1"/>
  <c r="H23" i="63" s="1"/>
  <c r="S147" i="53"/>
  <c r="V33" i="53"/>
  <c r="V91" i="53"/>
  <c r="J17" i="57"/>
  <c r="H129" i="55"/>
  <c r="J120" i="55" s="1"/>
  <c r="V36" i="55"/>
  <c r="E25" i="55"/>
  <c r="S17" i="53"/>
  <c r="J147" i="52"/>
  <c r="M29" i="103"/>
  <c r="J147" i="55"/>
  <c r="S69" i="55"/>
  <c r="S121" i="57"/>
  <c r="G121" i="53"/>
  <c r="AQ43" i="59"/>
  <c r="BD43" i="59" s="1"/>
  <c r="M147" i="53"/>
  <c r="S69" i="58" l="1"/>
  <c r="S173" i="58"/>
  <c r="P43" i="58"/>
  <c r="P85" i="58"/>
  <c r="N103" i="58"/>
  <c r="P94" i="58" s="1"/>
  <c r="V94" i="58" s="1"/>
  <c r="V33" i="58"/>
  <c r="V43" i="58" s="1"/>
  <c r="AQ43" i="58" s="1"/>
  <c r="BD43" i="58" s="1"/>
  <c r="M43" i="58"/>
  <c r="M173" i="58"/>
  <c r="V172" i="58"/>
  <c r="V173" i="58" s="1"/>
  <c r="AQ173" i="58" s="1"/>
  <c r="BD173" i="58" s="1"/>
  <c r="J111" i="58"/>
  <c r="H129" i="58"/>
  <c r="J120" i="58" s="1"/>
  <c r="V120" i="58" s="1"/>
  <c r="J17" i="58"/>
  <c r="J69" i="58"/>
  <c r="V16" i="58"/>
  <c r="V17" i="58" s="1"/>
  <c r="AQ17" i="58" s="1"/>
  <c r="BD17" i="58" s="1"/>
  <c r="G17" i="58"/>
  <c r="V59" i="58"/>
  <c r="V69" i="58" s="1"/>
  <c r="G69" i="58"/>
  <c r="B9" i="120"/>
  <c r="G69" i="57"/>
  <c r="O85" i="102"/>
  <c r="F9" i="120"/>
  <c r="V68" i="57"/>
  <c r="O92" i="102"/>
  <c r="M169" i="45"/>
  <c r="M170" i="45" s="1"/>
  <c r="H154" i="45"/>
  <c r="K169" i="45"/>
  <c r="K170" i="45" s="1"/>
  <c r="J154" i="45"/>
  <c r="L154" i="45"/>
  <c r="G169" i="45"/>
  <c r="G170" i="45" s="1"/>
  <c r="I169" i="45"/>
  <c r="I170" i="45" s="1"/>
  <c r="B177" i="45"/>
  <c r="N154" i="45"/>
  <c r="F154" i="45"/>
  <c r="E169" i="45"/>
  <c r="E170" i="45" s="1"/>
  <c r="B153" i="45"/>
  <c r="C8" i="120"/>
  <c r="M194" i="84"/>
  <c r="M195" i="84" s="1"/>
  <c r="L179" i="84"/>
  <c r="B178" i="84"/>
  <c r="E194" i="84"/>
  <c r="E195" i="84" s="1"/>
  <c r="I194" i="84"/>
  <c r="I195" i="84" s="1"/>
  <c r="N179" i="84"/>
  <c r="F179" i="84"/>
  <c r="K194" i="84"/>
  <c r="K195" i="84" s="1"/>
  <c r="H179" i="84"/>
  <c r="G194" i="84"/>
  <c r="G195" i="84" s="1"/>
  <c r="J179" i="84"/>
  <c r="P95" i="53"/>
  <c r="J68" i="55"/>
  <c r="J69" i="55" s="1"/>
  <c r="S43" i="55"/>
  <c r="M68" i="55"/>
  <c r="M69" i="55" s="1"/>
  <c r="M17" i="55"/>
  <c r="V65" i="55"/>
  <c r="U68" i="55"/>
  <c r="AS69" i="55" s="1"/>
  <c r="N51" i="55"/>
  <c r="P42" i="55" s="1"/>
  <c r="P43" i="55" s="1"/>
  <c r="G94" i="55"/>
  <c r="G95" i="55" s="1"/>
  <c r="J16" i="55"/>
  <c r="J17" i="55" s="1"/>
  <c r="G16" i="55"/>
  <c r="G68" i="55"/>
  <c r="G69" i="55" s="1"/>
  <c r="U94" i="55"/>
  <c r="AS95" i="55" s="1"/>
  <c r="J94" i="55"/>
  <c r="J95" i="55" s="1"/>
  <c r="P94" i="55"/>
  <c r="P95" i="55" s="1"/>
  <c r="P43" i="53"/>
  <c r="V146" i="53"/>
  <c r="V120" i="53"/>
  <c r="V121" i="53" s="1"/>
  <c r="AQ121" i="53" s="1"/>
  <c r="BD121" i="53" s="1"/>
  <c r="V16" i="53"/>
  <c r="V17" i="53" s="1"/>
  <c r="AQ17" i="53" s="1"/>
  <c r="BD17" i="53" s="1"/>
  <c r="O40" i="102"/>
  <c r="B10" i="120"/>
  <c r="G10" i="120"/>
  <c r="F10" i="120"/>
  <c r="E10" i="120"/>
  <c r="A11" i="120"/>
  <c r="E11" i="120" s="1"/>
  <c r="O42" i="102"/>
  <c r="O17" i="102"/>
  <c r="G69" i="53"/>
  <c r="P137" i="52"/>
  <c r="P147" i="52" s="1"/>
  <c r="E9" i="120"/>
  <c r="G9" i="120"/>
  <c r="J42" i="52"/>
  <c r="J43" i="52" s="1"/>
  <c r="O74" i="102"/>
  <c r="O100" i="102"/>
  <c r="O102" i="102"/>
  <c r="O57" i="102"/>
  <c r="O48" i="102"/>
  <c r="O90" i="102"/>
  <c r="O73" i="102"/>
  <c r="O53" i="102"/>
  <c r="O77" i="102"/>
  <c r="O82" i="102"/>
  <c r="O81" i="102"/>
  <c r="O65" i="102"/>
  <c r="O54" i="102"/>
  <c r="O93" i="102"/>
  <c r="O45" i="102"/>
  <c r="O104" i="102"/>
  <c r="O71" i="102"/>
  <c r="O56" i="102"/>
  <c r="O96" i="102"/>
  <c r="O94" i="102"/>
  <c r="O47" i="102"/>
  <c r="P69" i="52"/>
  <c r="O5" i="102"/>
  <c r="O87" i="102"/>
  <c r="O55" i="102"/>
  <c r="O80" i="102"/>
  <c r="O35" i="102"/>
  <c r="O101" i="102"/>
  <c r="G120" i="52"/>
  <c r="G121" i="52" s="1"/>
  <c r="O49" i="102"/>
  <c r="O38" i="102"/>
  <c r="O62" i="102"/>
  <c r="O4" i="102"/>
  <c r="O34" i="102"/>
  <c r="O41" i="102"/>
  <c r="O36" i="102"/>
  <c r="O37" i="102"/>
  <c r="J199" i="52"/>
  <c r="E155" i="52"/>
  <c r="G146" i="52" s="1"/>
  <c r="V146" i="52" s="1"/>
  <c r="O91" i="102"/>
  <c r="O68" i="102"/>
  <c r="O70" i="102"/>
  <c r="O25" i="102"/>
  <c r="J121" i="52"/>
  <c r="O84" i="102"/>
  <c r="O78" i="102"/>
  <c r="O61" i="102"/>
  <c r="O23" i="102"/>
  <c r="O21" i="102"/>
  <c r="O46" i="102"/>
  <c r="O52" i="102"/>
  <c r="O79" i="102"/>
  <c r="O59" i="102"/>
  <c r="O76" i="102"/>
  <c r="O83" i="102"/>
  <c r="O69" i="102"/>
  <c r="O89" i="102"/>
  <c r="O66" i="102"/>
  <c r="O97" i="102"/>
  <c r="O43" i="102"/>
  <c r="O86" i="102"/>
  <c r="O50" i="102"/>
  <c r="O67" i="102"/>
  <c r="O103" i="102"/>
  <c r="O44" i="102"/>
  <c r="O75" i="102"/>
  <c r="O88" i="102"/>
  <c r="O72" i="102"/>
  <c r="O51" i="102"/>
  <c r="O95" i="102"/>
  <c r="O64" i="102"/>
  <c r="O58" i="102"/>
  <c r="O98" i="102"/>
  <c r="O63" i="102"/>
  <c r="O99" i="102"/>
  <c r="O60" i="102"/>
  <c r="O19" i="102"/>
  <c r="O16" i="102"/>
  <c r="O15" i="102"/>
  <c r="M42" i="52"/>
  <c r="M43" i="52" s="1"/>
  <c r="M88" i="103"/>
  <c r="S95" i="55"/>
  <c r="M55" i="103"/>
  <c r="M70" i="103"/>
  <c r="O6" i="102"/>
  <c r="N6" i="104"/>
  <c r="N6" i="121" s="1"/>
  <c r="M60" i="103"/>
  <c r="M67" i="103"/>
  <c r="M37" i="103"/>
  <c r="M72" i="103"/>
  <c r="M48" i="103"/>
  <c r="M68" i="103"/>
  <c r="M87" i="103"/>
  <c r="M89" i="103"/>
  <c r="M84" i="103"/>
  <c r="M52" i="103"/>
  <c r="M94" i="103"/>
  <c r="M42" i="103"/>
  <c r="O24" i="102"/>
  <c r="M79" i="103"/>
  <c r="M77" i="103"/>
  <c r="M103" i="103"/>
  <c r="M39" i="103"/>
  <c r="M49" i="103"/>
  <c r="M83" i="103"/>
  <c r="M100" i="103"/>
  <c r="M97" i="103"/>
  <c r="M73" i="103"/>
  <c r="M41" i="103"/>
  <c r="M65" i="103"/>
  <c r="M91" i="103"/>
  <c r="M69" i="103"/>
  <c r="M120" i="52"/>
  <c r="M121" i="52" s="1"/>
  <c r="M76" i="103"/>
  <c r="M95" i="103"/>
  <c r="M40" i="103"/>
  <c r="M104" i="103"/>
  <c r="M51" i="103"/>
  <c r="M53" i="103"/>
  <c r="M44" i="103"/>
  <c r="M58" i="103"/>
  <c r="O18" i="102"/>
  <c r="N4" i="103"/>
  <c r="N4" i="104" s="1"/>
  <c r="N4" i="121" s="1"/>
  <c r="N5" i="103"/>
  <c r="V85" i="52"/>
  <c r="P67" i="101"/>
  <c r="V33" i="52"/>
  <c r="N26" i="103"/>
  <c r="O26" i="103" s="1"/>
  <c r="O7" i="102"/>
  <c r="N25" i="103"/>
  <c r="N16" i="103"/>
  <c r="N21" i="103"/>
  <c r="N58" i="103"/>
  <c r="M36" i="103"/>
  <c r="M96" i="103"/>
  <c r="M137" i="52"/>
  <c r="H25" i="52"/>
  <c r="J16" i="52" s="1"/>
  <c r="J17" i="52" s="1"/>
  <c r="N17" i="103"/>
  <c r="N17" i="104" s="1"/>
  <c r="N19" i="103"/>
  <c r="O12" i="102"/>
  <c r="O9" i="102"/>
  <c r="N12" i="103"/>
  <c r="N12" i="104" s="1"/>
  <c r="N23" i="103"/>
  <c r="O10" i="102"/>
  <c r="N15" i="103"/>
  <c r="N10" i="103"/>
  <c r="N27" i="103"/>
  <c r="O27" i="103" s="1"/>
  <c r="M26" i="103"/>
  <c r="P43" i="52"/>
  <c r="M22" i="103"/>
  <c r="O22" i="103" s="1"/>
  <c r="M8" i="103"/>
  <c r="O8" i="103" s="1"/>
  <c r="C6" i="98"/>
  <c r="E7" i="98"/>
  <c r="AA9" i="118"/>
  <c r="AC9" i="118" s="1"/>
  <c r="AD9" i="118" s="1"/>
  <c r="M17" i="57"/>
  <c r="V16" i="57"/>
  <c r="U120" i="52"/>
  <c r="AS121" i="52" s="1"/>
  <c r="F7" i="98"/>
  <c r="M10" i="103"/>
  <c r="M5" i="103"/>
  <c r="M20" i="103"/>
  <c r="O20" i="103" s="1"/>
  <c r="M27" i="103"/>
  <c r="M4" i="103"/>
  <c r="V94" i="53"/>
  <c r="V95" i="53" s="1"/>
  <c r="E169" i="86"/>
  <c r="E170" i="86" s="1"/>
  <c r="B153" i="86"/>
  <c r="B177" i="86"/>
  <c r="H154" i="86"/>
  <c r="K169" i="86"/>
  <c r="K170" i="86" s="1"/>
  <c r="G169" i="86"/>
  <c r="G170" i="86" s="1"/>
  <c r="J154" i="86"/>
  <c r="M169" i="86"/>
  <c r="M170" i="86" s="1"/>
  <c r="L154" i="86"/>
  <c r="N154" i="86"/>
  <c r="I169" i="86"/>
  <c r="I170" i="86" s="1"/>
  <c r="F154" i="86"/>
  <c r="M18" i="103"/>
  <c r="O18" i="103" s="1"/>
  <c r="M43" i="103"/>
  <c r="M35" i="103"/>
  <c r="M85" i="103"/>
  <c r="M75" i="103"/>
  <c r="M56" i="103"/>
  <c r="M82" i="103"/>
  <c r="M31" i="103"/>
  <c r="M38" i="103"/>
  <c r="M57" i="103"/>
  <c r="G194" i="41"/>
  <c r="G195" i="41" s="1"/>
  <c r="B178" i="41"/>
  <c r="F179" i="41"/>
  <c r="I194" i="41"/>
  <c r="I195" i="41" s="1"/>
  <c r="H179" i="41"/>
  <c r="K194" i="41"/>
  <c r="K195" i="41" s="1"/>
  <c r="J179" i="41"/>
  <c r="M194" i="41"/>
  <c r="M195" i="41" s="1"/>
  <c r="L179" i="41"/>
  <c r="N179" i="41"/>
  <c r="E194" i="41"/>
  <c r="E195" i="41" s="1"/>
  <c r="M99" i="103"/>
  <c r="M30" i="103"/>
  <c r="M30" i="104" s="1"/>
  <c r="M80" i="103"/>
  <c r="M98" i="103"/>
  <c r="M63" i="103"/>
  <c r="M28" i="103"/>
  <c r="M28" i="104" s="1"/>
  <c r="M45" i="103"/>
  <c r="M46" i="103"/>
  <c r="M90" i="103"/>
  <c r="K194" i="87"/>
  <c r="K195" i="87" s="1"/>
  <c r="N179" i="87"/>
  <c r="L179" i="87"/>
  <c r="J179" i="87"/>
  <c r="M194" i="87"/>
  <c r="M195" i="87" s="1"/>
  <c r="E194" i="87"/>
  <c r="E195" i="87" s="1"/>
  <c r="G194" i="87"/>
  <c r="G195" i="87" s="1"/>
  <c r="H179" i="87"/>
  <c r="I194" i="87"/>
  <c r="I195" i="87" s="1"/>
  <c r="B178" i="87"/>
  <c r="F179" i="87"/>
  <c r="M66" i="103"/>
  <c r="M78" i="103"/>
  <c r="M32" i="103"/>
  <c r="M32" i="104" s="1"/>
  <c r="M93" i="103"/>
  <c r="M81" i="103"/>
  <c r="M92" i="103"/>
  <c r="A8" i="98"/>
  <c r="G8" i="98" s="1"/>
  <c r="M17" i="103"/>
  <c r="M86" i="103"/>
  <c r="M59" i="103"/>
  <c r="M54" i="103"/>
  <c r="G7" i="98"/>
  <c r="M7" i="103"/>
  <c r="M2" i="103"/>
  <c r="O2" i="103" s="1"/>
  <c r="M14" i="103"/>
  <c r="O14" i="103" s="1"/>
  <c r="M13" i="103"/>
  <c r="O13" i="103" s="1"/>
  <c r="M9" i="103"/>
  <c r="M9" i="104" s="1"/>
  <c r="M16" i="103"/>
  <c r="M15" i="103"/>
  <c r="M12" i="103"/>
  <c r="M21" i="103"/>
  <c r="M24" i="103"/>
  <c r="O24" i="103" s="1"/>
  <c r="M11" i="103"/>
  <c r="O11" i="103" s="1"/>
  <c r="M6" i="103"/>
  <c r="O6" i="103" s="1"/>
  <c r="M23" i="103"/>
  <c r="M3" i="103"/>
  <c r="O3" i="103" s="1"/>
  <c r="M25" i="103"/>
  <c r="M74" i="103"/>
  <c r="M33" i="103"/>
  <c r="M101" i="103"/>
  <c r="M71" i="103"/>
  <c r="M62" i="103"/>
  <c r="M50" i="103"/>
  <c r="M61" i="103"/>
  <c r="M47" i="103"/>
  <c r="M34" i="103"/>
  <c r="M64" i="103"/>
  <c r="M102" i="103"/>
  <c r="M19" i="103"/>
  <c r="AA14" i="118"/>
  <c r="AC14" i="118" s="1"/>
  <c r="AD14" i="118" s="1"/>
  <c r="M69" i="52"/>
  <c r="M95" i="53"/>
  <c r="P121" i="53"/>
  <c r="U16" i="55"/>
  <c r="AS17" i="55" s="1"/>
  <c r="S147" i="52"/>
  <c r="P120" i="52"/>
  <c r="P121" i="52" s="1"/>
  <c r="N3" i="121"/>
  <c r="J43" i="57"/>
  <c r="N7" i="104"/>
  <c r="O7" i="104" s="1"/>
  <c r="O7" i="103"/>
  <c r="N9" i="104"/>
  <c r="V33" i="57"/>
  <c r="V59" i="57"/>
  <c r="V69" i="57" s="1"/>
  <c r="AQ69" i="57" s="1"/>
  <c r="BD69" i="57" s="1"/>
  <c r="P69" i="57"/>
  <c r="V94" i="57"/>
  <c r="V95" i="57" s="1"/>
  <c r="V169" i="57"/>
  <c r="V13" i="57"/>
  <c r="J147" i="57"/>
  <c r="P173" i="57"/>
  <c r="V42" i="57"/>
  <c r="M121" i="57"/>
  <c r="V195" i="57"/>
  <c r="G199" i="57"/>
  <c r="V146" i="57"/>
  <c r="V198" i="57"/>
  <c r="V117" i="57"/>
  <c r="V120" i="57"/>
  <c r="V143" i="57"/>
  <c r="G147" i="57"/>
  <c r="V192" i="57"/>
  <c r="J199" i="57"/>
  <c r="G6" i="97"/>
  <c r="M43" i="57"/>
  <c r="A7" i="97"/>
  <c r="A8" i="97" s="1"/>
  <c r="G8" i="97" s="1"/>
  <c r="G121" i="57"/>
  <c r="F6" i="97"/>
  <c r="B6" i="97"/>
  <c r="C5" i="97"/>
  <c r="D5" i="97"/>
  <c r="S43" i="57"/>
  <c r="V137" i="57"/>
  <c r="P147" i="57"/>
  <c r="J173" i="57"/>
  <c r="V172" i="57"/>
  <c r="P69" i="55"/>
  <c r="G43" i="55"/>
  <c r="P147" i="55"/>
  <c r="V62" i="55"/>
  <c r="J199" i="55"/>
  <c r="P17" i="55"/>
  <c r="V85" i="55"/>
  <c r="V198" i="55"/>
  <c r="K155" i="55"/>
  <c r="M146" i="55" s="1"/>
  <c r="M147" i="55" s="1"/>
  <c r="V189" i="55"/>
  <c r="G121" i="55"/>
  <c r="V114" i="55"/>
  <c r="M199" i="55"/>
  <c r="V192" i="55"/>
  <c r="V163" i="55"/>
  <c r="C5" i="96"/>
  <c r="G173" i="55"/>
  <c r="G6" i="96"/>
  <c r="B6" i="96"/>
  <c r="F6" i="96"/>
  <c r="A7" i="96"/>
  <c r="E6" i="96"/>
  <c r="P121" i="55"/>
  <c r="V172" i="53"/>
  <c r="V173" i="53" s="1"/>
  <c r="AQ173" i="53" s="1"/>
  <c r="BD173" i="53" s="1"/>
  <c r="G17" i="53"/>
  <c r="D5" i="95"/>
  <c r="C6" i="95"/>
  <c r="J199" i="53"/>
  <c r="E6" i="95"/>
  <c r="G6" i="95"/>
  <c r="F6" i="95"/>
  <c r="A7" i="95"/>
  <c r="E7" i="95" s="1"/>
  <c r="K103" i="52"/>
  <c r="M94" i="52" s="1"/>
  <c r="M95" i="52" s="1"/>
  <c r="N25" i="52"/>
  <c r="P16" i="52" s="1"/>
  <c r="P7" i="52"/>
  <c r="Q51" i="52"/>
  <c r="S42" i="52" s="1"/>
  <c r="V111" i="52"/>
  <c r="G68" i="52"/>
  <c r="G69" i="52" s="1"/>
  <c r="P199" i="52"/>
  <c r="E103" i="52"/>
  <c r="G94" i="52" s="1"/>
  <c r="G95" i="52" s="1"/>
  <c r="V59" i="52"/>
  <c r="V166" i="52"/>
  <c r="S69" i="52"/>
  <c r="K181" i="52"/>
  <c r="M172" i="52" s="1"/>
  <c r="M173" i="52" s="1"/>
  <c r="V62" i="52"/>
  <c r="S192" i="52"/>
  <c r="Q207" i="52"/>
  <c r="S198" i="52" s="1"/>
  <c r="V198" i="52" s="1"/>
  <c r="P95" i="52"/>
  <c r="U68" i="52"/>
  <c r="AS69" i="52" s="1"/>
  <c r="V36" i="52"/>
  <c r="V39" i="52"/>
  <c r="H103" i="52"/>
  <c r="J94" i="52" s="1"/>
  <c r="J95" i="52" s="1"/>
  <c r="M199" i="52"/>
  <c r="U42" i="52"/>
  <c r="AS43" i="52" s="1"/>
  <c r="N181" i="52"/>
  <c r="P172" i="52" s="1"/>
  <c r="P173" i="52" s="1"/>
  <c r="V169" i="52"/>
  <c r="V88" i="52"/>
  <c r="S117" i="52"/>
  <c r="Q129" i="52"/>
  <c r="S120" i="52" s="1"/>
  <c r="E25" i="52"/>
  <c r="G16" i="52" s="1"/>
  <c r="G17" i="52" s="1"/>
  <c r="N13" i="104"/>
  <c r="S173" i="52"/>
  <c r="N2" i="121"/>
  <c r="G43" i="52"/>
  <c r="N8" i="121"/>
  <c r="V199" i="53"/>
  <c r="AQ199" i="53" s="1"/>
  <c r="BD199" i="53" s="1"/>
  <c r="M173" i="55"/>
  <c r="AA12" i="118"/>
  <c r="AC12" i="118" s="1"/>
  <c r="AD12" i="118" s="1"/>
  <c r="V172" i="55"/>
  <c r="AA11" i="118"/>
  <c r="AC11" i="118" s="1"/>
  <c r="AD11" i="118" s="1"/>
  <c r="AA8" i="118"/>
  <c r="AC8" i="118" s="1"/>
  <c r="AD8" i="118" s="1"/>
  <c r="AA10" i="118"/>
  <c r="AC10" i="118" s="1"/>
  <c r="AD10" i="118" s="1"/>
  <c r="AA13" i="118"/>
  <c r="AC13" i="118" s="1"/>
  <c r="AD13" i="118" s="1"/>
  <c r="F11" i="120"/>
  <c r="G11" i="120"/>
  <c r="D10" i="120"/>
  <c r="C10" i="120"/>
  <c r="O32" i="102"/>
  <c r="N41" i="103"/>
  <c r="P98" i="101"/>
  <c r="P13" i="101"/>
  <c r="A8" i="99"/>
  <c r="E7" i="99"/>
  <c r="F7" i="99"/>
  <c r="B7" i="99"/>
  <c r="G7" i="99"/>
  <c r="C6" i="99"/>
  <c r="D6" i="99"/>
  <c r="N29" i="103"/>
  <c r="N29" i="104" s="1"/>
  <c r="S121" i="55"/>
  <c r="N70" i="103"/>
  <c r="N83" i="103"/>
  <c r="N95" i="103"/>
  <c r="N75" i="103"/>
  <c r="N78" i="103"/>
  <c r="G5" i="100"/>
  <c r="F5" i="100"/>
  <c r="P10" i="101"/>
  <c r="P7" i="101"/>
  <c r="P14" i="101"/>
  <c r="P32" i="101"/>
  <c r="P84" i="101"/>
  <c r="P27" i="101"/>
  <c r="P55" i="101"/>
  <c r="P61" i="101"/>
  <c r="P22" i="101"/>
  <c r="P17" i="101"/>
  <c r="P57" i="101"/>
  <c r="P69" i="101"/>
  <c r="P29" i="101"/>
  <c r="P24" i="101"/>
  <c r="P97" i="101"/>
  <c r="P68" i="101"/>
  <c r="P25" i="101"/>
  <c r="P64" i="101"/>
  <c r="P20" i="101"/>
  <c r="P74" i="101"/>
  <c r="P75" i="101"/>
  <c r="P54" i="101"/>
  <c r="P87" i="101"/>
  <c r="P23" i="101"/>
  <c r="P6" i="101"/>
  <c r="P11" i="101"/>
  <c r="P63" i="101"/>
  <c r="P86" i="101"/>
  <c r="P37" i="101"/>
  <c r="P78" i="101"/>
  <c r="E5" i="100"/>
  <c r="P48" i="101"/>
  <c r="P99" i="101"/>
  <c r="P21" i="101"/>
  <c r="P35" i="101"/>
  <c r="P8" i="101"/>
  <c r="P47" i="101"/>
  <c r="P33" i="101"/>
  <c r="B5" i="100"/>
  <c r="C5" i="100" s="1"/>
  <c r="P50" i="101"/>
  <c r="P12" i="101"/>
  <c r="P100" i="101"/>
  <c r="P91" i="101"/>
  <c r="P101" i="101"/>
  <c r="P2" i="101"/>
  <c r="P41" i="101"/>
  <c r="P43" i="101"/>
  <c r="P42" i="101"/>
  <c r="P82" i="101"/>
  <c r="P15" i="101"/>
  <c r="P3" i="101"/>
  <c r="P49" i="101"/>
  <c r="P36" i="101"/>
  <c r="P103" i="101"/>
  <c r="P38" i="101"/>
  <c r="P44" i="101"/>
  <c r="P52" i="101"/>
  <c r="P31" i="101"/>
  <c r="P93" i="101"/>
  <c r="P102" i="101"/>
  <c r="P89" i="101"/>
  <c r="P9" i="101"/>
  <c r="P28" i="101"/>
  <c r="P65" i="101"/>
  <c r="P46" i="101"/>
  <c r="P81" i="101"/>
  <c r="P90" i="101"/>
  <c r="P40" i="101"/>
  <c r="P96" i="101"/>
  <c r="P85" i="101"/>
  <c r="P79" i="101"/>
  <c r="P53" i="101"/>
  <c r="P95" i="101"/>
  <c r="P70" i="101"/>
  <c r="P45" i="101"/>
  <c r="P58" i="101"/>
  <c r="P88" i="101"/>
  <c r="P39" i="101"/>
  <c r="P19" i="101"/>
  <c r="P94" i="101"/>
  <c r="P92" i="101"/>
  <c r="P62" i="101"/>
  <c r="P83" i="101"/>
  <c r="P5" i="101"/>
  <c r="P34" i="101"/>
  <c r="P16" i="101"/>
  <c r="P76" i="101"/>
  <c r="P80" i="101"/>
  <c r="P30" i="101"/>
  <c r="P73" i="101"/>
  <c r="P56" i="101"/>
  <c r="P104" i="101"/>
  <c r="P60" i="101"/>
  <c r="P4" i="101"/>
  <c r="P51" i="101"/>
  <c r="P66" i="101"/>
  <c r="P71" i="101"/>
  <c r="P59" i="101"/>
  <c r="P72" i="101"/>
  <c r="P26" i="101"/>
  <c r="P77" i="101"/>
  <c r="P18" i="101"/>
  <c r="C5" i="88"/>
  <c r="A7" i="88"/>
  <c r="A8" i="88" s="1"/>
  <c r="J69" i="52"/>
  <c r="N99" i="103"/>
  <c r="N89" i="103"/>
  <c r="N104" i="103"/>
  <c r="N36" i="103"/>
  <c r="N54" i="103"/>
  <c r="N45" i="103"/>
  <c r="N39" i="103"/>
  <c r="O39" i="103" s="1"/>
  <c r="N81" i="103"/>
  <c r="N61" i="103"/>
  <c r="N44" i="103"/>
  <c r="N49" i="103"/>
  <c r="N50" i="103"/>
  <c r="N60" i="103"/>
  <c r="N42" i="103"/>
  <c r="N100" i="103"/>
  <c r="N76" i="103"/>
  <c r="N32" i="103"/>
  <c r="N73" i="103"/>
  <c r="N87" i="103"/>
  <c r="N94" i="103"/>
  <c r="N92" i="103"/>
  <c r="N91" i="103"/>
  <c r="N77" i="103"/>
  <c r="N66" i="103"/>
  <c r="N98" i="103"/>
  <c r="N86" i="103"/>
  <c r="N65" i="103"/>
  <c r="N34" i="103"/>
  <c r="N93" i="103"/>
  <c r="N97" i="103"/>
  <c r="N52" i="103"/>
  <c r="N88" i="103"/>
  <c r="N72" i="103"/>
  <c r="N101" i="103"/>
  <c r="N37" i="103"/>
  <c r="N63" i="103"/>
  <c r="O31" i="102"/>
  <c r="N43" i="103"/>
  <c r="N56" i="103"/>
  <c r="N48" i="103"/>
  <c r="N51" i="103"/>
  <c r="N90" i="103"/>
  <c r="A6" i="100"/>
  <c r="F6" i="100" s="1"/>
  <c r="N59" i="103"/>
  <c r="N33" i="103"/>
  <c r="N96" i="103"/>
  <c r="N30" i="103"/>
  <c r="N67" i="103"/>
  <c r="N47" i="103"/>
  <c r="N71" i="103"/>
  <c r="N31" i="103"/>
  <c r="N31" i="104" s="1"/>
  <c r="N74" i="103"/>
  <c r="N64" i="103"/>
  <c r="N84" i="103"/>
  <c r="N103" i="103"/>
  <c r="N57" i="103"/>
  <c r="N46" i="103"/>
  <c r="N102" i="103"/>
  <c r="N53" i="103"/>
  <c r="N82" i="103"/>
  <c r="N80" i="103"/>
  <c r="B6" i="88"/>
  <c r="D6" i="88" s="1"/>
  <c r="N62" i="103"/>
  <c r="N79" i="103"/>
  <c r="N35" i="103"/>
  <c r="N68" i="103"/>
  <c r="N38" i="103"/>
  <c r="N85" i="103"/>
  <c r="N69" i="103"/>
  <c r="N55" i="103"/>
  <c r="N40" i="103"/>
  <c r="N28" i="103"/>
  <c r="N28" i="104" s="1"/>
  <c r="E6" i="88"/>
  <c r="F6" i="88"/>
  <c r="N14" i="104"/>
  <c r="N22" i="104"/>
  <c r="N24" i="104"/>
  <c r="N11" i="104"/>
  <c r="N20" i="104"/>
  <c r="N18" i="104"/>
  <c r="V91" i="52"/>
  <c r="AQ69" i="58"/>
  <c r="BD69" i="58" s="1"/>
  <c r="AQ95" i="59"/>
  <c r="BD95" i="59" s="1"/>
  <c r="BE95" i="59" s="1"/>
  <c r="S95" i="52"/>
  <c r="J43" i="55"/>
  <c r="J43" i="53"/>
  <c r="J147" i="53"/>
  <c r="V42" i="53"/>
  <c r="J95" i="53"/>
  <c r="V33" i="55"/>
  <c r="C7" i="98"/>
  <c r="D7" i="98"/>
  <c r="G43" i="53"/>
  <c r="P147" i="53"/>
  <c r="P17" i="53"/>
  <c r="G95" i="53"/>
  <c r="V59" i="55"/>
  <c r="M95" i="55"/>
  <c r="V7" i="55"/>
  <c r="V111" i="55"/>
  <c r="S17" i="55"/>
  <c r="V69" i="53"/>
  <c r="S147" i="55"/>
  <c r="V137" i="55"/>
  <c r="M29" i="104"/>
  <c r="V147" i="53"/>
  <c r="P95" i="58" l="1"/>
  <c r="V85" i="58"/>
  <c r="V95" i="58" s="1"/>
  <c r="AQ95" i="58" s="1"/>
  <c r="BD95" i="58" s="1"/>
  <c r="J121" i="58"/>
  <c r="V111" i="58"/>
  <c r="V121" i="58" s="1"/>
  <c r="AQ121" i="58" s="1"/>
  <c r="BD121" i="58" s="1"/>
  <c r="BE95" i="58" s="1"/>
  <c r="C9" i="120"/>
  <c r="D9" i="120"/>
  <c r="I194" i="45"/>
  <c r="I195" i="45" s="1"/>
  <c r="F179" i="45"/>
  <c r="L179" i="45"/>
  <c r="M194" i="45"/>
  <c r="M195" i="45" s="1"/>
  <c r="G194" i="45"/>
  <c r="G195" i="45" s="1"/>
  <c r="E194" i="45"/>
  <c r="E195" i="45" s="1"/>
  <c r="J179" i="45"/>
  <c r="K194" i="45"/>
  <c r="K195" i="45" s="1"/>
  <c r="N179" i="45"/>
  <c r="H179" i="45"/>
  <c r="B178" i="45"/>
  <c r="B11" i="120"/>
  <c r="D11" i="120" s="1"/>
  <c r="A12" i="120"/>
  <c r="O98" i="103"/>
  <c r="V94" i="55"/>
  <c r="O40" i="103"/>
  <c r="V137" i="52"/>
  <c r="V147" i="52" s="1"/>
  <c r="AQ147" i="52" s="1"/>
  <c r="BD147" i="52" s="1"/>
  <c r="B8" i="98"/>
  <c r="C8" i="98" s="1"/>
  <c r="O42" i="103"/>
  <c r="O9" i="103"/>
  <c r="O48" i="103"/>
  <c r="O104" i="103"/>
  <c r="O49" i="103"/>
  <c r="O71" i="103"/>
  <c r="O99" i="103"/>
  <c r="O67" i="103"/>
  <c r="O101" i="103"/>
  <c r="O56" i="103"/>
  <c r="O57" i="103"/>
  <c r="O5" i="103"/>
  <c r="O53" i="103"/>
  <c r="O51" i="103"/>
  <c r="O103" i="103"/>
  <c r="O77" i="103"/>
  <c r="O84" i="103"/>
  <c r="O43" i="103"/>
  <c r="O38" i="103"/>
  <c r="G147" i="52"/>
  <c r="O34" i="103"/>
  <c r="O37" i="103"/>
  <c r="O41" i="103"/>
  <c r="O33" i="103"/>
  <c r="O60" i="103"/>
  <c r="O85" i="103"/>
  <c r="O92" i="103"/>
  <c r="O19" i="103"/>
  <c r="O55" i="103"/>
  <c r="O79" i="103"/>
  <c r="O95" i="103"/>
  <c r="O76" i="103"/>
  <c r="O25" i="103"/>
  <c r="O23" i="103"/>
  <c r="O21" i="103"/>
  <c r="O81" i="103"/>
  <c r="O94" i="103"/>
  <c r="O87" i="103"/>
  <c r="O89" i="103"/>
  <c r="O88" i="103"/>
  <c r="O52" i="103"/>
  <c r="O100" i="103"/>
  <c r="O70" i="103"/>
  <c r="O63" i="103"/>
  <c r="O68" i="103"/>
  <c r="O47" i="103"/>
  <c r="O73" i="103"/>
  <c r="O72" i="103"/>
  <c r="O83" i="103"/>
  <c r="O80" i="103"/>
  <c r="O97" i="103"/>
  <c r="O58" i="103"/>
  <c r="O69" i="103"/>
  <c r="O91" i="103"/>
  <c r="O50" i="103"/>
  <c r="O65" i="103"/>
  <c r="O46" i="103"/>
  <c r="O86" i="103"/>
  <c r="O44" i="103"/>
  <c r="O16" i="103"/>
  <c r="O15" i="103"/>
  <c r="M58" i="104"/>
  <c r="M67" i="104"/>
  <c r="M51" i="104"/>
  <c r="N5" i="104"/>
  <c r="O4" i="103"/>
  <c r="N16" i="104"/>
  <c r="M147" i="52"/>
  <c r="N21" i="104"/>
  <c r="O62" i="103"/>
  <c r="O74" i="103"/>
  <c r="O93" i="103"/>
  <c r="O54" i="103"/>
  <c r="O96" i="103"/>
  <c r="O36" i="103"/>
  <c r="N95" i="104"/>
  <c r="O82" i="103"/>
  <c r="O102" i="103"/>
  <c r="O59" i="103"/>
  <c r="O61" i="103"/>
  <c r="O35" i="103"/>
  <c r="O64" i="103"/>
  <c r="O90" i="103"/>
  <c r="O45" i="103"/>
  <c r="O66" i="103"/>
  <c r="O78" i="103"/>
  <c r="O75" i="103"/>
  <c r="M82" i="104"/>
  <c r="M40" i="104"/>
  <c r="M57" i="104"/>
  <c r="M92" i="104"/>
  <c r="M60" i="104"/>
  <c r="M97" i="104"/>
  <c r="M47" i="104"/>
  <c r="M103" i="104"/>
  <c r="M37" i="104"/>
  <c r="M86" i="104"/>
  <c r="M68" i="104"/>
  <c r="M35" i="104"/>
  <c r="M84" i="104"/>
  <c r="M64" i="104"/>
  <c r="M71" i="104"/>
  <c r="M77" i="104"/>
  <c r="M91" i="104"/>
  <c r="M79" i="104"/>
  <c r="M93" i="104"/>
  <c r="M85" i="104"/>
  <c r="M53" i="104"/>
  <c r="N19" i="104"/>
  <c r="N19" i="121" s="1"/>
  <c r="M65" i="104"/>
  <c r="M81" i="104"/>
  <c r="M38" i="104"/>
  <c r="M66" i="104"/>
  <c r="M96" i="104"/>
  <c r="M102" i="104"/>
  <c r="M45" i="104"/>
  <c r="M54" i="104"/>
  <c r="M41" i="104"/>
  <c r="M80" i="104"/>
  <c r="M76" i="104"/>
  <c r="M88" i="104"/>
  <c r="M74" i="104"/>
  <c r="M63" i="104"/>
  <c r="M52" i="104"/>
  <c r="M83" i="104"/>
  <c r="M95" i="104"/>
  <c r="M42" i="104"/>
  <c r="M99" i="104"/>
  <c r="M50" i="104"/>
  <c r="M78" i="104"/>
  <c r="M69" i="104"/>
  <c r="O17" i="103"/>
  <c r="M44" i="104"/>
  <c r="M49" i="104"/>
  <c r="M39" i="104"/>
  <c r="M98" i="104"/>
  <c r="M59" i="104"/>
  <c r="M43" i="104"/>
  <c r="M36" i="104"/>
  <c r="M70" i="104"/>
  <c r="M46" i="104"/>
  <c r="M101" i="104"/>
  <c r="M33" i="104"/>
  <c r="M100" i="104"/>
  <c r="M34" i="104"/>
  <c r="O12" i="103"/>
  <c r="N26" i="104"/>
  <c r="O26" i="104" s="1"/>
  <c r="N27" i="104"/>
  <c r="O27" i="104" s="1"/>
  <c r="M72" i="104"/>
  <c r="M73" i="104"/>
  <c r="N25" i="104"/>
  <c r="V120" i="52"/>
  <c r="N15" i="104"/>
  <c r="N10" i="104"/>
  <c r="O10" i="103"/>
  <c r="N23" i="104"/>
  <c r="M12" i="104"/>
  <c r="O12" i="104" s="1"/>
  <c r="M16" i="104"/>
  <c r="M19" i="104"/>
  <c r="M13" i="104"/>
  <c r="O13" i="104" s="1"/>
  <c r="M22" i="104"/>
  <c r="O22" i="104" s="1"/>
  <c r="M15" i="104"/>
  <c r="M17" i="104"/>
  <c r="O17" i="104" s="1"/>
  <c r="M104" i="104"/>
  <c r="M89" i="104"/>
  <c r="M87" i="104"/>
  <c r="M61" i="104"/>
  <c r="M31" i="104"/>
  <c r="M62" i="104"/>
  <c r="M75" i="104"/>
  <c r="M94" i="104"/>
  <c r="M55" i="104"/>
  <c r="M56" i="104"/>
  <c r="M48" i="104"/>
  <c r="M90" i="104"/>
  <c r="N7" i="121"/>
  <c r="O7" i="121" s="1"/>
  <c r="N17" i="121"/>
  <c r="N29" i="121"/>
  <c r="M23" i="104"/>
  <c r="M21" i="104"/>
  <c r="F8" i="98"/>
  <c r="E8" i="98"/>
  <c r="A9" i="98"/>
  <c r="G9" i="98" s="1"/>
  <c r="M14" i="104"/>
  <c r="O14" i="104" s="1"/>
  <c r="M7" i="104"/>
  <c r="M18" i="104"/>
  <c r="O18" i="104" s="1"/>
  <c r="M4" i="104"/>
  <c r="O4" i="104" s="1"/>
  <c r="M27" i="104"/>
  <c r="V17" i="57"/>
  <c r="AQ17" i="57" s="1"/>
  <c r="BD17" i="57" s="1"/>
  <c r="N179" i="86"/>
  <c r="G194" i="86"/>
  <c r="G195" i="86" s="1"/>
  <c r="F179" i="86"/>
  <c r="I194" i="86"/>
  <c r="I195" i="86" s="1"/>
  <c r="H179" i="86"/>
  <c r="K194" i="86"/>
  <c r="K195" i="86" s="1"/>
  <c r="L179" i="86"/>
  <c r="E194" i="86"/>
  <c r="E195" i="86" s="1"/>
  <c r="B178" i="86"/>
  <c r="M194" i="86"/>
  <c r="M195" i="86" s="1"/>
  <c r="J179" i="86"/>
  <c r="M20" i="104"/>
  <c r="O20" i="104" s="1"/>
  <c r="M2" i="104"/>
  <c r="O2" i="104" s="1"/>
  <c r="M26" i="104"/>
  <c r="M11" i="104"/>
  <c r="O11" i="104" s="1"/>
  <c r="M25" i="104"/>
  <c r="M3" i="104"/>
  <c r="O3" i="104" s="1"/>
  <c r="M5" i="104"/>
  <c r="M10" i="104"/>
  <c r="V121" i="57"/>
  <c r="AQ121" i="57" s="1"/>
  <c r="BD121" i="57" s="1"/>
  <c r="M6" i="104"/>
  <c r="O6" i="104" s="1"/>
  <c r="V43" i="57"/>
  <c r="AQ43" i="57" s="1"/>
  <c r="BD43" i="57" s="1"/>
  <c r="M24" i="104"/>
  <c r="O24" i="104" s="1"/>
  <c r="M8" i="104"/>
  <c r="O8" i="104" s="1"/>
  <c r="N9" i="121"/>
  <c r="O9" i="104"/>
  <c r="N12" i="121"/>
  <c r="F8" i="97"/>
  <c r="V173" i="57"/>
  <c r="AQ173" i="57" s="1"/>
  <c r="BD173" i="57" s="1"/>
  <c r="V147" i="57"/>
  <c r="AQ147" i="57" s="1"/>
  <c r="BD147" i="57" s="1"/>
  <c r="V199" i="57"/>
  <c r="AQ199" i="57" s="1"/>
  <c r="BD199" i="57" s="1"/>
  <c r="E8" i="97"/>
  <c r="A9" i="97"/>
  <c r="E9" i="97" s="1"/>
  <c r="B8" i="97"/>
  <c r="D8" i="97" s="1"/>
  <c r="F7" i="97"/>
  <c r="G7" i="97"/>
  <c r="B7" i="97"/>
  <c r="E7" i="97"/>
  <c r="C6" i="97"/>
  <c r="D6" i="97"/>
  <c r="V199" i="55"/>
  <c r="AQ199" i="55" s="1"/>
  <c r="BD199" i="55" s="1"/>
  <c r="V173" i="55"/>
  <c r="AQ173" i="55" s="1"/>
  <c r="BD173" i="55" s="1"/>
  <c r="E7" i="96"/>
  <c r="B7" i="96"/>
  <c r="A8" i="96"/>
  <c r="G7" i="96"/>
  <c r="F7" i="96"/>
  <c r="D6" i="96"/>
  <c r="C6" i="96"/>
  <c r="B7" i="95"/>
  <c r="G7" i="95"/>
  <c r="P98" i="102"/>
  <c r="F7" i="95"/>
  <c r="A8" i="95"/>
  <c r="S43" i="52"/>
  <c r="V42" i="52"/>
  <c r="V43" i="52" s="1"/>
  <c r="AQ43" i="52" s="1"/>
  <c r="BD43" i="52" s="1"/>
  <c r="O29" i="103"/>
  <c r="P17" i="52"/>
  <c r="V7" i="52"/>
  <c r="V68" i="52"/>
  <c r="V69" i="52" s="1"/>
  <c r="AQ69" i="52" s="1"/>
  <c r="BD69" i="52" s="1"/>
  <c r="N45" i="104"/>
  <c r="N100" i="104"/>
  <c r="V94" i="52"/>
  <c r="V95" i="52" s="1"/>
  <c r="V172" i="52"/>
  <c r="V173" i="52" s="1"/>
  <c r="AQ173" i="52" s="1"/>
  <c r="BD173" i="52" s="1"/>
  <c r="V192" i="52"/>
  <c r="V199" i="52" s="1"/>
  <c r="AQ199" i="52" s="1"/>
  <c r="BD199" i="52" s="1"/>
  <c r="S199" i="52"/>
  <c r="N13" i="121"/>
  <c r="V16" i="52"/>
  <c r="S121" i="52"/>
  <c r="V117" i="52"/>
  <c r="N102" i="104"/>
  <c r="N41" i="104"/>
  <c r="N11" i="121"/>
  <c r="N24" i="121"/>
  <c r="N18" i="121"/>
  <c r="N22" i="121"/>
  <c r="N20" i="121"/>
  <c r="N14" i="121"/>
  <c r="BE147" i="58"/>
  <c r="C11" i="120"/>
  <c r="B12" i="120"/>
  <c r="G12" i="120"/>
  <c r="F12" i="120"/>
  <c r="E12" i="120"/>
  <c r="A13" i="120"/>
  <c r="D5" i="100"/>
  <c r="P58" i="102"/>
  <c r="F7" i="88"/>
  <c r="E7" i="88"/>
  <c r="BE199" i="58"/>
  <c r="BE173" i="58"/>
  <c r="BE199" i="59"/>
  <c r="BE147" i="59"/>
  <c r="BE173" i="59"/>
  <c r="D7" i="99"/>
  <c r="C7" i="99"/>
  <c r="A9" i="99"/>
  <c r="B8" i="99"/>
  <c r="F8" i="99"/>
  <c r="G8" i="99"/>
  <c r="E8" i="99"/>
  <c r="N56" i="104"/>
  <c r="P72" i="102"/>
  <c r="N68" i="104"/>
  <c r="N47" i="104"/>
  <c r="N33" i="104"/>
  <c r="N98" i="104"/>
  <c r="N53" i="104"/>
  <c r="N34" i="104"/>
  <c r="N65" i="104"/>
  <c r="N91" i="104"/>
  <c r="N71" i="104"/>
  <c r="N40" i="104"/>
  <c r="N38" i="104"/>
  <c r="N58" i="104"/>
  <c r="N97" i="104"/>
  <c r="N104" i="104"/>
  <c r="N76" i="104"/>
  <c r="N37" i="104"/>
  <c r="O32" i="103"/>
  <c r="N86" i="104"/>
  <c r="N80" i="104"/>
  <c r="N54" i="104"/>
  <c r="N78" i="104"/>
  <c r="O30" i="103"/>
  <c r="P78" i="102"/>
  <c r="N32" i="104"/>
  <c r="N48" i="104"/>
  <c r="P2" i="102"/>
  <c r="P80" i="102"/>
  <c r="P38" i="102"/>
  <c r="P25" i="102"/>
  <c r="P22" i="102"/>
  <c r="P92" i="102"/>
  <c r="P53" i="102"/>
  <c r="P26" i="102"/>
  <c r="P52" i="102"/>
  <c r="P7" i="102"/>
  <c r="P54" i="102"/>
  <c r="P18" i="102"/>
  <c r="P101" i="102"/>
  <c r="P104" i="102"/>
  <c r="P16" i="102"/>
  <c r="P23" i="102"/>
  <c r="F5" i="101"/>
  <c r="B5" i="101"/>
  <c r="C5" i="101" s="1"/>
  <c r="P67" i="102"/>
  <c r="P33" i="102"/>
  <c r="P65" i="102"/>
  <c r="P91" i="102"/>
  <c r="P10" i="102"/>
  <c r="P103" i="102"/>
  <c r="P59" i="102"/>
  <c r="P100" i="102"/>
  <c r="P35" i="102"/>
  <c r="P63" i="102"/>
  <c r="P50" i="102"/>
  <c r="P42" i="102"/>
  <c r="P49" i="102"/>
  <c r="P12" i="102"/>
  <c r="G5" i="101"/>
  <c r="P43" i="102"/>
  <c r="P73" i="102"/>
  <c r="P79" i="102"/>
  <c r="O31" i="103"/>
  <c r="P102" i="102"/>
  <c r="P40" i="102"/>
  <c r="P48" i="102"/>
  <c r="P76" i="102"/>
  <c r="P5" i="102"/>
  <c r="P68" i="102"/>
  <c r="B7" i="88"/>
  <c r="D7" i="88" s="1"/>
  <c r="P28" i="102"/>
  <c r="A6" i="101"/>
  <c r="E6" i="101" s="1"/>
  <c r="P84" i="102"/>
  <c r="G6" i="100"/>
  <c r="P90" i="102"/>
  <c r="P37" i="102"/>
  <c r="P94" i="102"/>
  <c r="P99" i="102"/>
  <c r="P17" i="102"/>
  <c r="P30" i="102"/>
  <c r="G7" i="88"/>
  <c r="E5" i="101"/>
  <c r="P70" i="102"/>
  <c r="P66" i="102"/>
  <c r="B6" i="100"/>
  <c r="D6" i="100" s="1"/>
  <c r="P57" i="102"/>
  <c r="P31" i="102"/>
  <c r="P81" i="102"/>
  <c r="P45" i="102"/>
  <c r="P19" i="102"/>
  <c r="P36" i="102"/>
  <c r="P88" i="102"/>
  <c r="P47" i="102"/>
  <c r="P83" i="102"/>
  <c r="P24" i="102"/>
  <c r="P29" i="102"/>
  <c r="P74" i="102"/>
  <c r="E6" i="100"/>
  <c r="P64" i="102"/>
  <c r="P51" i="102"/>
  <c r="P41" i="102"/>
  <c r="P71" i="102"/>
  <c r="O28" i="104"/>
  <c r="P56" i="102"/>
  <c r="P89" i="102"/>
  <c r="P97" i="102"/>
  <c r="P86" i="102"/>
  <c r="P60" i="102"/>
  <c r="P95" i="102"/>
  <c r="P3" i="102"/>
  <c r="P20" i="102"/>
  <c r="P11" i="102"/>
  <c r="P13" i="102"/>
  <c r="P27" i="102"/>
  <c r="P85" i="102"/>
  <c r="P15" i="102"/>
  <c r="P4" i="102"/>
  <c r="P96" i="102"/>
  <c r="P34" i="102"/>
  <c r="P77" i="102"/>
  <c r="P44" i="102"/>
  <c r="P61" i="102"/>
  <c r="P8" i="102"/>
  <c r="P32" i="102"/>
  <c r="P39" i="102"/>
  <c r="P14" i="102"/>
  <c r="P55" i="102"/>
  <c r="P9" i="102"/>
  <c r="P93" i="102"/>
  <c r="P87" i="102"/>
  <c r="P82" i="102"/>
  <c r="P69" i="102"/>
  <c r="P6" i="102"/>
  <c r="P75" i="102"/>
  <c r="P62" i="102"/>
  <c r="P46" i="102"/>
  <c r="P21" i="102"/>
  <c r="O28" i="103"/>
  <c r="A7" i="100"/>
  <c r="F7" i="100" s="1"/>
  <c r="C6" i="88"/>
  <c r="N43" i="104"/>
  <c r="N103" i="104"/>
  <c r="N59" i="104"/>
  <c r="N87" i="104"/>
  <c r="N44" i="104"/>
  <c r="N70" i="104"/>
  <c r="N89" i="104"/>
  <c r="N50" i="104"/>
  <c r="N66" i="104"/>
  <c r="N94" i="104"/>
  <c r="N101" i="104"/>
  <c r="N30" i="104"/>
  <c r="N72" i="104"/>
  <c r="N73" i="104"/>
  <c r="N49" i="104"/>
  <c r="N52" i="104"/>
  <c r="N39" i="104"/>
  <c r="O39" i="104" s="1"/>
  <c r="N35" i="104"/>
  <c r="N63" i="104"/>
  <c r="N93" i="104"/>
  <c r="N88" i="104"/>
  <c r="N67" i="104"/>
  <c r="N69" i="104"/>
  <c r="N99" i="104"/>
  <c r="N55" i="104"/>
  <c r="N81" i="104"/>
  <c r="N96" i="104"/>
  <c r="N83" i="104"/>
  <c r="N75" i="104"/>
  <c r="N82" i="104"/>
  <c r="N90" i="104"/>
  <c r="N62" i="104"/>
  <c r="N36" i="104"/>
  <c r="N64" i="104"/>
  <c r="N57" i="104"/>
  <c r="N74" i="104"/>
  <c r="N85" i="104"/>
  <c r="N61" i="104"/>
  <c r="N51" i="104"/>
  <c r="N92" i="104"/>
  <c r="N60" i="104"/>
  <c r="N77" i="104"/>
  <c r="N46" i="104"/>
  <c r="N79" i="104"/>
  <c r="N42" i="104"/>
  <c r="N84" i="104"/>
  <c r="BE121" i="58"/>
  <c r="AQ95" i="57"/>
  <c r="BD95" i="57" s="1"/>
  <c r="BE69" i="58"/>
  <c r="BE43" i="58"/>
  <c r="BE17" i="58"/>
  <c r="BE43" i="59"/>
  <c r="BE69" i="59"/>
  <c r="BE17" i="59"/>
  <c r="BE121" i="59"/>
  <c r="V95" i="55"/>
  <c r="AQ69" i="53"/>
  <c r="BD69" i="53" s="1"/>
  <c r="V120" i="55"/>
  <c r="J121" i="55"/>
  <c r="V43" i="53"/>
  <c r="V68" i="55"/>
  <c r="G17" i="55"/>
  <c r="V16" i="55"/>
  <c r="V42" i="55"/>
  <c r="V146" i="55"/>
  <c r="O31" i="104"/>
  <c r="F8" i="88"/>
  <c r="G8" i="88"/>
  <c r="A9" i="88"/>
  <c r="B8" i="88"/>
  <c r="E8" i="88"/>
  <c r="O29" i="104"/>
  <c r="AQ95" i="53"/>
  <c r="BD95" i="53" s="1"/>
  <c r="AQ147" i="53"/>
  <c r="BD147" i="53" s="1"/>
  <c r="D8" i="98" l="1"/>
  <c r="O101" i="104"/>
  <c r="O83" i="104"/>
  <c r="O60" i="104"/>
  <c r="O92" i="104"/>
  <c r="O46" i="104"/>
  <c r="O64" i="104"/>
  <c r="B9" i="98"/>
  <c r="D9" i="98" s="1"/>
  <c r="A10" i="98"/>
  <c r="F10" i="98" s="1"/>
  <c r="O42" i="104"/>
  <c r="O61" i="104"/>
  <c r="O69" i="104"/>
  <c r="O80" i="104"/>
  <c r="O5" i="104"/>
  <c r="O84" i="104"/>
  <c r="O79" i="104"/>
  <c r="O77" i="104"/>
  <c r="O35" i="104"/>
  <c r="O36" i="104"/>
  <c r="O49" i="104"/>
  <c r="O23" i="104"/>
  <c r="O96" i="104"/>
  <c r="O68" i="104"/>
  <c r="O25" i="104"/>
  <c r="O21" i="104"/>
  <c r="O66" i="104"/>
  <c r="O50" i="104"/>
  <c r="O103" i="104"/>
  <c r="O67" i="104"/>
  <c r="O58" i="104"/>
  <c r="O51" i="104"/>
  <c r="O57" i="104"/>
  <c r="O52" i="104"/>
  <c r="O90" i="104"/>
  <c r="O85" i="104"/>
  <c r="O93" i="104"/>
  <c r="O59" i="104"/>
  <c r="O82" i="104"/>
  <c r="O86" i="104"/>
  <c r="O70" i="104"/>
  <c r="O74" i="104"/>
  <c r="O75" i="104"/>
  <c r="O16" i="104"/>
  <c r="O15" i="104"/>
  <c r="N5" i="121"/>
  <c r="F9" i="98"/>
  <c r="N16" i="121"/>
  <c r="O95" i="104"/>
  <c r="O38" i="104"/>
  <c r="O40" i="104"/>
  <c r="O72" i="104"/>
  <c r="O99" i="104"/>
  <c r="O104" i="104"/>
  <c r="O48" i="104"/>
  <c r="O73" i="104"/>
  <c r="O78" i="104"/>
  <c r="O71" i="104"/>
  <c r="O102" i="104"/>
  <c r="O43" i="104"/>
  <c r="O54" i="104"/>
  <c r="O91" i="104"/>
  <c r="O47" i="104"/>
  <c r="O97" i="104"/>
  <c r="O44" i="104"/>
  <c r="O89" i="104"/>
  <c r="O65" i="104"/>
  <c r="O34" i="104"/>
  <c r="O94" i="104"/>
  <c r="O55" i="104"/>
  <c r="O88" i="104"/>
  <c r="O98" i="104"/>
  <c r="O62" i="104"/>
  <c r="O81" i="104"/>
  <c r="O63" i="104"/>
  <c r="O37" i="104"/>
  <c r="O76" i="104"/>
  <c r="O53" i="104"/>
  <c r="O100" i="104"/>
  <c r="O87" i="104"/>
  <c r="O56" i="104"/>
  <c r="O45" i="104"/>
  <c r="O41" i="104"/>
  <c r="O33" i="104"/>
  <c r="O19" i="104"/>
  <c r="N15" i="121"/>
  <c r="V121" i="52"/>
  <c r="AQ121" i="52" s="1"/>
  <c r="BD121" i="52" s="1"/>
  <c r="N23" i="121"/>
  <c r="M75" i="121"/>
  <c r="E9" i="98"/>
  <c r="M79" i="121"/>
  <c r="N25" i="121"/>
  <c r="O10" i="104"/>
  <c r="N27" i="121"/>
  <c r="O27" i="121" s="1"/>
  <c r="N21" i="121"/>
  <c r="N26" i="121"/>
  <c r="O26" i="121" s="1"/>
  <c r="N10" i="121"/>
  <c r="N28" i="121"/>
  <c r="N31" i="121"/>
  <c r="O31" i="121" s="1"/>
  <c r="M66" i="121"/>
  <c r="M58" i="121"/>
  <c r="M62" i="121"/>
  <c r="M23" i="121"/>
  <c r="C8" i="97"/>
  <c r="M83" i="121"/>
  <c r="M41" i="121"/>
  <c r="M87" i="121"/>
  <c r="M100" i="121"/>
  <c r="M91" i="121"/>
  <c r="M104" i="121"/>
  <c r="M33" i="121"/>
  <c r="M50" i="121"/>
  <c r="M54" i="121"/>
  <c r="M37" i="121"/>
  <c r="M45" i="121"/>
  <c r="M70" i="121"/>
  <c r="M95" i="121"/>
  <c r="M52" i="121"/>
  <c r="M73" i="121"/>
  <c r="M98" i="121"/>
  <c r="M20" i="121"/>
  <c r="O20" i="121" s="1"/>
  <c r="M56" i="121"/>
  <c r="M77" i="121"/>
  <c r="M102" i="121"/>
  <c r="M6" i="121"/>
  <c r="O6" i="121" s="1"/>
  <c r="M14" i="121"/>
  <c r="O14" i="121" s="1"/>
  <c r="M60" i="121"/>
  <c r="M81" i="121"/>
  <c r="M35" i="121"/>
  <c r="M19" i="121"/>
  <c r="O19" i="121" s="1"/>
  <c r="M64" i="121"/>
  <c r="M85" i="121"/>
  <c r="M39" i="121"/>
  <c r="M31" i="121"/>
  <c r="M68" i="121"/>
  <c r="M89" i="121"/>
  <c r="M43" i="121"/>
  <c r="M72" i="121"/>
  <c r="M93" i="121"/>
  <c r="M47" i="121"/>
  <c r="M2" i="121"/>
  <c r="O2" i="121" s="1"/>
  <c r="M9" i="121"/>
  <c r="O9" i="121" s="1"/>
  <c r="M12" i="121"/>
  <c r="O12" i="121" s="1"/>
  <c r="M26" i="121"/>
  <c r="M3" i="121"/>
  <c r="O3" i="121" s="1"/>
  <c r="M25" i="121"/>
  <c r="M10" i="121"/>
  <c r="M27" i="121"/>
  <c r="M7" i="121"/>
  <c r="M13" i="121"/>
  <c r="O13" i="121" s="1"/>
  <c r="M76" i="121"/>
  <c r="M49" i="121"/>
  <c r="M97" i="121"/>
  <c r="M74" i="121"/>
  <c r="M51" i="121"/>
  <c r="M99" i="121"/>
  <c r="M4" i="121"/>
  <c r="O4" i="121" s="1"/>
  <c r="M16" i="121"/>
  <c r="M32" i="121"/>
  <c r="M80" i="121"/>
  <c r="M53" i="121"/>
  <c r="M101" i="121"/>
  <c r="M78" i="121"/>
  <c r="M55" i="121"/>
  <c r="M103" i="121"/>
  <c r="M8" i="121"/>
  <c r="O8" i="121" s="1"/>
  <c r="M5" i="121"/>
  <c r="M18" i="121"/>
  <c r="O18" i="121" s="1"/>
  <c r="M36" i="121"/>
  <c r="M84" i="121"/>
  <c r="M57" i="121"/>
  <c r="M34" i="121"/>
  <c r="M82" i="121"/>
  <c r="M59" i="121"/>
  <c r="M24" i="121"/>
  <c r="O24" i="121" s="1"/>
  <c r="M17" i="121"/>
  <c r="O17" i="121" s="1"/>
  <c r="M40" i="121"/>
  <c r="M88" i="121"/>
  <c r="M61" i="121"/>
  <c r="M38" i="121"/>
  <c r="M86" i="121"/>
  <c r="M63" i="121"/>
  <c r="M15" i="121"/>
  <c r="M44" i="121"/>
  <c r="M92" i="121"/>
  <c r="M65" i="121"/>
  <c r="M42" i="121"/>
  <c r="M90" i="121"/>
  <c r="M67" i="121"/>
  <c r="M29" i="121"/>
  <c r="O29" i="121" s="1"/>
  <c r="M11" i="121"/>
  <c r="O11" i="121" s="1"/>
  <c r="M30" i="121"/>
  <c r="G9" i="97"/>
  <c r="F9" i="97"/>
  <c r="M48" i="121"/>
  <c r="M96" i="121"/>
  <c r="M69" i="121"/>
  <c r="M46" i="121"/>
  <c r="M94" i="121"/>
  <c r="M71" i="121"/>
  <c r="M28" i="121"/>
  <c r="M22" i="121"/>
  <c r="O22" i="121" s="1"/>
  <c r="M21" i="121"/>
  <c r="V17" i="52"/>
  <c r="AQ17" i="52" s="1"/>
  <c r="BD17" i="52" s="1"/>
  <c r="A10" i="97"/>
  <c r="E10" i="97" s="1"/>
  <c r="B9" i="97"/>
  <c r="D9" i="97" s="1"/>
  <c r="C7" i="97"/>
  <c r="D7" i="97"/>
  <c r="A9" i="96"/>
  <c r="E8" i="96"/>
  <c r="B8" i="96"/>
  <c r="G8" i="96"/>
  <c r="F8" i="96"/>
  <c r="C7" i="96"/>
  <c r="D7" i="96"/>
  <c r="D7" i="95"/>
  <c r="C7" i="95"/>
  <c r="B8" i="95"/>
  <c r="A9" i="95"/>
  <c r="F8" i="95"/>
  <c r="G8" i="95"/>
  <c r="E8" i="95"/>
  <c r="C7" i="88"/>
  <c r="O32" i="104"/>
  <c r="N102" i="121"/>
  <c r="N98" i="121"/>
  <c r="N94" i="121"/>
  <c r="N90" i="121"/>
  <c r="N86" i="121"/>
  <c r="N82" i="121"/>
  <c r="N78" i="121"/>
  <c r="N74" i="121"/>
  <c r="N70" i="121"/>
  <c r="N66" i="121"/>
  <c r="N62" i="121"/>
  <c r="N58" i="121"/>
  <c r="N54" i="121"/>
  <c r="N50" i="121"/>
  <c r="N46" i="121"/>
  <c r="N42" i="121"/>
  <c r="N38" i="121"/>
  <c r="N34" i="121"/>
  <c r="N101" i="121"/>
  <c r="N97" i="121"/>
  <c r="N93" i="121"/>
  <c r="N89" i="121"/>
  <c r="N85" i="121"/>
  <c r="N81" i="121"/>
  <c r="N77" i="121"/>
  <c r="N73" i="121"/>
  <c r="N69" i="121"/>
  <c r="N65" i="121"/>
  <c r="N61" i="121"/>
  <c r="N57" i="121"/>
  <c r="N53" i="121"/>
  <c r="N49" i="121"/>
  <c r="N45" i="121"/>
  <c r="N41" i="121"/>
  <c r="N37" i="121"/>
  <c r="N33" i="121"/>
  <c r="N104" i="121"/>
  <c r="N100" i="121"/>
  <c r="N96" i="121"/>
  <c r="N92" i="121"/>
  <c r="N88" i="121"/>
  <c r="N84" i="121"/>
  <c r="N80" i="121"/>
  <c r="N76" i="121"/>
  <c r="N72" i="121"/>
  <c r="N68" i="121"/>
  <c r="N64" i="121"/>
  <c r="N60" i="121"/>
  <c r="N56" i="121"/>
  <c r="N52" i="121"/>
  <c r="N48" i="121"/>
  <c r="N44" i="121"/>
  <c r="N40" i="121"/>
  <c r="N36" i="121"/>
  <c r="N32" i="121"/>
  <c r="O32" i="121" s="1"/>
  <c r="N103" i="121"/>
  <c r="N99" i="121"/>
  <c r="N95" i="121"/>
  <c r="N91" i="121"/>
  <c r="N87" i="121"/>
  <c r="N83" i="121"/>
  <c r="N79" i="121"/>
  <c r="N75" i="121"/>
  <c r="N71" i="121"/>
  <c r="N67" i="121"/>
  <c r="N63" i="121"/>
  <c r="N59" i="121"/>
  <c r="N55" i="121"/>
  <c r="N51" i="121"/>
  <c r="N47" i="121"/>
  <c r="N43" i="121"/>
  <c r="N39" i="121"/>
  <c r="N35" i="121"/>
  <c r="O30" i="104"/>
  <c r="N30" i="121"/>
  <c r="H14" i="68"/>
  <c r="K13" i="68"/>
  <c r="C13" i="68"/>
  <c r="G14" i="68"/>
  <c r="J13" i="68"/>
  <c r="B13" i="68"/>
  <c r="F14" i="68"/>
  <c r="I13" i="68"/>
  <c r="E14" i="68"/>
  <c r="H13" i="68"/>
  <c r="L14" i="68"/>
  <c r="D14" i="68"/>
  <c r="G13" i="68"/>
  <c r="K14" i="68"/>
  <c r="C14" i="68"/>
  <c r="F13" i="68"/>
  <c r="J14" i="68"/>
  <c r="B14" i="68"/>
  <c r="E13" i="68"/>
  <c r="I14" i="68"/>
  <c r="L13" i="68"/>
  <c r="D13" i="68"/>
  <c r="I14" i="69"/>
  <c r="L13" i="69"/>
  <c r="D13" i="69"/>
  <c r="H14" i="69"/>
  <c r="K13" i="69"/>
  <c r="C13" i="69"/>
  <c r="G14" i="69"/>
  <c r="J13" i="69"/>
  <c r="B13" i="69"/>
  <c r="F14" i="69"/>
  <c r="I13" i="69"/>
  <c r="E14" i="69"/>
  <c r="H13" i="69"/>
  <c r="L14" i="69"/>
  <c r="D14" i="69"/>
  <c r="G13" i="69"/>
  <c r="K14" i="69"/>
  <c r="C14" i="69"/>
  <c r="F13" i="69"/>
  <c r="J14" i="69"/>
  <c r="B14" i="69"/>
  <c r="E13" i="69"/>
  <c r="F13" i="120"/>
  <c r="E13" i="120"/>
  <c r="A14" i="120"/>
  <c r="B13" i="120"/>
  <c r="G13" i="120"/>
  <c r="D12" i="120"/>
  <c r="C12" i="120"/>
  <c r="G6" i="101"/>
  <c r="P79" i="103"/>
  <c r="A7" i="101"/>
  <c r="F7" i="101" s="1"/>
  <c r="B6" i="101"/>
  <c r="D6" i="101" s="1"/>
  <c r="F6" i="101"/>
  <c r="D5" i="101"/>
  <c r="P33" i="103"/>
  <c r="P26" i="103"/>
  <c r="E7" i="100"/>
  <c r="B7" i="100"/>
  <c r="D7" i="100" s="1"/>
  <c r="C6" i="100"/>
  <c r="D8" i="99"/>
  <c r="C8" i="99"/>
  <c r="B9" i="99"/>
  <c r="A10" i="99"/>
  <c r="G9" i="99"/>
  <c r="E9" i="99"/>
  <c r="F9" i="99"/>
  <c r="P94" i="103"/>
  <c r="P21" i="103"/>
  <c r="BE173" i="57"/>
  <c r="BE199" i="57"/>
  <c r="P92" i="103"/>
  <c r="P84" i="103"/>
  <c r="P70" i="103"/>
  <c r="P72" i="103"/>
  <c r="P31" i="103"/>
  <c r="P24" i="103"/>
  <c r="P30" i="103"/>
  <c r="P14" i="103"/>
  <c r="P4" i="103"/>
  <c r="P86" i="103"/>
  <c r="P83" i="103"/>
  <c r="P48" i="103"/>
  <c r="P59" i="103"/>
  <c r="P7" i="103"/>
  <c r="P16" i="103"/>
  <c r="P5" i="103"/>
  <c r="P102" i="103"/>
  <c r="P27" i="103"/>
  <c r="P52" i="103"/>
  <c r="P97" i="103"/>
  <c r="P15" i="103"/>
  <c r="P76" i="103"/>
  <c r="P98" i="103"/>
  <c r="P38" i="103"/>
  <c r="P100" i="103"/>
  <c r="P44" i="103"/>
  <c r="P32" i="103"/>
  <c r="P20" i="103"/>
  <c r="P12" i="103"/>
  <c r="P58" i="103"/>
  <c r="P8" i="103"/>
  <c r="P67" i="103"/>
  <c r="P11" i="103"/>
  <c r="P17" i="103"/>
  <c r="P77" i="103"/>
  <c r="P42" i="103"/>
  <c r="P74" i="103"/>
  <c r="P28" i="103"/>
  <c r="P93" i="103"/>
  <c r="P43" i="103"/>
  <c r="P66" i="103"/>
  <c r="P89" i="103"/>
  <c r="P85" i="103"/>
  <c r="P54" i="103"/>
  <c r="P75" i="103"/>
  <c r="P88" i="103"/>
  <c r="P18" i="103"/>
  <c r="P50" i="103"/>
  <c r="P69" i="103"/>
  <c r="P56" i="103"/>
  <c r="P63" i="103"/>
  <c r="P82" i="103"/>
  <c r="P25" i="103"/>
  <c r="P65" i="103"/>
  <c r="P90" i="103"/>
  <c r="P60" i="103"/>
  <c r="P51" i="103"/>
  <c r="P78" i="103"/>
  <c r="P64" i="103"/>
  <c r="P37" i="103"/>
  <c r="P19" i="103"/>
  <c r="P61" i="103"/>
  <c r="P9" i="103"/>
  <c r="P53" i="103"/>
  <c r="P101" i="103"/>
  <c r="P62" i="103"/>
  <c r="P10" i="103"/>
  <c r="P22" i="103"/>
  <c r="G5" i="102"/>
  <c r="P71" i="103"/>
  <c r="P95" i="103"/>
  <c r="P49" i="103"/>
  <c r="P45" i="103"/>
  <c r="P68" i="103"/>
  <c r="P91" i="103"/>
  <c r="P23" i="103"/>
  <c r="P36" i="103"/>
  <c r="P13" i="103"/>
  <c r="P29" i="103"/>
  <c r="P2" i="103"/>
  <c r="P73" i="103"/>
  <c r="P87" i="103"/>
  <c r="P3" i="103"/>
  <c r="P103" i="103"/>
  <c r="P6" i="103"/>
  <c r="P57" i="103"/>
  <c r="P99" i="103"/>
  <c r="P46" i="103"/>
  <c r="P104" i="103"/>
  <c r="P40" i="103"/>
  <c r="P96" i="103"/>
  <c r="P39" i="103"/>
  <c r="P41" i="103"/>
  <c r="P55" i="103"/>
  <c r="P34" i="103"/>
  <c r="P80" i="103"/>
  <c r="P35" i="103"/>
  <c r="P81" i="103"/>
  <c r="P47" i="103"/>
  <c r="F5" i="102"/>
  <c r="B5" i="102"/>
  <c r="D5" i="102" s="1"/>
  <c r="E5" i="102"/>
  <c r="A6" i="102"/>
  <c r="E6" i="102" s="1"/>
  <c r="A8" i="100"/>
  <c r="G8" i="100" s="1"/>
  <c r="G7" i="100"/>
  <c r="B11" i="68"/>
  <c r="AE11" i="68" s="1"/>
  <c r="F12" i="68"/>
  <c r="H11" i="68"/>
  <c r="F8" i="68"/>
  <c r="J11" i="68"/>
  <c r="K11" i="68"/>
  <c r="G9" i="68"/>
  <c r="J12" i="68"/>
  <c r="K9" i="68"/>
  <c r="D10" i="68"/>
  <c r="I9" i="68"/>
  <c r="I10" i="68"/>
  <c r="H7" i="68"/>
  <c r="C10" i="68"/>
  <c r="J10" i="68"/>
  <c r="F7" i="68"/>
  <c r="B8" i="68"/>
  <c r="AE8" i="68" s="1"/>
  <c r="D11" i="68"/>
  <c r="B12" i="68"/>
  <c r="D8" i="68"/>
  <c r="C9" i="68"/>
  <c r="L11" i="68"/>
  <c r="G12" i="68"/>
  <c r="J8" i="68"/>
  <c r="G11" i="68"/>
  <c r="B7" i="68"/>
  <c r="L10" i="68"/>
  <c r="L8" i="68"/>
  <c r="K12" i="68"/>
  <c r="E12" i="68"/>
  <c r="D9" i="68"/>
  <c r="K7" i="68"/>
  <c r="C8" i="68"/>
  <c r="I12" i="68"/>
  <c r="I7" i="68"/>
  <c r="L12" i="68"/>
  <c r="J9" i="68"/>
  <c r="E9" i="68"/>
  <c r="D12" i="68"/>
  <c r="G8" i="68"/>
  <c r="J7" i="68"/>
  <c r="K8" i="68"/>
  <c r="D7" i="68"/>
  <c r="F9" i="68"/>
  <c r="C11" i="68"/>
  <c r="B9" i="68"/>
  <c r="AE9" i="68" s="1"/>
  <c r="H9" i="68"/>
  <c r="E8" i="68"/>
  <c r="F10" i="68"/>
  <c r="C7" i="68"/>
  <c r="E7" i="68"/>
  <c r="H12" i="68"/>
  <c r="L7" i="68"/>
  <c r="B10" i="68"/>
  <c r="AE10" i="68" s="1"/>
  <c r="I8" i="68"/>
  <c r="F11" i="68"/>
  <c r="H8" i="68"/>
  <c r="E10" i="68"/>
  <c r="C12" i="68"/>
  <c r="G10" i="68"/>
  <c r="K10" i="68"/>
  <c r="H10" i="68"/>
  <c r="I11" i="68"/>
  <c r="E11" i="68"/>
  <c r="L9" i="68"/>
  <c r="G7" i="68"/>
  <c r="F11" i="69"/>
  <c r="J8" i="69"/>
  <c r="B11" i="69"/>
  <c r="AE11" i="69" s="1"/>
  <c r="F9" i="69"/>
  <c r="I10" i="69"/>
  <c r="B7" i="69"/>
  <c r="D11" i="69"/>
  <c r="E12" i="69"/>
  <c r="H11" i="69"/>
  <c r="F12" i="69"/>
  <c r="K9" i="69"/>
  <c r="I12" i="69"/>
  <c r="D12" i="69"/>
  <c r="C9" i="69"/>
  <c r="L7" i="69"/>
  <c r="E11" i="69"/>
  <c r="L11" i="69"/>
  <c r="H9" i="69"/>
  <c r="I11" i="69"/>
  <c r="L10" i="69"/>
  <c r="C8" i="69"/>
  <c r="K7" i="69"/>
  <c r="B12" i="69"/>
  <c r="D7" i="69"/>
  <c r="D9" i="69"/>
  <c r="B9" i="69"/>
  <c r="AE9" i="69" s="1"/>
  <c r="G12" i="69"/>
  <c r="C12" i="69"/>
  <c r="C7" i="69"/>
  <c r="H12" i="69"/>
  <c r="H8" i="69"/>
  <c r="L8" i="69"/>
  <c r="F7" i="69"/>
  <c r="G7" i="69"/>
  <c r="K10" i="69"/>
  <c r="J11" i="69"/>
  <c r="G8" i="69"/>
  <c r="D8" i="69"/>
  <c r="G9" i="69"/>
  <c r="I8" i="69"/>
  <c r="E8" i="69"/>
  <c r="I7" i="69"/>
  <c r="G11" i="69"/>
  <c r="H7" i="69"/>
  <c r="G10" i="69"/>
  <c r="J9" i="69"/>
  <c r="I9" i="69"/>
  <c r="C11" i="69"/>
  <c r="K12" i="69"/>
  <c r="D10" i="69"/>
  <c r="J12" i="69"/>
  <c r="K11" i="69"/>
  <c r="C10" i="69"/>
  <c r="J7" i="69"/>
  <c r="J10" i="69"/>
  <c r="H10" i="69"/>
  <c r="AQ95" i="52"/>
  <c r="BD95" i="52" s="1"/>
  <c r="F8" i="69"/>
  <c r="E9" i="69"/>
  <c r="L9" i="69"/>
  <c r="K8" i="69"/>
  <c r="E7" i="69"/>
  <c r="E10" i="69"/>
  <c r="L12" i="69"/>
  <c r="B10" i="69"/>
  <c r="AE10" i="69" s="1"/>
  <c r="F10" i="69"/>
  <c r="B8" i="69"/>
  <c r="AE8" i="69" s="1"/>
  <c r="AQ95" i="55"/>
  <c r="BD95" i="55" s="1"/>
  <c r="V121" i="55"/>
  <c r="AQ121" i="55" s="1"/>
  <c r="BD121" i="55" s="1"/>
  <c r="BE17" i="57"/>
  <c r="V17" i="55"/>
  <c r="V69" i="55"/>
  <c r="AQ43" i="53"/>
  <c r="BD43" i="53" s="1"/>
  <c r="V43" i="55"/>
  <c r="V147" i="55"/>
  <c r="D8" i="88"/>
  <c r="C8" i="88"/>
  <c r="A10" i="88"/>
  <c r="E9" i="88"/>
  <c r="G9" i="88"/>
  <c r="B9" i="88"/>
  <c r="F9" i="88"/>
  <c r="BE147" i="57"/>
  <c r="BE95" i="57"/>
  <c r="BE121" i="57"/>
  <c r="BE43" i="57"/>
  <c r="BE69" i="57"/>
  <c r="A11" i="98" l="1"/>
  <c r="G10" i="98"/>
  <c r="B10" i="98"/>
  <c r="E10" i="98"/>
  <c r="C9" i="98"/>
  <c r="O40" i="121"/>
  <c r="O42" i="121"/>
  <c r="O76" i="121"/>
  <c r="O86" i="121"/>
  <c r="O93" i="121"/>
  <c r="O79" i="121"/>
  <c r="O5" i="121"/>
  <c r="O95" i="121"/>
  <c r="O97" i="121"/>
  <c r="O90" i="121"/>
  <c r="O94" i="121"/>
  <c r="O28" i="121"/>
  <c r="O35" i="121"/>
  <c r="O33" i="121"/>
  <c r="O30" i="121"/>
  <c r="O67" i="121"/>
  <c r="O88" i="121"/>
  <c r="O81" i="121"/>
  <c r="O47" i="121"/>
  <c r="O100" i="121"/>
  <c r="O23" i="121"/>
  <c r="O21" i="121"/>
  <c r="O103" i="121"/>
  <c r="O63" i="121"/>
  <c r="O71" i="121"/>
  <c r="O60" i="121"/>
  <c r="O84" i="121"/>
  <c r="O83" i="121"/>
  <c r="O61" i="121"/>
  <c r="O52" i="121"/>
  <c r="O45" i="121"/>
  <c r="O53" i="121"/>
  <c r="O16" i="121"/>
  <c r="O15" i="121"/>
  <c r="O10" i="121"/>
  <c r="F10" i="97"/>
  <c r="A11" i="97"/>
  <c r="B10" i="97"/>
  <c r="C10" i="97" s="1"/>
  <c r="G10" i="97"/>
  <c r="C9" i="97"/>
  <c r="O38" i="121"/>
  <c r="O70" i="121"/>
  <c r="O55" i="121"/>
  <c r="O49" i="121"/>
  <c r="O36" i="121"/>
  <c r="O91" i="121"/>
  <c r="O73" i="121"/>
  <c r="O39" i="121"/>
  <c r="O87" i="121"/>
  <c r="O72" i="121"/>
  <c r="O59" i="121"/>
  <c r="O101" i="121"/>
  <c r="O78" i="121"/>
  <c r="O89" i="121"/>
  <c r="O66" i="121"/>
  <c r="O80" i="121"/>
  <c r="O34" i="121"/>
  <c r="O82" i="121"/>
  <c r="O44" i="121"/>
  <c r="O92" i="121"/>
  <c r="O65" i="121"/>
  <c r="O75" i="121"/>
  <c r="O96" i="121"/>
  <c r="O69" i="121"/>
  <c r="O46" i="121"/>
  <c r="O50" i="121"/>
  <c r="O54" i="121"/>
  <c r="O102" i="121"/>
  <c r="O58" i="121"/>
  <c r="O43" i="121"/>
  <c r="O37" i="121"/>
  <c r="O62" i="121"/>
  <c r="O57" i="121"/>
  <c r="O98" i="121"/>
  <c r="O56" i="121"/>
  <c r="O104" i="121"/>
  <c r="O77" i="121"/>
  <c r="O64" i="121"/>
  <c r="O85" i="121"/>
  <c r="O68" i="121"/>
  <c r="O41" i="121"/>
  <c r="O48" i="121"/>
  <c r="O51" i="121"/>
  <c r="O99" i="121"/>
  <c r="O74" i="121"/>
  <c r="O25" i="121"/>
  <c r="BE95" i="52"/>
  <c r="C8" i="96"/>
  <c r="D8" i="96"/>
  <c r="B9" i="96"/>
  <c r="F9" i="96"/>
  <c r="A10" i="96"/>
  <c r="G9" i="96"/>
  <c r="E9" i="96"/>
  <c r="P41" i="104"/>
  <c r="B9" i="95"/>
  <c r="A10" i="95"/>
  <c r="E9" i="95"/>
  <c r="F9" i="95"/>
  <c r="G9" i="95"/>
  <c r="D8" i="95"/>
  <c r="C8" i="95"/>
  <c r="P14" i="104"/>
  <c r="P10" i="104"/>
  <c r="P30" i="104"/>
  <c r="P15" i="104"/>
  <c r="G7" i="101"/>
  <c r="P68" i="104"/>
  <c r="A8" i="101"/>
  <c r="B8" i="101" s="1"/>
  <c r="B7" i="101"/>
  <c r="D7" i="101" s="1"/>
  <c r="E7" i="101"/>
  <c r="BE43" i="52"/>
  <c r="P75" i="104"/>
  <c r="P24" i="104"/>
  <c r="P81" i="104"/>
  <c r="P95" i="104"/>
  <c r="P70" i="104"/>
  <c r="P35" i="104"/>
  <c r="P96" i="104"/>
  <c r="P38" i="104"/>
  <c r="P40" i="104"/>
  <c r="P93" i="104"/>
  <c r="P3" i="104"/>
  <c r="P72" i="104"/>
  <c r="P5" i="104"/>
  <c r="P66" i="104"/>
  <c r="P27" i="104"/>
  <c r="P86" i="104"/>
  <c r="P23" i="104"/>
  <c r="P61" i="104"/>
  <c r="P46" i="104"/>
  <c r="P29" i="104"/>
  <c r="P18" i="104"/>
  <c r="P62" i="104"/>
  <c r="P102" i="104"/>
  <c r="P37" i="104"/>
  <c r="P50" i="104"/>
  <c r="P101" i="104"/>
  <c r="P78" i="104"/>
  <c r="P4" i="104"/>
  <c r="P97" i="104"/>
  <c r="C6" i="101"/>
  <c r="P73" i="104"/>
  <c r="P48" i="104"/>
  <c r="P69" i="104"/>
  <c r="P36" i="104"/>
  <c r="P8" i="104"/>
  <c r="P45" i="104"/>
  <c r="P94" i="104"/>
  <c r="P80" i="104"/>
  <c r="P63" i="104"/>
  <c r="P74" i="104"/>
  <c r="P98" i="104"/>
  <c r="P17" i="104"/>
  <c r="P54" i="104"/>
  <c r="P33" i="104"/>
  <c r="P91" i="104"/>
  <c r="P31" i="104"/>
  <c r="P84" i="104"/>
  <c r="P9" i="104"/>
  <c r="P53" i="104"/>
  <c r="P19" i="104"/>
  <c r="P60" i="104"/>
  <c r="P26" i="104"/>
  <c r="P20" i="104"/>
  <c r="P22" i="104"/>
  <c r="P99" i="104"/>
  <c r="P6" i="104"/>
  <c r="P67" i="104"/>
  <c r="P89" i="104"/>
  <c r="P57" i="104"/>
  <c r="P47" i="104"/>
  <c r="P100" i="104"/>
  <c r="P92" i="104"/>
  <c r="P55" i="104"/>
  <c r="P11" i="104"/>
  <c r="P76" i="104"/>
  <c r="P103" i="104"/>
  <c r="P13" i="104"/>
  <c r="P85" i="104"/>
  <c r="P12" i="104"/>
  <c r="P90" i="104"/>
  <c r="P44" i="104"/>
  <c r="P28" i="104"/>
  <c r="P82" i="104"/>
  <c r="P65" i="104"/>
  <c r="P43" i="104"/>
  <c r="P87" i="104"/>
  <c r="P7" i="104"/>
  <c r="P21" i="104"/>
  <c r="P25" i="104"/>
  <c r="P77" i="104"/>
  <c r="P59" i="104"/>
  <c r="P79" i="104"/>
  <c r="P49" i="104"/>
  <c r="P16" i="104"/>
  <c r="P32" i="104"/>
  <c r="P71" i="104"/>
  <c r="P2" i="104"/>
  <c r="P104" i="104"/>
  <c r="P42" i="104"/>
  <c r="P52" i="104"/>
  <c r="P39" i="104"/>
  <c r="P64" i="104"/>
  <c r="P88" i="104"/>
  <c r="P83" i="104"/>
  <c r="P56" i="104"/>
  <c r="P34" i="104"/>
  <c r="P51" i="104"/>
  <c r="P58" i="104"/>
  <c r="N14" i="69"/>
  <c r="AB14" i="69" s="1"/>
  <c r="G14" i="70"/>
  <c r="J13" i="70"/>
  <c r="B13" i="70"/>
  <c r="F14" i="70"/>
  <c r="I13" i="70"/>
  <c r="E14" i="70"/>
  <c r="H13" i="70"/>
  <c r="L14" i="70"/>
  <c r="D14" i="70"/>
  <c r="G13" i="70"/>
  <c r="K14" i="70"/>
  <c r="C14" i="70"/>
  <c r="F13" i="70"/>
  <c r="J14" i="70"/>
  <c r="B14" i="70"/>
  <c r="E13" i="70"/>
  <c r="I14" i="70"/>
  <c r="L13" i="70"/>
  <c r="D13" i="70"/>
  <c r="H14" i="70"/>
  <c r="K13" i="70"/>
  <c r="C13" i="70"/>
  <c r="N13" i="68"/>
  <c r="AB13" i="68" s="1"/>
  <c r="M14" i="68"/>
  <c r="O14" i="68" s="1"/>
  <c r="AE13" i="68"/>
  <c r="AE12" i="68"/>
  <c r="N14" i="68"/>
  <c r="AB14" i="68" s="1"/>
  <c r="M13" i="68"/>
  <c r="O13" i="68" s="1"/>
  <c r="AE14" i="68"/>
  <c r="M13" i="69"/>
  <c r="O13" i="69" s="1"/>
  <c r="AE14" i="69"/>
  <c r="AE12" i="69"/>
  <c r="N13" i="69"/>
  <c r="AB13" i="69" s="1"/>
  <c r="M14" i="69"/>
  <c r="O14" i="69" s="1"/>
  <c r="AE13" i="69"/>
  <c r="C13" i="120"/>
  <c r="D13" i="120"/>
  <c r="B14" i="120"/>
  <c r="G14" i="120"/>
  <c r="E14" i="120"/>
  <c r="A15" i="120"/>
  <c r="F14" i="120"/>
  <c r="C7" i="100"/>
  <c r="B6" i="102"/>
  <c r="D6" i="102" s="1"/>
  <c r="BE121" i="52"/>
  <c r="B10" i="99"/>
  <c r="G10" i="99"/>
  <c r="A11" i="99"/>
  <c r="E10" i="99"/>
  <c r="F10" i="99"/>
  <c r="D9" i="99"/>
  <c r="C9" i="99"/>
  <c r="G6" i="102"/>
  <c r="F6" i="102"/>
  <c r="A7" i="102"/>
  <c r="B7" i="102" s="1"/>
  <c r="C5" i="102"/>
  <c r="F5" i="103"/>
  <c r="A6" i="103"/>
  <c r="A7" i="103" s="1"/>
  <c r="E5" i="103"/>
  <c r="B5" i="103"/>
  <c r="D5" i="103" s="1"/>
  <c r="BE17" i="53"/>
  <c r="BE173" i="53"/>
  <c r="BE199" i="53"/>
  <c r="G5" i="103"/>
  <c r="BE69" i="52"/>
  <c r="F8" i="100"/>
  <c r="A9" i="100"/>
  <c r="A10" i="100" s="1"/>
  <c r="E8" i="100"/>
  <c r="B8" i="100"/>
  <c r="D8" i="100" s="1"/>
  <c r="BE147" i="52"/>
  <c r="BE17" i="52"/>
  <c r="BE173" i="52"/>
  <c r="BE199" i="52"/>
  <c r="M11" i="68"/>
  <c r="O11" i="68" s="1"/>
  <c r="N12" i="68"/>
  <c r="AB12" i="68" s="1"/>
  <c r="N8" i="68"/>
  <c r="AB8" i="68" s="1"/>
  <c r="M12" i="68"/>
  <c r="O12" i="68" s="1"/>
  <c r="N11" i="68"/>
  <c r="AB11" i="68" s="1"/>
  <c r="N10" i="68"/>
  <c r="AB10" i="68" s="1"/>
  <c r="M10" i="68"/>
  <c r="O10" i="68" s="1"/>
  <c r="M7" i="68"/>
  <c r="O7" i="68" s="1"/>
  <c r="N9" i="68"/>
  <c r="AB9" i="68" s="1"/>
  <c r="M9" i="68"/>
  <c r="O9" i="68" s="1"/>
  <c r="N7" i="68"/>
  <c r="M8" i="68"/>
  <c r="O8" i="68" s="1"/>
  <c r="N11" i="69"/>
  <c r="AB11" i="69" s="1"/>
  <c r="M8" i="69"/>
  <c r="O8" i="69" s="1"/>
  <c r="N10" i="69"/>
  <c r="AB10" i="69" s="1"/>
  <c r="M10" i="69"/>
  <c r="O10" i="69" s="1"/>
  <c r="N8" i="69"/>
  <c r="AB8" i="69" s="1"/>
  <c r="N7" i="69"/>
  <c r="N9" i="69"/>
  <c r="AB9" i="69" s="1"/>
  <c r="M9" i="69"/>
  <c r="O9" i="69" s="1"/>
  <c r="M12" i="69"/>
  <c r="O12" i="69" s="1"/>
  <c r="N12" i="69"/>
  <c r="AB12" i="69" s="1"/>
  <c r="M7" i="69"/>
  <c r="O7" i="69" s="1"/>
  <c r="M11" i="69"/>
  <c r="O11" i="69" s="1"/>
  <c r="BE121" i="53"/>
  <c r="G8" i="70"/>
  <c r="H8" i="70"/>
  <c r="F8" i="70"/>
  <c r="K8" i="70"/>
  <c r="J8" i="70"/>
  <c r="L8" i="70"/>
  <c r="B8" i="70"/>
  <c r="I8" i="70"/>
  <c r="E8" i="70"/>
  <c r="C8" i="70"/>
  <c r="BE43" i="53"/>
  <c r="BE69" i="53"/>
  <c r="D8" i="70"/>
  <c r="I10" i="70"/>
  <c r="F7" i="70"/>
  <c r="E10" i="70"/>
  <c r="J9" i="70"/>
  <c r="E11" i="98"/>
  <c r="G11" i="98"/>
  <c r="B11" i="98"/>
  <c r="F11" i="98"/>
  <c r="A12" i="98"/>
  <c r="A12" i="97"/>
  <c r="F11" i="97"/>
  <c r="B11" i="97"/>
  <c r="E11" i="97"/>
  <c r="G11" i="97"/>
  <c r="BE95" i="53"/>
  <c r="AQ17" i="55"/>
  <c r="BD17" i="55" s="1"/>
  <c r="B12" i="70"/>
  <c r="D12" i="70"/>
  <c r="D10" i="98"/>
  <c r="C10" i="98"/>
  <c r="AQ69" i="55"/>
  <c r="BD69" i="55" s="1"/>
  <c r="I7" i="70"/>
  <c r="H9" i="70"/>
  <c r="G7" i="70"/>
  <c r="F9" i="70"/>
  <c r="L9" i="70"/>
  <c r="L7" i="70"/>
  <c r="AQ147" i="55"/>
  <c r="BD147" i="55" s="1"/>
  <c r="D9" i="70"/>
  <c r="AQ43" i="55"/>
  <c r="BD43" i="55" s="1"/>
  <c r="BE147" i="53"/>
  <c r="C9" i="88"/>
  <c r="D9" i="88"/>
  <c r="B10" i="88"/>
  <c r="A11" i="88"/>
  <c r="G10" i="88"/>
  <c r="E10" i="88"/>
  <c r="F10" i="88"/>
  <c r="D7" i="70"/>
  <c r="H12" i="70"/>
  <c r="L12" i="70"/>
  <c r="L11" i="70"/>
  <c r="J11" i="70"/>
  <c r="D10" i="70"/>
  <c r="B10" i="70"/>
  <c r="I12" i="70"/>
  <c r="K7" i="70"/>
  <c r="E11" i="70"/>
  <c r="K9" i="70"/>
  <c r="C7" i="70"/>
  <c r="E7" i="70"/>
  <c r="E9" i="70"/>
  <c r="C9" i="70"/>
  <c r="I9" i="70"/>
  <c r="H10" i="70"/>
  <c r="C10" i="70"/>
  <c r="J10" i="70"/>
  <c r="I11" i="70"/>
  <c r="G9" i="70"/>
  <c r="J7" i="70"/>
  <c r="F10" i="70"/>
  <c r="E12" i="70"/>
  <c r="F12" i="70"/>
  <c r="F11" i="70"/>
  <c r="J12" i="70"/>
  <c r="G10" i="70"/>
  <c r="G12" i="70"/>
  <c r="H7" i="70"/>
  <c r="B7" i="70"/>
  <c r="K11" i="70"/>
  <c r="G11" i="70"/>
  <c r="C12" i="70"/>
  <c r="B11" i="70"/>
  <c r="K12" i="70"/>
  <c r="L10" i="70"/>
  <c r="D11" i="70"/>
  <c r="H11" i="70"/>
  <c r="B9" i="70"/>
  <c r="C11" i="70"/>
  <c r="K10" i="70"/>
  <c r="D10" i="97" l="1"/>
  <c r="BE17" i="55"/>
  <c r="C11" i="66"/>
  <c r="P77" i="121"/>
  <c r="P81" i="121"/>
  <c r="P12" i="121"/>
  <c r="P6" i="121"/>
  <c r="P62" i="121"/>
  <c r="P15" i="121"/>
  <c r="P65" i="121"/>
  <c r="P34" i="121"/>
  <c r="P90" i="121"/>
  <c r="P51" i="121"/>
  <c r="P20" i="121"/>
  <c r="P13" i="121"/>
  <c r="P30" i="121"/>
  <c r="P8" i="121"/>
  <c r="P68" i="121"/>
  <c r="P78" i="121"/>
  <c r="P49" i="121"/>
  <c r="P45" i="121"/>
  <c r="P73" i="121"/>
  <c r="P101" i="121"/>
  <c r="P58" i="121"/>
  <c r="P86" i="121"/>
  <c r="P82" i="121"/>
  <c r="P11" i="121"/>
  <c r="P23" i="121"/>
  <c r="P84" i="121"/>
  <c r="P88" i="121"/>
  <c r="P85" i="121"/>
  <c r="P53" i="121"/>
  <c r="P80" i="121"/>
  <c r="P43" i="121"/>
  <c r="P71" i="121"/>
  <c r="P67" i="121"/>
  <c r="P95" i="121"/>
  <c r="P48" i="121"/>
  <c r="P76" i="121"/>
  <c r="P104" i="121"/>
  <c r="P100" i="121"/>
  <c r="P92" i="121"/>
  <c r="P50" i="121"/>
  <c r="P56" i="121"/>
  <c r="P16" i="121"/>
  <c r="P52" i="121"/>
  <c r="P57" i="121"/>
  <c r="P64" i="121"/>
  <c r="P39" i="121"/>
  <c r="P35" i="121"/>
  <c r="P63" i="121"/>
  <c r="P91" i="121"/>
  <c r="P44" i="121"/>
  <c r="P72" i="121"/>
  <c r="P97" i="121"/>
  <c r="P60" i="121"/>
  <c r="P99" i="121"/>
  <c r="P61" i="121"/>
  <c r="P96" i="121"/>
  <c r="P32" i="121"/>
  <c r="P21" i="121"/>
  <c r="P2" i="121"/>
  <c r="P19" i="121"/>
  <c r="P59" i="121"/>
  <c r="P87" i="121"/>
  <c r="P40" i="121"/>
  <c r="P36" i="121"/>
  <c r="P89" i="121"/>
  <c r="P103" i="121"/>
  <c r="P33" i="121"/>
  <c r="P75" i="121"/>
  <c r="P14" i="121"/>
  <c r="P28" i="121"/>
  <c r="P3" i="121"/>
  <c r="P25" i="121"/>
  <c r="P55" i="121"/>
  <c r="P83" i="121"/>
  <c r="P79" i="121"/>
  <c r="P41" i="121"/>
  <c r="P37" i="121"/>
  <c r="P102" i="121"/>
  <c r="P9" i="121"/>
  <c r="P31" i="121"/>
  <c r="P29" i="121"/>
  <c r="P27" i="121"/>
  <c r="P47" i="121"/>
  <c r="P46" i="121"/>
  <c r="P54" i="121"/>
  <c r="P93" i="121"/>
  <c r="P74" i="121"/>
  <c r="P70" i="121"/>
  <c r="P98" i="121"/>
  <c r="P24" i="121"/>
  <c r="P10" i="121"/>
  <c r="P26" i="121"/>
  <c r="P5" i="121"/>
  <c r="P4" i="121"/>
  <c r="P69" i="121"/>
  <c r="P7" i="121"/>
  <c r="P42" i="121"/>
  <c r="P38" i="121"/>
  <c r="P66" i="121"/>
  <c r="P94" i="121"/>
  <c r="P18" i="121"/>
  <c r="P17" i="121"/>
  <c r="P22" i="121"/>
  <c r="C7" i="101"/>
  <c r="F10" i="96"/>
  <c r="E10" i="96"/>
  <c r="G10" i="96"/>
  <c r="A11" i="96"/>
  <c r="B10" i="96"/>
  <c r="C9" i="96"/>
  <c r="D9" i="96"/>
  <c r="F8" i="101"/>
  <c r="E8" i="101"/>
  <c r="A9" i="101"/>
  <c r="B9" i="101" s="1"/>
  <c r="E10" i="95"/>
  <c r="F10" i="95"/>
  <c r="G10" i="95"/>
  <c r="A11" i="95"/>
  <c r="B10" i="95"/>
  <c r="C9" i="95"/>
  <c r="D9" i="95"/>
  <c r="G8" i="101"/>
  <c r="F5" i="104"/>
  <c r="G5" i="104"/>
  <c r="B5" i="104"/>
  <c r="D5" i="104" s="1"/>
  <c r="A6" i="104"/>
  <c r="A7" i="104" s="1"/>
  <c r="E5" i="104"/>
  <c r="A8" i="102"/>
  <c r="B8" i="102" s="1"/>
  <c r="M13" i="70"/>
  <c r="O13" i="70" s="1"/>
  <c r="AA12" i="69"/>
  <c r="AC12" i="69" s="1"/>
  <c r="AD12" i="69" s="1"/>
  <c r="AA13" i="69"/>
  <c r="AC13" i="69" s="1"/>
  <c r="AD13" i="69" s="1"/>
  <c r="M14" i="70"/>
  <c r="O14" i="70" s="1"/>
  <c r="N14" i="70"/>
  <c r="N13" i="70"/>
  <c r="AA12" i="68"/>
  <c r="AC12" i="68" s="1"/>
  <c r="AA13" i="68"/>
  <c r="AC13" i="68" s="1"/>
  <c r="AA14" i="68"/>
  <c r="AC14" i="68" s="1"/>
  <c r="AA14" i="69"/>
  <c r="AC14" i="69" s="1"/>
  <c r="AD14" i="69" s="1"/>
  <c r="F15" i="120"/>
  <c r="E15" i="120"/>
  <c r="A16" i="120"/>
  <c r="B15" i="120"/>
  <c r="G15" i="120"/>
  <c r="D14" i="120"/>
  <c r="C14" i="120"/>
  <c r="C6" i="102"/>
  <c r="C8" i="100"/>
  <c r="L14" i="66"/>
  <c r="D14" i="66"/>
  <c r="G13" i="66"/>
  <c r="J14" i="66"/>
  <c r="K14" i="66"/>
  <c r="C14" i="66"/>
  <c r="F13" i="66"/>
  <c r="B14" i="66"/>
  <c r="I14" i="66"/>
  <c r="L13" i="66"/>
  <c r="D13" i="66"/>
  <c r="H14" i="66"/>
  <c r="K13" i="66"/>
  <c r="C13" i="66"/>
  <c r="F14" i="66"/>
  <c r="G14" i="66"/>
  <c r="J13" i="66"/>
  <c r="B13" i="66"/>
  <c r="I13" i="66"/>
  <c r="E14" i="66"/>
  <c r="H13" i="66"/>
  <c r="E13" i="66"/>
  <c r="E9" i="100"/>
  <c r="K8" i="60"/>
  <c r="F9" i="100"/>
  <c r="E7" i="102"/>
  <c r="G7" i="102"/>
  <c r="F7" i="102"/>
  <c r="C5" i="103"/>
  <c r="F10" i="60"/>
  <c r="A12" i="99"/>
  <c r="B11" i="99"/>
  <c r="F11" i="99"/>
  <c r="E11" i="99"/>
  <c r="G11" i="99"/>
  <c r="C10" i="99"/>
  <c r="D10" i="99"/>
  <c r="F6" i="103"/>
  <c r="E6" i="103"/>
  <c r="G6" i="103"/>
  <c r="BE199" i="55"/>
  <c r="BE173" i="55"/>
  <c r="B6" i="103"/>
  <c r="D6" i="103" s="1"/>
  <c r="B9" i="100"/>
  <c r="C9" i="100" s="1"/>
  <c r="G9" i="100"/>
  <c r="D9" i="60"/>
  <c r="C11" i="60"/>
  <c r="J10" i="60"/>
  <c r="C12" i="60"/>
  <c r="F8" i="60"/>
  <c r="L8" i="60"/>
  <c r="G8" i="60"/>
  <c r="I11" i="60"/>
  <c r="I10" i="60"/>
  <c r="E10" i="60"/>
  <c r="K7" i="60"/>
  <c r="I9" i="60"/>
  <c r="K9" i="60"/>
  <c r="E7" i="60"/>
  <c r="E11" i="60"/>
  <c r="C10" i="60"/>
  <c r="L7" i="60"/>
  <c r="F11" i="60"/>
  <c r="D7" i="60"/>
  <c r="J8" i="60"/>
  <c r="G10" i="60"/>
  <c r="B7" i="60"/>
  <c r="AE7" i="60" s="1"/>
  <c r="E8" i="60"/>
  <c r="K10" i="60"/>
  <c r="H8" i="60"/>
  <c r="G9" i="60"/>
  <c r="H10" i="60"/>
  <c r="C7" i="60"/>
  <c r="B11" i="60"/>
  <c r="AE11" i="60" s="1"/>
  <c r="C8" i="60"/>
  <c r="H9" i="60"/>
  <c r="E12" i="60"/>
  <c r="D12" i="60"/>
  <c r="B12" i="60"/>
  <c r="AE12" i="60" s="1"/>
  <c r="I12" i="60"/>
  <c r="F12" i="60"/>
  <c r="C13" i="60"/>
  <c r="J13" i="60"/>
  <c r="B10" i="60"/>
  <c r="AE10" i="60" s="1"/>
  <c r="D10" i="60"/>
  <c r="K12" i="60"/>
  <c r="I7" i="60"/>
  <c r="E9" i="60"/>
  <c r="D8" i="60"/>
  <c r="B9" i="60"/>
  <c r="AE9" i="60" s="1"/>
  <c r="K11" i="60"/>
  <c r="E13" i="60"/>
  <c r="G12" i="60"/>
  <c r="G7" i="60"/>
  <c r="D11" i="60"/>
  <c r="L12" i="60"/>
  <c r="G11" i="60"/>
  <c r="B8" i="60"/>
  <c r="AE8" i="60" s="1"/>
  <c r="J11" i="60"/>
  <c r="J14" i="60"/>
  <c r="L14" i="60"/>
  <c r="H11" i="60"/>
  <c r="H13" i="60"/>
  <c r="F7" i="60"/>
  <c r="H7" i="60"/>
  <c r="L11" i="60"/>
  <c r="J7" i="60"/>
  <c r="C9" i="60"/>
  <c r="H12" i="60"/>
  <c r="J12" i="60"/>
  <c r="L9" i="60"/>
  <c r="L10" i="60"/>
  <c r="F14" i="60"/>
  <c r="G14" i="60"/>
  <c r="I8" i="60"/>
  <c r="J9" i="60"/>
  <c r="F9" i="60"/>
  <c r="D14" i="60"/>
  <c r="H14" i="60"/>
  <c r="C14" i="60"/>
  <c r="L13" i="60"/>
  <c r="K14" i="60"/>
  <c r="I14" i="60"/>
  <c r="B14" i="60"/>
  <c r="AE14" i="60" s="1"/>
  <c r="F13" i="60"/>
  <c r="K13" i="60"/>
  <c r="E14" i="60"/>
  <c r="G13" i="60"/>
  <c r="D13" i="60"/>
  <c r="B13" i="60"/>
  <c r="AE13" i="60" s="1"/>
  <c r="I13" i="60"/>
  <c r="AA11" i="68"/>
  <c r="AC11" i="68" s="1"/>
  <c r="AA10" i="68"/>
  <c r="AC10" i="68" s="1"/>
  <c r="AA8" i="68"/>
  <c r="AC8" i="68" s="1"/>
  <c r="AA9" i="68"/>
  <c r="AC9" i="68" s="1"/>
  <c r="AA10" i="69"/>
  <c r="AC10" i="69" s="1"/>
  <c r="AD10" i="69" s="1"/>
  <c r="AA11" i="69"/>
  <c r="AC11" i="69" s="1"/>
  <c r="AD11" i="69" s="1"/>
  <c r="AA8" i="69"/>
  <c r="AC8" i="69" s="1"/>
  <c r="AD8" i="69" s="1"/>
  <c r="AA9" i="69"/>
  <c r="AC9" i="69" s="1"/>
  <c r="AD9" i="69" s="1"/>
  <c r="M8" i="70"/>
  <c r="O8" i="70" s="1"/>
  <c r="B9" i="66"/>
  <c r="E7" i="66"/>
  <c r="B7" i="66"/>
  <c r="G7" i="66"/>
  <c r="L7" i="66"/>
  <c r="J7" i="66"/>
  <c r="D7" i="66"/>
  <c r="K7" i="66"/>
  <c r="F8" i="66"/>
  <c r="F7" i="66"/>
  <c r="L8" i="66"/>
  <c r="I11" i="66"/>
  <c r="K9" i="66"/>
  <c r="I7" i="66"/>
  <c r="C7" i="66"/>
  <c r="H7" i="66"/>
  <c r="B8" i="66"/>
  <c r="N8" i="70"/>
  <c r="I9" i="66"/>
  <c r="H10" i="66"/>
  <c r="C9" i="66"/>
  <c r="J8" i="66"/>
  <c r="G9" i="66"/>
  <c r="D9" i="66"/>
  <c r="F9" i="66"/>
  <c r="L9" i="66"/>
  <c r="E9" i="66"/>
  <c r="H9" i="66"/>
  <c r="I8" i="66"/>
  <c r="B12" i="66"/>
  <c r="J9" i="66"/>
  <c r="G8" i="66"/>
  <c r="J11" i="66"/>
  <c r="D8" i="66"/>
  <c r="I12" i="66"/>
  <c r="H8" i="66"/>
  <c r="K8" i="66"/>
  <c r="F12" i="66"/>
  <c r="F11" i="66"/>
  <c r="H12" i="66"/>
  <c r="K12" i="66"/>
  <c r="I10" i="66"/>
  <c r="L12" i="66"/>
  <c r="H11" i="66"/>
  <c r="C8" i="66"/>
  <c r="E8" i="66"/>
  <c r="E10" i="66"/>
  <c r="D10" i="66"/>
  <c r="K11" i="66"/>
  <c r="D12" i="66"/>
  <c r="C10" i="66"/>
  <c r="N12" i="70"/>
  <c r="BE43" i="55"/>
  <c r="E12" i="66"/>
  <c r="K10" i="66"/>
  <c r="G12" i="66"/>
  <c r="B10" i="66"/>
  <c r="N9" i="70"/>
  <c r="BE69" i="55"/>
  <c r="N11" i="70"/>
  <c r="B12" i="97"/>
  <c r="F12" i="97"/>
  <c r="A13" i="97"/>
  <c r="E12" i="97"/>
  <c r="G12" i="97"/>
  <c r="B12" i="98"/>
  <c r="G12" i="98"/>
  <c r="A13" i="98"/>
  <c r="F12" i="98"/>
  <c r="E12" i="98"/>
  <c r="BE121" i="55"/>
  <c r="BE95" i="55"/>
  <c r="D11" i="97"/>
  <c r="C11" i="97"/>
  <c r="F10" i="66"/>
  <c r="L11" i="66"/>
  <c r="E11" i="66"/>
  <c r="J10" i="66"/>
  <c r="G10" i="66"/>
  <c r="J12" i="66"/>
  <c r="G11" i="66"/>
  <c r="C12" i="66"/>
  <c r="D11" i="66"/>
  <c r="L10" i="66"/>
  <c r="D11" i="98"/>
  <c r="C11" i="98"/>
  <c r="M7" i="70"/>
  <c r="O7" i="70" s="1"/>
  <c r="BE147" i="55"/>
  <c r="C10" i="88"/>
  <c r="D10" i="88"/>
  <c r="D8" i="101"/>
  <c r="C8" i="101"/>
  <c r="D7" i="102"/>
  <c r="C7" i="102"/>
  <c r="G10" i="100"/>
  <c r="B10" i="100"/>
  <c r="A11" i="100"/>
  <c r="F10" i="100"/>
  <c r="E10" i="100"/>
  <c r="E7" i="103"/>
  <c r="F7" i="103"/>
  <c r="G7" i="103"/>
  <c r="A8" i="103"/>
  <c r="B7" i="103"/>
  <c r="B11" i="88"/>
  <c r="F11" i="88"/>
  <c r="A12" i="88"/>
  <c r="E11" i="88"/>
  <c r="G11" i="88"/>
  <c r="N7" i="70"/>
  <c r="M9" i="70"/>
  <c r="O9" i="70" s="1"/>
  <c r="M11" i="70"/>
  <c r="O11" i="70" s="1"/>
  <c r="M12" i="70"/>
  <c r="O12" i="70" s="1"/>
  <c r="N10" i="70"/>
  <c r="M10" i="70"/>
  <c r="O10" i="70" s="1"/>
  <c r="B11" i="66"/>
  <c r="A6" i="121" l="1"/>
  <c r="B6" i="121" s="1"/>
  <c r="B5" i="121"/>
  <c r="C5" i="121" s="1"/>
  <c r="E5" i="121"/>
  <c r="F5" i="121"/>
  <c r="G5" i="121"/>
  <c r="E6" i="104"/>
  <c r="D10" i="96"/>
  <c r="C10" i="96"/>
  <c r="B11" i="96"/>
  <c r="F11" i="96"/>
  <c r="A12" i="96"/>
  <c r="G11" i="96"/>
  <c r="E11" i="96"/>
  <c r="G9" i="101"/>
  <c r="A10" i="101"/>
  <c r="B10" i="101" s="1"/>
  <c r="G6" i="104"/>
  <c r="F9" i="101"/>
  <c r="E9" i="101"/>
  <c r="B6" i="104"/>
  <c r="C6" i="104" s="1"/>
  <c r="C10" i="95"/>
  <c r="D10" i="95"/>
  <c r="F11" i="95"/>
  <c r="E11" i="95"/>
  <c r="G11" i="95"/>
  <c r="B11" i="95"/>
  <c r="A12" i="95"/>
  <c r="F6" i="104"/>
  <c r="A9" i="102"/>
  <c r="B9" i="102" s="1"/>
  <c r="F8" i="102"/>
  <c r="C5" i="104"/>
  <c r="G8" i="102"/>
  <c r="E8" i="102"/>
  <c r="AE12" i="66"/>
  <c r="AE13" i="66"/>
  <c r="AE14" i="66"/>
  <c r="C15" i="120"/>
  <c r="D15" i="120"/>
  <c r="B16" i="120"/>
  <c r="G16" i="120"/>
  <c r="E16" i="120"/>
  <c r="A17" i="120"/>
  <c r="F16" i="120"/>
  <c r="E14" i="63"/>
  <c r="H13" i="63"/>
  <c r="L14" i="63"/>
  <c r="D14" i="63"/>
  <c r="G13" i="63"/>
  <c r="K14" i="63"/>
  <c r="C14" i="63"/>
  <c r="F13" i="63"/>
  <c r="J14" i="63"/>
  <c r="B14" i="63"/>
  <c r="E13" i="63"/>
  <c r="I14" i="63"/>
  <c r="L13" i="63"/>
  <c r="D13" i="63"/>
  <c r="H14" i="63"/>
  <c r="K13" i="63"/>
  <c r="C13" i="63"/>
  <c r="G14" i="63"/>
  <c r="J13" i="63"/>
  <c r="B13" i="63"/>
  <c r="F14" i="63"/>
  <c r="I13" i="63"/>
  <c r="M13" i="66"/>
  <c r="O13" i="66" s="1"/>
  <c r="M14" i="66"/>
  <c r="O14" i="66" s="1"/>
  <c r="N13" i="66"/>
  <c r="N14" i="66"/>
  <c r="D9" i="100"/>
  <c r="AE8" i="66"/>
  <c r="AE9" i="66"/>
  <c r="M10" i="60"/>
  <c r="O10" i="60" s="1"/>
  <c r="AE11" i="66"/>
  <c r="AE7" i="66"/>
  <c r="AE10" i="66"/>
  <c r="C11" i="99"/>
  <c r="D11" i="99"/>
  <c r="E12" i="99"/>
  <c r="F12" i="99"/>
  <c r="B12" i="99"/>
  <c r="A13" i="99"/>
  <c r="G12" i="99"/>
  <c r="C6" i="103"/>
  <c r="M9" i="60"/>
  <c r="O9" i="60" s="1"/>
  <c r="M7" i="60"/>
  <c r="O7" i="60" s="1"/>
  <c r="N8" i="60"/>
  <c r="N11" i="60"/>
  <c r="N10" i="60"/>
  <c r="M8" i="60"/>
  <c r="O8" i="60" s="1"/>
  <c r="N12" i="60"/>
  <c r="M12" i="60"/>
  <c r="O12" i="60" s="1"/>
  <c r="N9" i="60"/>
  <c r="N7" i="60"/>
  <c r="M11" i="60"/>
  <c r="O11" i="60" s="1"/>
  <c r="N14" i="60"/>
  <c r="M13" i="60"/>
  <c r="O13" i="60" s="1"/>
  <c r="N13" i="60"/>
  <c r="M14" i="60"/>
  <c r="O14" i="60" s="1"/>
  <c r="N7" i="66"/>
  <c r="M7" i="66"/>
  <c r="O7" i="66" s="1"/>
  <c r="N8" i="66"/>
  <c r="M9" i="66"/>
  <c r="O9" i="66" s="1"/>
  <c r="N9" i="66"/>
  <c r="M8" i="66"/>
  <c r="O8" i="66" s="1"/>
  <c r="N11" i="66"/>
  <c r="N12" i="66"/>
  <c r="M10" i="66"/>
  <c r="O10" i="66" s="1"/>
  <c r="M12" i="66"/>
  <c r="O12" i="66" s="1"/>
  <c r="M11" i="66"/>
  <c r="O11" i="66" s="1"/>
  <c r="N10" i="66"/>
  <c r="D12" i="97"/>
  <c r="C12" i="97"/>
  <c r="F13" i="98"/>
  <c r="G13" i="98"/>
  <c r="B13" i="98"/>
  <c r="A14" i="98"/>
  <c r="E13" i="98"/>
  <c r="L9" i="63"/>
  <c r="H9" i="63"/>
  <c r="F9" i="63"/>
  <c r="F10" i="63"/>
  <c r="K12" i="63"/>
  <c r="L8" i="63"/>
  <c r="G7" i="63"/>
  <c r="H12" i="63"/>
  <c r="J8" i="63"/>
  <c r="K9" i="63"/>
  <c r="H8" i="63"/>
  <c r="J7" i="63"/>
  <c r="B12" i="63"/>
  <c r="E9" i="63"/>
  <c r="F11" i="63"/>
  <c r="L7" i="63"/>
  <c r="J11" i="63"/>
  <c r="D7" i="63"/>
  <c r="K8" i="63"/>
  <c r="D9" i="63"/>
  <c r="L11" i="63"/>
  <c r="E12" i="63"/>
  <c r="C10" i="63"/>
  <c r="B11" i="63"/>
  <c r="K7" i="63"/>
  <c r="E7" i="63"/>
  <c r="C11" i="63"/>
  <c r="J12" i="63"/>
  <c r="I8" i="63"/>
  <c r="L12" i="63"/>
  <c r="C7" i="63"/>
  <c r="C12" i="63"/>
  <c r="I12" i="63"/>
  <c r="K11" i="63"/>
  <c r="G9" i="63"/>
  <c r="L10" i="63"/>
  <c r="G12" i="63"/>
  <c r="D8" i="63"/>
  <c r="I11" i="63"/>
  <c r="H10" i="63"/>
  <c r="G8" i="63"/>
  <c r="G11" i="63"/>
  <c r="D10" i="63"/>
  <c r="E11" i="63"/>
  <c r="F8" i="63"/>
  <c r="B9" i="63"/>
  <c r="I7" i="63"/>
  <c r="J9" i="63"/>
  <c r="D12" i="63"/>
  <c r="B10" i="63"/>
  <c r="F7" i="63"/>
  <c r="E10" i="63"/>
  <c r="K10" i="63"/>
  <c r="F12" i="63"/>
  <c r="B7" i="63"/>
  <c r="H11" i="63"/>
  <c r="E8" i="63"/>
  <c r="I10" i="63"/>
  <c r="H7" i="63"/>
  <c r="C9" i="63"/>
  <c r="I9" i="63"/>
  <c r="J10" i="63"/>
  <c r="G10" i="63"/>
  <c r="B8" i="63"/>
  <c r="D11" i="63"/>
  <c r="C8" i="63"/>
  <c r="C12" i="98"/>
  <c r="D12" i="98"/>
  <c r="B13" i="97"/>
  <c r="A14" i="97"/>
  <c r="F13" i="97"/>
  <c r="E13" i="97"/>
  <c r="G13" i="97"/>
  <c r="B12" i="88"/>
  <c r="G12" i="88"/>
  <c r="E12" i="88"/>
  <c r="A13" i="88"/>
  <c r="F12" i="88"/>
  <c r="C11" i="88"/>
  <c r="D11" i="88"/>
  <c r="C7" i="103"/>
  <c r="D7" i="103"/>
  <c r="E8" i="103"/>
  <c r="G8" i="103"/>
  <c r="A9" i="103"/>
  <c r="B8" i="103"/>
  <c r="F8" i="103"/>
  <c r="D8" i="102"/>
  <c r="C8" i="102"/>
  <c r="B11" i="100"/>
  <c r="A12" i="100"/>
  <c r="E11" i="100"/>
  <c r="F11" i="100"/>
  <c r="G11" i="100"/>
  <c r="D9" i="101"/>
  <c r="C9" i="101"/>
  <c r="D10" i="100"/>
  <c r="C10" i="100"/>
  <c r="E7" i="104"/>
  <c r="G7" i="104"/>
  <c r="F7" i="104"/>
  <c r="B7" i="104"/>
  <c r="A8" i="104"/>
  <c r="D5" i="121" l="1"/>
  <c r="F6" i="121"/>
  <c r="E6" i="121"/>
  <c r="A7" i="121"/>
  <c r="F7" i="121" s="1"/>
  <c r="G6" i="121"/>
  <c r="G10" i="101"/>
  <c r="F12" i="96"/>
  <c r="E12" i="96"/>
  <c r="B12" i="96"/>
  <c r="G12" i="96"/>
  <c r="A13" i="96"/>
  <c r="C11" i="96"/>
  <c r="D11" i="96"/>
  <c r="A11" i="101"/>
  <c r="E11" i="101" s="1"/>
  <c r="D6" i="104"/>
  <c r="E10" i="101"/>
  <c r="F10" i="101"/>
  <c r="F9" i="102"/>
  <c r="A10" i="102"/>
  <c r="A11" i="102" s="1"/>
  <c r="G12" i="95"/>
  <c r="F12" i="95"/>
  <c r="A13" i="95"/>
  <c r="E12" i="95"/>
  <c r="B12" i="95"/>
  <c r="D11" i="95"/>
  <c r="C11" i="95"/>
  <c r="E9" i="102"/>
  <c r="G9" i="102"/>
  <c r="AB14" i="66"/>
  <c r="D6" i="121"/>
  <c r="C6" i="121"/>
  <c r="AB12" i="66"/>
  <c r="AB13" i="66"/>
  <c r="AA13" i="66"/>
  <c r="AA14" i="66"/>
  <c r="AA12" i="66"/>
  <c r="AE12" i="63"/>
  <c r="AE13" i="63"/>
  <c r="AE14" i="63"/>
  <c r="F17" i="120"/>
  <c r="E17" i="120"/>
  <c r="A18" i="120"/>
  <c r="B17" i="120"/>
  <c r="G17" i="120"/>
  <c r="D16" i="120"/>
  <c r="C16" i="120"/>
  <c r="M14" i="63"/>
  <c r="O14" i="63" s="1"/>
  <c r="N13" i="63"/>
  <c r="N14" i="63"/>
  <c r="M13" i="63"/>
  <c r="O13" i="63" s="1"/>
  <c r="AE10" i="63"/>
  <c r="AA10" i="66"/>
  <c r="AE7" i="63"/>
  <c r="AE9" i="63"/>
  <c r="AB10" i="66"/>
  <c r="AA11" i="66"/>
  <c r="AB8" i="66"/>
  <c r="AE8" i="63"/>
  <c r="AE11" i="63"/>
  <c r="AB11" i="66"/>
  <c r="AB7" i="66"/>
  <c r="AB9" i="66"/>
  <c r="A14" i="99"/>
  <c r="G13" i="99"/>
  <c r="F13" i="99"/>
  <c r="E13" i="99"/>
  <c r="B13" i="99"/>
  <c r="C12" i="99"/>
  <c r="D12" i="99"/>
  <c r="AA8" i="66"/>
  <c r="AA7" i="66"/>
  <c r="AA9" i="66"/>
  <c r="N9" i="63"/>
  <c r="G14" i="98"/>
  <c r="F14" i="98"/>
  <c r="E14" i="98"/>
  <c r="B14" i="98"/>
  <c r="A15" i="98"/>
  <c r="C13" i="97"/>
  <c r="D13" i="97"/>
  <c r="M8" i="63"/>
  <c r="O8" i="63" s="1"/>
  <c r="N7" i="63"/>
  <c r="D13" i="98"/>
  <c r="C13" i="98"/>
  <c r="M9" i="63"/>
  <c r="O9" i="63" s="1"/>
  <c r="A15" i="97"/>
  <c r="F14" i="97"/>
  <c r="E14" i="97"/>
  <c r="B14" i="97"/>
  <c r="G14" i="97"/>
  <c r="N10" i="63"/>
  <c r="M11" i="63"/>
  <c r="O11" i="63" s="1"/>
  <c r="N11" i="63"/>
  <c r="N12" i="63"/>
  <c r="M12" i="63"/>
  <c r="O12" i="63" s="1"/>
  <c r="M7" i="63"/>
  <c r="O7" i="63" s="1"/>
  <c r="M10" i="63"/>
  <c r="O10" i="63" s="1"/>
  <c r="N8" i="63"/>
  <c r="C8" i="103"/>
  <c r="D8" i="103"/>
  <c r="E9" i="103"/>
  <c r="A10" i="103"/>
  <c r="B9" i="103"/>
  <c r="F9" i="103"/>
  <c r="G9" i="103"/>
  <c r="B13" i="88"/>
  <c r="F13" i="88"/>
  <c r="A14" i="88"/>
  <c r="E13" i="88"/>
  <c r="G13" i="88"/>
  <c r="C10" i="101"/>
  <c r="D10" i="101"/>
  <c r="B8" i="104"/>
  <c r="A9" i="104"/>
  <c r="G8" i="104"/>
  <c r="F8" i="104"/>
  <c r="E8" i="104"/>
  <c r="A13" i="100"/>
  <c r="G12" i="100"/>
  <c r="F12" i="100"/>
  <c r="E12" i="100"/>
  <c r="B12" i="100"/>
  <c r="D12" i="88"/>
  <c r="C12" i="88"/>
  <c r="C9" i="102"/>
  <c r="D9" i="102"/>
  <c r="D11" i="100"/>
  <c r="C11" i="100"/>
  <c r="D7" i="104"/>
  <c r="C7" i="104"/>
  <c r="AE14" i="70" l="1"/>
  <c r="AE13" i="70"/>
  <c r="G7" i="121"/>
  <c r="B7" i="121"/>
  <c r="D7" i="121" s="1"/>
  <c r="E7" i="121"/>
  <c r="A8" i="121"/>
  <c r="G8" i="121" s="1"/>
  <c r="A12" i="101"/>
  <c r="G12" i="101" s="1"/>
  <c r="G11" i="101"/>
  <c r="AE11" i="70"/>
  <c r="AE7" i="70"/>
  <c r="F11" i="101"/>
  <c r="AE12" i="70"/>
  <c r="B11" i="101"/>
  <c r="C11" i="101" s="1"/>
  <c r="E13" i="96"/>
  <c r="F13" i="96"/>
  <c r="G13" i="96"/>
  <c r="B13" i="96"/>
  <c r="A14" i="96"/>
  <c r="C12" i="96"/>
  <c r="D12" i="96"/>
  <c r="F10" i="102"/>
  <c r="E10" i="102"/>
  <c r="G10" i="102"/>
  <c r="B10" i="102"/>
  <c r="C10" i="102" s="1"/>
  <c r="AB14" i="63"/>
  <c r="AB13" i="63"/>
  <c r="D12" i="95"/>
  <c r="C12" i="95"/>
  <c r="E13" i="95"/>
  <c r="B13" i="95"/>
  <c r="G13" i="95"/>
  <c r="F13" i="95"/>
  <c r="A14" i="95"/>
  <c r="AB12" i="63"/>
  <c r="AC14" i="66"/>
  <c r="AC12" i="66"/>
  <c r="AC13" i="66"/>
  <c r="AA13" i="63"/>
  <c r="AA14" i="63"/>
  <c r="AA12" i="63"/>
  <c r="C17" i="120"/>
  <c r="D17" i="120"/>
  <c r="B18" i="120"/>
  <c r="G18" i="120"/>
  <c r="E18" i="120"/>
  <c r="A19" i="120"/>
  <c r="F18" i="120"/>
  <c r="AE9" i="70"/>
  <c r="AC11" i="66"/>
  <c r="AB7" i="63"/>
  <c r="AC10" i="66"/>
  <c r="AE10" i="70"/>
  <c r="AB8" i="63"/>
  <c r="AB10" i="63"/>
  <c r="AC9" i="66"/>
  <c r="AB9" i="63"/>
  <c r="AB11" i="63"/>
  <c r="AC8" i="66"/>
  <c r="AE8" i="70"/>
  <c r="AC7" i="66"/>
  <c r="C13" i="99"/>
  <c r="D13" i="99"/>
  <c r="F14" i="99"/>
  <c r="G14" i="99"/>
  <c r="E14" i="99"/>
  <c r="B14" i="99"/>
  <c r="A15" i="99"/>
  <c r="AA9" i="63"/>
  <c r="AA10" i="63"/>
  <c r="C14" i="97"/>
  <c r="D14" i="97"/>
  <c r="AA11" i="63"/>
  <c r="AA8" i="63"/>
  <c r="G15" i="98"/>
  <c r="F15" i="98"/>
  <c r="B15" i="98"/>
  <c r="A16" i="98"/>
  <c r="E15" i="98"/>
  <c r="AA7" i="63"/>
  <c r="C14" i="98"/>
  <c r="D14" i="98"/>
  <c r="G15" i="97"/>
  <c r="B15" i="97"/>
  <c r="A16" i="97"/>
  <c r="E15" i="97"/>
  <c r="F15" i="97"/>
  <c r="B9" i="104"/>
  <c r="F9" i="104"/>
  <c r="A10" i="104"/>
  <c r="G9" i="104"/>
  <c r="E9" i="104"/>
  <c r="C13" i="88"/>
  <c r="D13" i="88"/>
  <c r="D8" i="104"/>
  <c r="C8" i="104"/>
  <c r="B11" i="102"/>
  <c r="E11" i="102"/>
  <c r="A12" i="102"/>
  <c r="G11" i="102"/>
  <c r="F11" i="102"/>
  <c r="D12" i="100"/>
  <c r="C12" i="100"/>
  <c r="C9" i="103"/>
  <c r="D9" i="103"/>
  <c r="F10" i="103"/>
  <c r="A11" i="103"/>
  <c r="G10" i="103"/>
  <c r="E10" i="103"/>
  <c r="B10" i="103"/>
  <c r="E14" i="88"/>
  <c r="F14" i="88"/>
  <c r="A15" i="88"/>
  <c r="G14" i="88"/>
  <c r="B14" i="88"/>
  <c r="F13" i="100"/>
  <c r="E13" i="100"/>
  <c r="B13" i="100"/>
  <c r="G13" i="100"/>
  <c r="A14" i="100"/>
  <c r="AA14" i="70" l="1"/>
  <c r="AB14" i="70"/>
  <c r="AA13" i="70"/>
  <c r="AB13" i="70"/>
  <c r="AB7" i="70"/>
  <c r="E12" i="101"/>
  <c r="C7" i="121"/>
  <c r="B8" i="121"/>
  <c r="C8" i="121" s="1"/>
  <c r="E8" i="121"/>
  <c r="A9" i="121"/>
  <c r="A10" i="121" s="1"/>
  <c r="F8" i="121"/>
  <c r="B12" i="101"/>
  <c r="D12" i="101" s="1"/>
  <c r="A13" i="101"/>
  <c r="F13" i="101" s="1"/>
  <c r="F12" i="101"/>
  <c r="AB12" i="70"/>
  <c r="AB10" i="70"/>
  <c r="D11" i="101"/>
  <c r="AB11" i="70"/>
  <c r="AA12" i="70"/>
  <c r="F14" i="96"/>
  <c r="G14" i="96"/>
  <c r="A15" i="96"/>
  <c r="E14" i="96"/>
  <c r="B14" i="96"/>
  <c r="D13" i="96"/>
  <c r="C13" i="96"/>
  <c r="D10" i="102"/>
  <c r="AC14" i="63"/>
  <c r="AC13" i="63"/>
  <c r="B14" i="95"/>
  <c r="F14" i="95"/>
  <c r="G14" i="95"/>
  <c r="A15" i="95"/>
  <c r="E14" i="95"/>
  <c r="D13" i="95"/>
  <c r="C13" i="95"/>
  <c r="AD13" i="66"/>
  <c r="AD14" i="66"/>
  <c r="AD12" i="66"/>
  <c r="AC12" i="63"/>
  <c r="F19" i="120"/>
  <c r="E19" i="120"/>
  <c r="A20" i="120"/>
  <c r="B19" i="120"/>
  <c r="G19" i="120"/>
  <c r="D18" i="120"/>
  <c r="C18" i="120"/>
  <c r="AB9" i="70"/>
  <c r="AA9" i="70"/>
  <c r="AB8" i="70"/>
  <c r="AC10" i="63"/>
  <c r="AA10" i="70"/>
  <c r="AE7" i="68"/>
  <c r="AE7" i="69" s="1"/>
  <c r="AE7" i="118" s="1"/>
  <c r="AD7" i="66"/>
  <c r="AD11" i="66"/>
  <c r="AD8" i="66"/>
  <c r="AD9" i="66"/>
  <c r="AD10" i="66"/>
  <c r="E15" i="99"/>
  <c r="F15" i="99"/>
  <c r="G15" i="99"/>
  <c r="A16" i="99"/>
  <c r="B15" i="99"/>
  <c r="D14" i="99"/>
  <c r="C14" i="99"/>
  <c r="AC9" i="63"/>
  <c r="AA7" i="70"/>
  <c r="AA8" i="70"/>
  <c r="AC11" i="63"/>
  <c r="A17" i="98"/>
  <c r="B16" i="98"/>
  <c r="F16" i="98"/>
  <c r="E16" i="98"/>
  <c r="G16" i="98"/>
  <c r="D15" i="98"/>
  <c r="C15" i="98"/>
  <c r="AC7" i="63"/>
  <c r="AA11" i="70"/>
  <c r="E16" i="97"/>
  <c r="F16" i="97"/>
  <c r="A17" i="97"/>
  <c r="B16" i="97"/>
  <c r="G16" i="97"/>
  <c r="AC8" i="63"/>
  <c r="C15" i="97"/>
  <c r="D15" i="97"/>
  <c r="C13" i="100"/>
  <c r="D13" i="100"/>
  <c r="C10" i="103"/>
  <c r="D10" i="103"/>
  <c r="A11" i="104"/>
  <c r="B10" i="104"/>
  <c r="G10" i="104"/>
  <c r="E10" i="104"/>
  <c r="F10" i="104"/>
  <c r="C11" i="102"/>
  <c r="D11" i="102"/>
  <c r="C9" i="104"/>
  <c r="D9" i="104"/>
  <c r="C14" i="88"/>
  <c r="D14" i="88"/>
  <c r="E11" i="103"/>
  <c r="B11" i="103"/>
  <c r="G11" i="103"/>
  <c r="A12" i="103"/>
  <c r="F11" i="103"/>
  <c r="B15" i="88"/>
  <c r="G15" i="88"/>
  <c r="E15" i="88"/>
  <c r="A16" i="88"/>
  <c r="F15" i="88"/>
  <c r="F14" i="100"/>
  <c r="E14" i="100"/>
  <c r="A15" i="100"/>
  <c r="B14" i="100"/>
  <c r="G14" i="100"/>
  <c r="F12" i="102"/>
  <c r="A13" i="102"/>
  <c r="B12" i="102"/>
  <c r="G12" i="102"/>
  <c r="E12" i="102"/>
  <c r="AC14" i="70" l="1"/>
  <c r="AC13" i="70"/>
  <c r="AC7" i="70"/>
  <c r="D8" i="121"/>
  <c r="A14" i="101"/>
  <c r="A15" i="101" s="1"/>
  <c r="G13" i="101"/>
  <c r="E13" i="101"/>
  <c r="B13" i="101"/>
  <c r="D13" i="101" s="1"/>
  <c r="C12" i="101"/>
  <c r="G9" i="121"/>
  <c r="F9" i="121"/>
  <c r="B9" i="121"/>
  <c r="C9" i="121" s="1"/>
  <c r="E9" i="121"/>
  <c r="AC11" i="70"/>
  <c r="AB7" i="68"/>
  <c r="AB7" i="69" s="1"/>
  <c r="AB7" i="118" s="1"/>
  <c r="AC10" i="70"/>
  <c r="AC12" i="70"/>
  <c r="C14" i="96"/>
  <c r="D14" i="96"/>
  <c r="B15" i="96"/>
  <c r="E15" i="96"/>
  <c r="G15" i="96"/>
  <c r="A16" i="96"/>
  <c r="F15" i="96"/>
  <c r="E15" i="95"/>
  <c r="B15" i="95"/>
  <c r="F15" i="95"/>
  <c r="G15" i="95"/>
  <c r="A16" i="95"/>
  <c r="D14" i="95"/>
  <c r="C14" i="95"/>
  <c r="G10" i="121"/>
  <c r="F10" i="121"/>
  <c r="A11" i="121"/>
  <c r="E10" i="121"/>
  <c r="B10" i="121"/>
  <c r="AD13" i="63"/>
  <c r="AD14" i="63"/>
  <c r="AD12" i="63"/>
  <c r="AC9" i="70"/>
  <c r="C19" i="120"/>
  <c r="D19" i="120"/>
  <c r="B20" i="120"/>
  <c r="G20" i="120"/>
  <c r="E20" i="120"/>
  <c r="A21" i="120"/>
  <c r="F20" i="120"/>
  <c r="B14" i="72"/>
  <c r="B13" i="72"/>
  <c r="B7" i="72"/>
  <c r="F7" i="72" s="1"/>
  <c r="B8" i="72"/>
  <c r="F8" i="72" s="1"/>
  <c r="B11" i="72"/>
  <c r="E11" i="72" s="1"/>
  <c r="B10" i="72"/>
  <c r="E10" i="72" s="1"/>
  <c r="B12" i="72"/>
  <c r="D12" i="72" s="1"/>
  <c r="B9" i="72"/>
  <c r="E9" i="72" s="1"/>
  <c r="D15" i="99"/>
  <c r="C15" i="99"/>
  <c r="G16" i="99"/>
  <c r="E16" i="99"/>
  <c r="B16" i="99"/>
  <c r="F16" i="99"/>
  <c r="A17" i="99"/>
  <c r="AD11" i="63"/>
  <c r="AD8" i="63"/>
  <c r="AD9" i="63"/>
  <c r="AD7" i="63"/>
  <c r="AD10" i="63"/>
  <c r="C16" i="97"/>
  <c r="D16" i="97"/>
  <c r="C16" i="98"/>
  <c r="D16" i="98"/>
  <c r="B17" i="97"/>
  <c r="A18" i="97"/>
  <c r="F17" i="97"/>
  <c r="E17" i="97"/>
  <c r="G17" i="97"/>
  <c r="G17" i="98"/>
  <c r="E17" i="98"/>
  <c r="B17" i="98"/>
  <c r="F17" i="98"/>
  <c r="A18" i="98"/>
  <c r="AA7" i="68"/>
  <c r="AC8" i="70"/>
  <c r="A14" i="102"/>
  <c r="F13" i="102"/>
  <c r="G13" i="102"/>
  <c r="B13" i="102"/>
  <c r="E13" i="102"/>
  <c r="B16" i="88"/>
  <c r="G16" i="88"/>
  <c r="F16" i="88"/>
  <c r="E16" i="88"/>
  <c r="A17" i="88"/>
  <c r="D10" i="104"/>
  <c r="C10" i="104"/>
  <c r="D14" i="100"/>
  <c r="C14" i="100"/>
  <c r="D15" i="88"/>
  <c r="C15" i="88"/>
  <c r="F11" i="104"/>
  <c r="E11" i="104"/>
  <c r="A12" i="104"/>
  <c r="B11" i="104"/>
  <c r="G11" i="104"/>
  <c r="G15" i="100"/>
  <c r="E15" i="100"/>
  <c r="A16" i="100"/>
  <c r="F15" i="100"/>
  <c r="B15" i="100"/>
  <c r="G12" i="103"/>
  <c r="B12" i="103"/>
  <c r="E12" i="103"/>
  <c r="F12" i="103"/>
  <c r="A13" i="103"/>
  <c r="C12" i="102"/>
  <c r="D12" i="102"/>
  <c r="D11" i="103"/>
  <c r="C11" i="103"/>
  <c r="AD13" i="70" l="1"/>
  <c r="AD14" i="70"/>
  <c r="C13" i="101"/>
  <c r="E14" i="101"/>
  <c r="F14" i="101"/>
  <c r="G14" i="101"/>
  <c r="B14" i="101"/>
  <c r="D14" i="101" s="1"/>
  <c r="D9" i="121"/>
  <c r="E16" i="96"/>
  <c r="G16" i="96"/>
  <c r="B16" i="96"/>
  <c r="F16" i="96"/>
  <c r="A17" i="96"/>
  <c r="C15" i="96"/>
  <c r="D15" i="96"/>
  <c r="F16" i="95"/>
  <c r="E16" i="95"/>
  <c r="G16" i="95"/>
  <c r="B16" i="95"/>
  <c r="A17" i="95"/>
  <c r="D15" i="95"/>
  <c r="C15" i="95"/>
  <c r="AD12" i="70"/>
  <c r="D10" i="121"/>
  <c r="C10" i="121"/>
  <c r="G11" i="121"/>
  <c r="F11" i="121"/>
  <c r="A12" i="121"/>
  <c r="E11" i="121"/>
  <c r="B11" i="121"/>
  <c r="B14" i="73"/>
  <c r="B13" i="73"/>
  <c r="F21" i="120"/>
  <c r="E21" i="120"/>
  <c r="A22" i="120"/>
  <c r="B21" i="120"/>
  <c r="G21" i="120"/>
  <c r="D20" i="120"/>
  <c r="C20" i="120"/>
  <c r="E13" i="72"/>
  <c r="F13" i="72"/>
  <c r="C13" i="72"/>
  <c r="D13" i="72"/>
  <c r="C7" i="72"/>
  <c r="E14" i="72"/>
  <c r="D14" i="72"/>
  <c r="F14" i="72"/>
  <c r="C14" i="72"/>
  <c r="E7" i="72"/>
  <c r="D7" i="72"/>
  <c r="H7" i="72" s="1"/>
  <c r="D8" i="72"/>
  <c r="H8" i="72" s="1"/>
  <c r="C8" i="72"/>
  <c r="E8" i="72"/>
  <c r="F11" i="72"/>
  <c r="C11" i="72"/>
  <c r="G11" i="72" s="1"/>
  <c r="I11" i="72" s="1"/>
  <c r="D11" i="72"/>
  <c r="C10" i="72"/>
  <c r="G10" i="72" s="1"/>
  <c r="I10" i="72" s="1"/>
  <c r="D10" i="72"/>
  <c r="F10" i="72"/>
  <c r="E12" i="72"/>
  <c r="D9" i="72"/>
  <c r="C12" i="72"/>
  <c r="C9" i="72"/>
  <c r="G9" i="72" s="1"/>
  <c r="I9" i="72" s="1"/>
  <c r="F9" i="72"/>
  <c r="F12" i="72"/>
  <c r="H12" i="72" s="1"/>
  <c r="A18" i="99"/>
  <c r="E17" i="99"/>
  <c r="B17" i="99"/>
  <c r="G17" i="99"/>
  <c r="F17" i="99"/>
  <c r="D16" i="99"/>
  <c r="C16" i="99"/>
  <c r="B8" i="73"/>
  <c r="E8" i="73" s="1"/>
  <c r="B9" i="73"/>
  <c r="E9" i="73" s="1"/>
  <c r="B10" i="73"/>
  <c r="G10" i="73" s="1"/>
  <c r="B12" i="73"/>
  <c r="G12" i="73" s="1"/>
  <c r="B11" i="73"/>
  <c r="G11" i="73" s="1"/>
  <c r="B7" i="73"/>
  <c r="H7" i="73" s="1"/>
  <c r="G18" i="97"/>
  <c r="E18" i="97"/>
  <c r="B18" i="97"/>
  <c r="F18" i="97"/>
  <c r="A19" i="97"/>
  <c r="AA7" i="69"/>
  <c r="AC7" i="68"/>
  <c r="C17" i="97"/>
  <c r="D17" i="97"/>
  <c r="E18" i="98"/>
  <c r="G18" i="98"/>
  <c r="A19" i="98"/>
  <c r="F18" i="98"/>
  <c r="B18" i="98"/>
  <c r="D17" i="98"/>
  <c r="C17" i="98"/>
  <c r="AD9" i="70"/>
  <c r="AD7" i="70"/>
  <c r="AD11" i="70"/>
  <c r="AD8" i="70"/>
  <c r="AD10" i="70"/>
  <c r="C12" i="103"/>
  <c r="D12" i="103"/>
  <c r="C11" i="104"/>
  <c r="D11" i="104"/>
  <c r="D16" i="88"/>
  <c r="C16" i="88"/>
  <c r="G12" i="104"/>
  <c r="A13" i="104"/>
  <c r="B12" i="104"/>
  <c r="F12" i="104"/>
  <c r="E12" i="104"/>
  <c r="E15" i="101"/>
  <c r="A16" i="101"/>
  <c r="G15" i="101"/>
  <c r="F15" i="101"/>
  <c r="B15" i="101"/>
  <c r="C15" i="100"/>
  <c r="D15" i="100"/>
  <c r="C13" i="102"/>
  <c r="D13" i="102"/>
  <c r="A17" i="100"/>
  <c r="G16" i="100"/>
  <c r="F16" i="100"/>
  <c r="B16" i="100"/>
  <c r="E16" i="100"/>
  <c r="F17" i="88"/>
  <c r="E17" i="88"/>
  <c r="A18" i="88"/>
  <c r="G17" i="88"/>
  <c r="B17" i="88"/>
  <c r="A14" i="103"/>
  <c r="B13" i="103"/>
  <c r="F13" i="103"/>
  <c r="E13" i="103"/>
  <c r="G13" i="103"/>
  <c r="F14" i="102"/>
  <c r="G14" i="102"/>
  <c r="B14" i="102"/>
  <c r="E14" i="102"/>
  <c r="A15" i="102"/>
  <c r="AD13" i="68" l="1"/>
  <c r="AD14" i="68"/>
  <c r="AD11" i="68"/>
  <c r="AD12" i="68"/>
  <c r="AD9" i="68"/>
  <c r="AD10" i="68"/>
  <c r="AD7" i="68"/>
  <c r="AD8" i="68"/>
  <c r="C14" i="101"/>
  <c r="G17" i="96"/>
  <c r="F17" i="96"/>
  <c r="A18" i="96"/>
  <c r="B17" i="96"/>
  <c r="E17" i="96"/>
  <c r="D16" i="96"/>
  <c r="C16" i="96"/>
  <c r="B17" i="95"/>
  <c r="F17" i="95"/>
  <c r="A18" i="95"/>
  <c r="G17" i="95"/>
  <c r="E17" i="95"/>
  <c r="D16" i="95"/>
  <c r="C16" i="95"/>
  <c r="G7" i="72"/>
  <c r="I7" i="72" s="1"/>
  <c r="D11" i="121"/>
  <c r="C11" i="121"/>
  <c r="A13" i="121"/>
  <c r="E12" i="121"/>
  <c r="B12" i="121"/>
  <c r="G12" i="121"/>
  <c r="F12" i="121"/>
  <c r="H14" i="72"/>
  <c r="H13" i="73"/>
  <c r="C13" i="73"/>
  <c r="E13" i="73"/>
  <c r="D13" i="73"/>
  <c r="F13" i="73"/>
  <c r="G13" i="73"/>
  <c r="C14" i="73"/>
  <c r="D14" i="73"/>
  <c r="E14" i="73"/>
  <c r="F14" i="73"/>
  <c r="G14" i="73"/>
  <c r="H14" i="73"/>
  <c r="B22" i="120"/>
  <c r="G22" i="120"/>
  <c r="E22" i="120"/>
  <c r="A23" i="120"/>
  <c r="F22" i="120"/>
  <c r="C21" i="120"/>
  <c r="D21" i="120"/>
  <c r="B14" i="75"/>
  <c r="B13" i="75"/>
  <c r="B14" i="74"/>
  <c r="B13" i="74"/>
  <c r="G13" i="72"/>
  <c r="I13" i="72" s="1"/>
  <c r="G14" i="72"/>
  <c r="I14" i="72" s="1"/>
  <c r="AC7" i="69"/>
  <c r="AD7" i="69" s="1"/>
  <c r="B12" i="77" s="1"/>
  <c r="AA7" i="118"/>
  <c r="AC7" i="118" s="1"/>
  <c r="AD7" i="118" s="1"/>
  <c r="H13" i="72"/>
  <c r="G8" i="72"/>
  <c r="I8" i="72" s="1"/>
  <c r="H10" i="72"/>
  <c r="H11" i="72"/>
  <c r="G12" i="72"/>
  <c r="I12" i="72" s="1"/>
  <c r="H9" i="72"/>
  <c r="D17" i="99"/>
  <c r="C17" i="99"/>
  <c r="F18" i="99"/>
  <c r="G18" i="99"/>
  <c r="A19" i="99"/>
  <c r="B18" i="99"/>
  <c r="E18" i="99"/>
  <c r="G8" i="73"/>
  <c r="C8" i="73"/>
  <c r="H8" i="73"/>
  <c r="F8" i="73"/>
  <c r="D8" i="73"/>
  <c r="C9" i="73"/>
  <c r="E7" i="73"/>
  <c r="D7" i="73"/>
  <c r="E10" i="73"/>
  <c r="H9" i="73"/>
  <c r="F12" i="73"/>
  <c r="G7" i="73"/>
  <c r="C7" i="73"/>
  <c r="F7" i="73"/>
  <c r="C12" i="73"/>
  <c r="H12" i="73"/>
  <c r="E12" i="73"/>
  <c r="D12" i="73"/>
  <c r="D9" i="73"/>
  <c r="F9" i="73"/>
  <c r="G9" i="73"/>
  <c r="F10" i="73"/>
  <c r="C10" i="73"/>
  <c r="D10" i="73"/>
  <c r="H10" i="73"/>
  <c r="F11" i="73"/>
  <c r="E11" i="73"/>
  <c r="D11" i="73"/>
  <c r="H11" i="73"/>
  <c r="C11" i="73"/>
  <c r="B7" i="75"/>
  <c r="B12" i="75"/>
  <c r="B10" i="75"/>
  <c r="B11" i="75"/>
  <c r="B8" i="75"/>
  <c r="B7" i="74"/>
  <c r="B9" i="74"/>
  <c r="B10" i="74"/>
  <c r="B12" i="74"/>
  <c r="B11" i="74"/>
  <c r="B8" i="74"/>
  <c r="F19" i="97"/>
  <c r="E19" i="97"/>
  <c r="G19" i="97"/>
  <c r="B19" i="97"/>
  <c r="A20" i="97"/>
  <c r="C18" i="98"/>
  <c r="D18" i="98"/>
  <c r="C18" i="97"/>
  <c r="D18" i="97"/>
  <c r="A20" i="98"/>
  <c r="G19" i="98"/>
  <c r="B19" i="98"/>
  <c r="E19" i="98"/>
  <c r="F19" i="98"/>
  <c r="A16" i="102"/>
  <c r="B15" i="102"/>
  <c r="E15" i="102"/>
  <c r="F15" i="102"/>
  <c r="G15" i="102"/>
  <c r="D13" i="103"/>
  <c r="C13" i="103"/>
  <c r="C16" i="100"/>
  <c r="D16" i="100"/>
  <c r="C15" i="101"/>
  <c r="D15" i="101"/>
  <c r="F14" i="103"/>
  <c r="G14" i="103"/>
  <c r="A15" i="103"/>
  <c r="E14" i="103"/>
  <c r="B14" i="103"/>
  <c r="C14" i="102"/>
  <c r="D14" i="102"/>
  <c r="D17" i="88"/>
  <c r="C17" i="88"/>
  <c r="A18" i="100"/>
  <c r="G17" i="100"/>
  <c r="B17" i="100"/>
  <c r="F17" i="100"/>
  <c r="E17" i="100"/>
  <c r="E16" i="101"/>
  <c r="B16" i="101"/>
  <c r="G16" i="101"/>
  <c r="F16" i="101"/>
  <c r="A17" i="101"/>
  <c r="C12" i="104"/>
  <c r="D12" i="104"/>
  <c r="E18" i="88"/>
  <c r="B18" i="88"/>
  <c r="G18" i="88"/>
  <c r="A19" i="88"/>
  <c r="F18" i="88"/>
  <c r="A14" i="104"/>
  <c r="G13" i="104"/>
  <c r="B13" i="104"/>
  <c r="E13" i="104"/>
  <c r="F13" i="104"/>
  <c r="B9" i="75" l="1"/>
  <c r="D17" i="96"/>
  <c r="C17" i="96"/>
  <c r="F18" i="96"/>
  <c r="B18" i="96"/>
  <c r="A19" i="96"/>
  <c r="G18" i="96"/>
  <c r="E18" i="96"/>
  <c r="F18" i="95"/>
  <c r="E18" i="95"/>
  <c r="G18" i="95"/>
  <c r="A19" i="95"/>
  <c r="B18" i="95"/>
  <c r="D17" i="95"/>
  <c r="C17" i="95"/>
  <c r="D12" i="121"/>
  <c r="C12" i="121"/>
  <c r="A14" i="121"/>
  <c r="E13" i="121"/>
  <c r="B13" i="121"/>
  <c r="G13" i="121"/>
  <c r="F13" i="121"/>
  <c r="J14" i="73"/>
  <c r="J13" i="73"/>
  <c r="I13" i="73"/>
  <c r="K13" i="73" s="1"/>
  <c r="I14" i="73"/>
  <c r="K14" i="73" s="1"/>
  <c r="F23" i="120"/>
  <c r="E23" i="120"/>
  <c r="A24" i="120"/>
  <c r="B23" i="120"/>
  <c r="G23" i="120"/>
  <c r="D22" i="120"/>
  <c r="C22" i="120"/>
  <c r="J14" i="74"/>
  <c r="I14" i="74"/>
  <c r="H14" i="74"/>
  <c r="D14" i="74"/>
  <c r="C14" i="74"/>
  <c r="E14" i="74"/>
  <c r="G14" i="74"/>
  <c r="F14" i="74"/>
  <c r="G13" i="75"/>
  <c r="D13" i="75"/>
  <c r="C13" i="75"/>
  <c r="K13" i="75"/>
  <c r="F13" i="75"/>
  <c r="E13" i="75"/>
  <c r="L13" i="75"/>
  <c r="H13" i="75"/>
  <c r="I13" i="75"/>
  <c r="J13" i="75"/>
  <c r="G14" i="75"/>
  <c r="F14" i="75"/>
  <c r="E14" i="75"/>
  <c r="J14" i="75"/>
  <c r="C14" i="75"/>
  <c r="K14" i="75"/>
  <c r="D14" i="75"/>
  <c r="L14" i="75"/>
  <c r="H14" i="75"/>
  <c r="I14" i="75"/>
  <c r="B9" i="119"/>
  <c r="B8" i="119"/>
  <c r="B7" i="119"/>
  <c r="B14" i="119"/>
  <c r="B13" i="119"/>
  <c r="B12" i="119"/>
  <c r="B11" i="119"/>
  <c r="B10" i="119"/>
  <c r="E13" i="74"/>
  <c r="H13" i="74"/>
  <c r="I13" i="74"/>
  <c r="J13" i="74"/>
  <c r="C13" i="74"/>
  <c r="D13" i="74"/>
  <c r="F13" i="74"/>
  <c r="G13" i="74"/>
  <c r="B7" i="77"/>
  <c r="K7" i="77" s="1"/>
  <c r="B14" i="77"/>
  <c r="B13" i="77"/>
  <c r="B10" i="77"/>
  <c r="E10" i="77" s="1"/>
  <c r="B11" i="77"/>
  <c r="H11" i="77" s="1"/>
  <c r="B9" i="77"/>
  <c r="E9" i="77" s="1"/>
  <c r="B8" i="77"/>
  <c r="I8" i="77" s="1"/>
  <c r="C18" i="99"/>
  <c r="D18" i="99"/>
  <c r="A20" i="99"/>
  <c r="E19" i="99"/>
  <c r="G19" i="99"/>
  <c r="F19" i="99"/>
  <c r="B19" i="99"/>
  <c r="I8" i="73"/>
  <c r="K8" i="73" s="1"/>
  <c r="J8" i="73"/>
  <c r="I10" i="73"/>
  <c r="K10" i="73" s="1"/>
  <c r="I12" i="73"/>
  <c r="K12" i="73" s="1"/>
  <c r="I9" i="73"/>
  <c r="K9" i="73" s="1"/>
  <c r="J7" i="73"/>
  <c r="I7" i="73"/>
  <c r="K7" i="73" s="1"/>
  <c r="J12" i="73"/>
  <c r="J11" i="73"/>
  <c r="J9" i="73"/>
  <c r="I11" i="73"/>
  <c r="K11" i="73" s="1"/>
  <c r="J10" i="73"/>
  <c r="C8" i="74"/>
  <c r="F8" i="74"/>
  <c r="H8" i="74"/>
  <c r="J8" i="74"/>
  <c r="E8" i="74"/>
  <c r="G8" i="74"/>
  <c r="D8" i="74"/>
  <c r="I8" i="74"/>
  <c r="J12" i="77"/>
  <c r="E12" i="77"/>
  <c r="H12" i="77"/>
  <c r="N12" i="77"/>
  <c r="M12" i="77"/>
  <c r="C12" i="77"/>
  <c r="D12" i="77"/>
  <c r="I12" i="77"/>
  <c r="F12" i="77"/>
  <c r="L12" i="77"/>
  <c r="G12" i="77"/>
  <c r="K12" i="77"/>
  <c r="C8" i="75"/>
  <c r="H8" i="75"/>
  <c r="D8" i="75"/>
  <c r="F8" i="75"/>
  <c r="I8" i="75"/>
  <c r="J8" i="75"/>
  <c r="L8" i="75"/>
  <c r="K8" i="75"/>
  <c r="E8" i="75"/>
  <c r="G8" i="75"/>
  <c r="F20" i="97"/>
  <c r="B20" i="97"/>
  <c r="E20" i="97"/>
  <c r="G20" i="97"/>
  <c r="A21" i="97"/>
  <c r="E11" i="74"/>
  <c r="H11" i="74"/>
  <c r="D11" i="74"/>
  <c r="J11" i="74"/>
  <c r="G11" i="74"/>
  <c r="C11" i="74"/>
  <c r="I11" i="74"/>
  <c r="F11" i="74"/>
  <c r="I11" i="75"/>
  <c r="G11" i="75"/>
  <c r="J11" i="75"/>
  <c r="E11" i="75"/>
  <c r="H11" i="75"/>
  <c r="D11" i="75"/>
  <c r="K11" i="75"/>
  <c r="L11" i="75"/>
  <c r="F11" i="75"/>
  <c r="C11" i="75"/>
  <c r="C19" i="97"/>
  <c r="D19" i="97"/>
  <c r="I12" i="74"/>
  <c r="D12" i="74"/>
  <c r="H12" i="74"/>
  <c r="F12" i="74"/>
  <c r="J12" i="74"/>
  <c r="E12" i="74"/>
  <c r="G12" i="74"/>
  <c r="C12" i="74"/>
  <c r="J10" i="75"/>
  <c r="E10" i="75"/>
  <c r="I10" i="75"/>
  <c r="D10" i="75"/>
  <c r="F10" i="75"/>
  <c r="H10" i="75"/>
  <c r="K10" i="75"/>
  <c r="L10" i="75"/>
  <c r="C10" i="75"/>
  <c r="G10" i="75"/>
  <c r="D19" i="98"/>
  <c r="C19" i="98"/>
  <c r="I10" i="74"/>
  <c r="J10" i="74"/>
  <c r="H10" i="74"/>
  <c r="E10" i="74"/>
  <c r="F10" i="74"/>
  <c r="G10" i="74"/>
  <c r="C10" i="74"/>
  <c r="D10" i="74"/>
  <c r="C12" i="75"/>
  <c r="J12" i="75"/>
  <c r="H12" i="75"/>
  <c r="F12" i="75"/>
  <c r="D12" i="75"/>
  <c r="K12" i="75"/>
  <c r="E12" i="75"/>
  <c r="L12" i="75"/>
  <c r="I12" i="75"/>
  <c r="G12" i="75"/>
  <c r="C9" i="74"/>
  <c r="H9" i="74"/>
  <c r="J9" i="74"/>
  <c r="E9" i="74"/>
  <c r="F9" i="74"/>
  <c r="I9" i="74"/>
  <c r="G9" i="74"/>
  <c r="D9" i="74"/>
  <c r="K7" i="75"/>
  <c r="G7" i="75"/>
  <c r="H7" i="75"/>
  <c r="C7" i="75"/>
  <c r="L7" i="75"/>
  <c r="F7" i="75"/>
  <c r="E7" i="75"/>
  <c r="J7" i="75"/>
  <c r="D7" i="75"/>
  <c r="I7" i="75"/>
  <c r="B20" i="98"/>
  <c r="F20" i="98"/>
  <c r="G20" i="98"/>
  <c r="A21" i="98"/>
  <c r="E20" i="98"/>
  <c r="G7" i="74"/>
  <c r="E7" i="74"/>
  <c r="F7" i="74"/>
  <c r="D7" i="74"/>
  <c r="C7" i="74"/>
  <c r="J7" i="74"/>
  <c r="H7" i="74"/>
  <c r="I7" i="74"/>
  <c r="J9" i="75"/>
  <c r="I9" i="75"/>
  <c r="G9" i="75"/>
  <c r="F9" i="75"/>
  <c r="H9" i="75"/>
  <c r="K9" i="75"/>
  <c r="E9" i="75"/>
  <c r="D9" i="75"/>
  <c r="C9" i="75"/>
  <c r="L9" i="75"/>
  <c r="C13" i="104"/>
  <c r="D13" i="104"/>
  <c r="C14" i="103"/>
  <c r="D14" i="103"/>
  <c r="C17" i="100"/>
  <c r="D17" i="100"/>
  <c r="B14" i="104"/>
  <c r="E14" i="104"/>
  <c r="A15" i="104"/>
  <c r="G14" i="104"/>
  <c r="F14" i="104"/>
  <c r="G15" i="103"/>
  <c r="A16" i="103"/>
  <c r="E15" i="103"/>
  <c r="F15" i="103"/>
  <c r="B15" i="103"/>
  <c r="A19" i="100"/>
  <c r="B18" i="100"/>
  <c r="F18" i="100"/>
  <c r="G18" i="100"/>
  <c r="E18" i="100"/>
  <c r="B17" i="101"/>
  <c r="G17" i="101"/>
  <c r="A18" i="101"/>
  <c r="E17" i="101"/>
  <c r="F17" i="101"/>
  <c r="F19" i="88"/>
  <c r="G19" i="88"/>
  <c r="A20" i="88"/>
  <c r="B19" i="88"/>
  <c r="E19" i="88"/>
  <c r="D16" i="101"/>
  <c r="C16" i="101"/>
  <c r="C18" i="88"/>
  <c r="D18" i="88"/>
  <c r="C15" i="102"/>
  <c r="D15" i="102"/>
  <c r="A17" i="102"/>
  <c r="F16" i="102"/>
  <c r="B16" i="102"/>
  <c r="G16" i="102"/>
  <c r="E16" i="102"/>
  <c r="F19" i="96" l="1"/>
  <c r="A20" i="96"/>
  <c r="E19" i="96"/>
  <c r="B19" i="96"/>
  <c r="G19" i="96"/>
  <c r="D18" i="96"/>
  <c r="C18" i="96"/>
  <c r="K8" i="77"/>
  <c r="I7" i="77"/>
  <c r="D18" i="95"/>
  <c r="C18" i="95"/>
  <c r="B19" i="95"/>
  <c r="F19" i="95"/>
  <c r="E19" i="95"/>
  <c r="G19" i="95"/>
  <c r="A20" i="95"/>
  <c r="H10" i="77"/>
  <c r="G7" i="77"/>
  <c r="L7" i="77"/>
  <c r="D13" i="121"/>
  <c r="C13" i="121"/>
  <c r="B14" i="121"/>
  <c r="G14" i="121"/>
  <c r="F14" i="121"/>
  <c r="A15" i="121"/>
  <c r="E14" i="121"/>
  <c r="C7" i="77"/>
  <c r="N7" i="77"/>
  <c r="E7" i="77"/>
  <c r="D7" i="77"/>
  <c r="H7" i="77"/>
  <c r="M7" i="77"/>
  <c r="F7" i="77"/>
  <c r="J7" i="77"/>
  <c r="M10" i="77"/>
  <c r="N10" i="77"/>
  <c r="L10" i="77"/>
  <c r="J10" i="77"/>
  <c r="K10" i="77"/>
  <c r="B24" i="120"/>
  <c r="G24" i="120"/>
  <c r="E24" i="120"/>
  <c r="A25" i="120"/>
  <c r="F24" i="120"/>
  <c r="C23" i="120"/>
  <c r="D23" i="120"/>
  <c r="M13" i="75"/>
  <c r="O13" i="75" s="1"/>
  <c r="N13" i="75"/>
  <c r="J8" i="77"/>
  <c r="G9" i="77"/>
  <c r="L13" i="119"/>
  <c r="C13" i="119"/>
  <c r="J13" i="119"/>
  <c r="I13" i="119"/>
  <c r="D13" i="119"/>
  <c r="K13" i="119"/>
  <c r="H13" i="119"/>
  <c r="E13" i="119"/>
  <c r="F13" i="119"/>
  <c r="G13" i="119"/>
  <c r="M13" i="119"/>
  <c r="N13" i="119"/>
  <c r="F8" i="77"/>
  <c r="D8" i="77"/>
  <c r="C9" i="77"/>
  <c r="C14" i="119"/>
  <c r="K14" i="119"/>
  <c r="H14" i="119"/>
  <c r="G14" i="119"/>
  <c r="J14" i="119"/>
  <c r="M14" i="119"/>
  <c r="N14" i="119"/>
  <c r="L14" i="119"/>
  <c r="D14" i="119"/>
  <c r="I14" i="119"/>
  <c r="E14" i="119"/>
  <c r="F14" i="119"/>
  <c r="L14" i="74"/>
  <c r="H7" i="119"/>
  <c r="G7" i="119"/>
  <c r="D7" i="119"/>
  <c r="P7" i="119"/>
  <c r="C7" i="119"/>
  <c r="O7" i="119"/>
  <c r="I7" i="119"/>
  <c r="L7" i="119"/>
  <c r="K7" i="119"/>
  <c r="J7" i="119"/>
  <c r="E7" i="119"/>
  <c r="F7" i="119"/>
  <c r="M7" i="119"/>
  <c r="N7" i="119"/>
  <c r="L8" i="77"/>
  <c r="D9" i="77"/>
  <c r="M14" i="75"/>
  <c r="O14" i="75" s="1"/>
  <c r="I8" i="119"/>
  <c r="L8" i="119"/>
  <c r="G8" i="119"/>
  <c r="D8" i="119"/>
  <c r="H8" i="119"/>
  <c r="K8" i="119"/>
  <c r="J8" i="119"/>
  <c r="E8" i="119"/>
  <c r="F8" i="119"/>
  <c r="M8" i="119"/>
  <c r="N8" i="119"/>
  <c r="C8" i="119"/>
  <c r="K14" i="74"/>
  <c r="M14" i="74" s="1"/>
  <c r="G13" i="77"/>
  <c r="C13" i="77"/>
  <c r="H13" i="77"/>
  <c r="K13" i="77"/>
  <c r="I13" i="77"/>
  <c r="E13" i="77"/>
  <c r="L13" i="77"/>
  <c r="M13" i="77"/>
  <c r="N13" i="77"/>
  <c r="D13" i="77"/>
  <c r="F13" i="77"/>
  <c r="J13" i="77"/>
  <c r="H8" i="77"/>
  <c r="L9" i="77"/>
  <c r="M14" i="77"/>
  <c r="C14" i="77"/>
  <c r="N14" i="77"/>
  <c r="H14" i="77"/>
  <c r="F14" i="77"/>
  <c r="G14" i="77"/>
  <c r="I14" i="77"/>
  <c r="K14" i="77"/>
  <c r="L14" i="77"/>
  <c r="J14" i="77"/>
  <c r="E14" i="77"/>
  <c r="D14" i="77"/>
  <c r="M8" i="77"/>
  <c r="D9" i="119"/>
  <c r="I9" i="119"/>
  <c r="G9" i="119"/>
  <c r="L9" i="119"/>
  <c r="J9" i="119"/>
  <c r="E9" i="119"/>
  <c r="F9" i="119"/>
  <c r="K9" i="119"/>
  <c r="M9" i="119"/>
  <c r="N9" i="119"/>
  <c r="H9" i="119"/>
  <c r="C9" i="119"/>
  <c r="E8" i="77"/>
  <c r="G10" i="119"/>
  <c r="C10" i="119"/>
  <c r="K10" i="119"/>
  <c r="M10" i="119"/>
  <c r="N10" i="119"/>
  <c r="H10" i="119"/>
  <c r="D10" i="119"/>
  <c r="I10" i="119"/>
  <c r="J10" i="119"/>
  <c r="L10" i="119"/>
  <c r="E10" i="119"/>
  <c r="F10" i="119"/>
  <c r="L11" i="119"/>
  <c r="I11" i="119"/>
  <c r="E11" i="119"/>
  <c r="F11" i="119"/>
  <c r="C11" i="119"/>
  <c r="M11" i="119"/>
  <c r="N11" i="119"/>
  <c r="D11" i="119"/>
  <c r="K11" i="119"/>
  <c r="G11" i="119"/>
  <c r="J11" i="119"/>
  <c r="H11" i="119"/>
  <c r="C8" i="77"/>
  <c r="L13" i="74"/>
  <c r="F9" i="77"/>
  <c r="K12" i="119"/>
  <c r="G12" i="119"/>
  <c r="I12" i="119"/>
  <c r="H12" i="119"/>
  <c r="C12" i="119"/>
  <c r="E12" i="119"/>
  <c r="F12" i="119"/>
  <c r="M12" i="119"/>
  <c r="N12" i="119"/>
  <c r="L12" i="119"/>
  <c r="D12" i="119"/>
  <c r="J12" i="119"/>
  <c r="K13" i="74"/>
  <c r="M13" i="74" s="1"/>
  <c r="N14" i="75"/>
  <c r="N9" i="77"/>
  <c r="F10" i="77"/>
  <c r="G10" i="77"/>
  <c r="G8" i="77"/>
  <c r="N11" i="77"/>
  <c r="G11" i="77"/>
  <c r="C10" i="77"/>
  <c r="I10" i="77"/>
  <c r="F11" i="77"/>
  <c r="D10" i="77"/>
  <c r="N8" i="77"/>
  <c r="L11" i="77"/>
  <c r="H9" i="77"/>
  <c r="I9" i="77"/>
  <c r="M11" i="77"/>
  <c r="D11" i="77"/>
  <c r="K9" i="77"/>
  <c r="C11" i="77"/>
  <c r="K11" i="77"/>
  <c r="M9" i="77"/>
  <c r="E11" i="77"/>
  <c r="J11" i="77"/>
  <c r="I11" i="77"/>
  <c r="J9" i="77"/>
  <c r="D19" i="99"/>
  <c r="C19" i="99"/>
  <c r="F20" i="99"/>
  <c r="E20" i="99"/>
  <c r="A21" i="99"/>
  <c r="B20" i="99"/>
  <c r="G20" i="99"/>
  <c r="M10" i="75"/>
  <c r="O10" i="75" s="1"/>
  <c r="M9" i="75"/>
  <c r="O9" i="75" s="1"/>
  <c r="L7" i="74"/>
  <c r="K12" i="74"/>
  <c r="M12" i="74" s="1"/>
  <c r="K10" i="74"/>
  <c r="M10" i="74" s="1"/>
  <c r="E21" i="98"/>
  <c r="A22" i="98"/>
  <c r="B21" i="98"/>
  <c r="G21" i="98"/>
  <c r="F21" i="98"/>
  <c r="M11" i="75"/>
  <c r="O11" i="75" s="1"/>
  <c r="K11" i="74"/>
  <c r="M11" i="74" s="1"/>
  <c r="K8" i="74"/>
  <c r="M8" i="74" s="1"/>
  <c r="C20" i="97"/>
  <c r="D20" i="97"/>
  <c r="N9" i="75"/>
  <c r="M7" i="75"/>
  <c r="O7" i="75" s="1"/>
  <c r="N8" i="75"/>
  <c r="P12" i="77"/>
  <c r="L8" i="74"/>
  <c r="M12" i="75"/>
  <c r="O12" i="75" s="1"/>
  <c r="D20" i="98"/>
  <c r="C20" i="98"/>
  <c r="L11" i="74"/>
  <c r="O12" i="77"/>
  <c r="Q12" i="77" s="1"/>
  <c r="L12" i="74"/>
  <c r="N11" i="75"/>
  <c r="M8" i="75"/>
  <c r="O8" i="75" s="1"/>
  <c r="K7" i="74"/>
  <c r="M7" i="74" s="1"/>
  <c r="N7" i="75"/>
  <c r="K9" i="74"/>
  <c r="M9" i="74" s="1"/>
  <c r="N12" i="75"/>
  <c r="L9" i="74"/>
  <c r="L10" i="74"/>
  <c r="N10" i="75"/>
  <c r="A22" i="97"/>
  <c r="G21" i="97"/>
  <c r="E21" i="97"/>
  <c r="B21" i="97"/>
  <c r="F21" i="97"/>
  <c r="D16" i="102"/>
  <c r="C16" i="102"/>
  <c r="F18" i="101"/>
  <c r="E18" i="101"/>
  <c r="G18" i="101"/>
  <c r="B18" i="101"/>
  <c r="A19" i="101"/>
  <c r="C15" i="103"/>
  <c r="D15" i="103"/>
  <c r="D14" i="104"/>
  <c r="C14" i="104"/>
  <c r="C19" i="88"/>
  <c r="D19" i="88"/>
  <c r="D17" i="101"/>
  <c r="C17" i="101"/>
  <c r="G17" i="102"/>
  <c r="E17" i="102"/>
  <c r="F17" i="102"/>
  <c r="B17" i="102"/>
  <c r="A18" i="102"/>
  <c r="F20" i="88"/>
  <c r="E20" i="88"/>
  <c r="G20" i="88"/>
  <c r="A21" i="88"/>
  <c r="B20" i="88"/>
  <c r="A17" i="103"/>
  <c r="E16" i="103"/>
  <c r="G16" i="103"/>
  <c r="F16" i="103"/>
  <c r="B16" i="103"/>
  <c r="C18" i="100"/>
  <c r="D18" i="100"/>
  <c r="F19" i="100"/>
  <c r="B19" i="100"/>
  <c r="A20" i="100"/>
  <c r="G19" i="100"/>
  <c r="E19" i="100"/>
  <c r="B15" i="104"/>
  <c r="G15" i="104"/>
  <c r="A16" i="104"/>
  <c r="E15" i="104"/>
  <c r="F15" i="104"/>
  <c r="D19" i="96" l="1"/>
  <c r="C19" i="96"/>
  <c r="A21" i="96"/>
  <c r="F20" i="96"/>
  <c r="G20" i="96"/>
  <c r="B20" i="96"/>
  <c r="E20" i="96"/>
  <c r="A21" i="95"/>
  <c r="G20" i="95"/>
  <c r="B20" i="95"/>
  <c r="E20" i="95"/>
  <c r="F20" i="95"/>
  <c r="D19" i="95"/>
  <c r="C19" i="95"/>
  <c r="F15" i="121"/>
  <c r="G15" i="121"/>
  <c r="A16" i="121"/>
  <c r="E15" i="121"/>
  <c r="B15" i="121"/>
  <c r="D14" i="121"/>
  <c r="C14" i="121"/>
  <c r="P7" i="77"/>
  <c r="O7" i="77"/>
  <c r="Q7" i="77" s="1"/>
  <c r="O9" i="77"/>
  <c r="Q9" i="77" s="1"/>
  <c r="P9" i="77"/>
  <c r="O8" i="77"/>
  <c r="Q8" i="77" s="1"/>
  <c r="P14" i="77"/>
  <c r="F25" i="120"/>
  <c r="E25" i="120"/>
  <c r="A26" i="120"/>
  <c r="B25" i="120"/>
  <c r="G25" i="120"/>
  <c r="D24" i="120"/>
  <c r="C24" i="120"/>
  <c r="O10" i="77"/>
  <c r="Q10" i="77" s="1"/>
  <c r="R7" i="119"/>
  <c r="P8" i="77"/>
  <c r="P11" i="119"/>
  <c r="R11" i="119" s="1"/>
  <c r="O11" i="119"/>
  <c r="Q11" i="119" s="1"/>
  <c r="S11" i="119" s="1"/>
  <c r="O9" i="119"/>
  <c r="Q9" i="119" s="1"/>
  <c r="S9" i="119" s="1"/>
  <c r="P9" i="119"/>
  <c r="R9" i="119" s="1"/>
  <c r="P10" i="77"/>
  <c r="O13" i="119"/>
  <c r="Q13" i="119" s="1"/>
  <c r="S13" i="119" s="1"/>
  <c r="P13" i="119"/>
  <c r="R13" i="119" s="1"/>
  <c r="P13" i="77"/>
  <c r="O13" i="77"/>
  <c r="Q13" i="77" s="1"/>
  <c r="O14" i="77"/>
  <c r="Q14" i="77" s="1"/>
  <c r="P8" i="119"/>
  <c r="R8" i="119" s="1"/>
  <c r="O8" i="119"/>
  <c r="Q8" i="119" s="1"/>
  <c r="S8" i="119" s="1"/>
  <c r="Q7" i="119"/>
  <c r="S7" i="119" s="1"/>
  <c r="P10" i="119"/>
  <c r="R10" i="119" s="1"/>
  <c r="O10" i="119"/>
  <c r="Q10" i="119" s="1"/>
  <c r="S10" i="119" s="1"/>
  <c r="P12" i="119"/>
  <c r="R12" i="119" s="1"/>
  <c r="O12" i="119"/>
  <c r="Q12" i="119" s="1"/>
  <c r="S12" i="119" s="1"/>
  <c r="P14" i="119"/>
  <c r="R14" i="119" s="1"/>
  <c r="O14" i="119"/>
  <c r="Q14" i="119" s="1"/>
  <c r="S14" i="119" s="1"/>
  <c r="P11" i="77"/>
  <c r="O11" i="77"/>
  <c r="Q11" i="77" s="1"/>
  <c r="C20" i="99"/>
  <c r="D20" i="99"/>
  <c r="B21" i="99"/>
  <c r="E21" i="99"/>
  <c r="A22" i="99"/>
  <c r="F21" i="99"/>
  <c r="G21" i="99"/>
  <c r="C21" i="98"/>
  <c r="D21" i="98"/>
  <c r="C21" i="97"/>
  <c r="D21" i="97"/>
  <c r="A23" i="98"/>
  <c r="E22" i="98"/>
  <c r="F22" i="98"/>
  <c r="B22" i="98"/>
  <c r="G22" i="98"/>
  <c r="E22" i="97"/>
  <c r="G22" i="97"/>
  <c r="F22" i="97"/>
  <c r="A23" i="97"/>
  <c r="B22" i="97"/>
  <c r="E16" i="104"/>
  <c r="A17" i="104"/>
  <c r="F16" i="104"/>
  <c r="B16" i="104"/>
  <c r="G16" i="104"/>
  <c r="F21" i="88"/>
  <c r="G21" i="88"/>
  <c r="E21" i="88"/>
  <c r="A22" i="88"/>
  <c r="B21" i="88"/>
  <c r="A20" i="101"/>
  <c r="F19" i="101"/>
  <c r="E19" i="101"/>
  <c r="B19" i="101"/>
  <c r="G19" i="101"/>
  <c r="C15" i="104"/>
  <c r="D15" i="104"/>
  <c r="C16" i="103"/>
  <c r="D16" i="103"/>
  <c r="C18" i="101"/>
  <c r="D18" i="101"/>
  <c r="A19" i="102"/>
  <c r="B18" i="102"/>
  <c r="F18" i="102"/>
  <c r="G18" i="102"/>
  <c r="E18" i="102"/>
  <c r="F20" i="100"/>
  <c r="B20" i="100"/>
  <c r="E20" i="100"/>
  <c r="A21" i="100"/>
  <c r="G20" i="100"/>
  <c r="C17" i="102"/>
  <c r="D17" i="102"/>
  <c r="C19" i="100"/>
  <c r="D19" i="100"/>
  <c r="E17" i="103"/>
  <c r="B17" i="103"/>
  <c r="A18" i="103"/>
  <c r="G17" i="103"/>
  <c r="F17" i="103"/>
  <c r="C20" i="88"/>
  <c r="D20" i="88"/>
  <c r="C20" i="96" l="1"/>
  <c r="D20" i="96"/>
  <c r="B21" i="96"/>
  <c r="G21" i="96"/>
  <c r="A22" i="96"/>
  <c r="F21" i="96"/>
  <c r="E21" i="96"/>
  <c r="D20" i="95"/>
  <c r="C20" i="95"/>
  <c r="F21" i="95"/>
  <c r="B21" i="95"/>
  <c r="E21" i="95"/>
  <c r="G21" i="95"/>
  <c r="A22" i="95"/>
  <c r="C15" i="121"/>
  <c r="D15" i="121"/>
  <c r="G16" i="121"/>
  <c r="F16" i="121"/>
  <c r="E16" i="121"/>
  <c r="A17" i="121"/>
  <c r="B16" i="121"/>
  <c r="C25" i="120"/>
  <c r="D25" i="120"/>
  <c r="B26" i="120"/>
  <c r="G26" i="120"/>
  <c r="E26" i="120"/>
  <c r="A27" i="120"/>
  <c r="F26" i="120"/>
  <c r="F22" i="99"/>
  <c r="E22" i="99"/>
  <c r="B22" i="99"/>
  <c r="G22" i="99"/>
  <c r="A23" i="99"/>
  <c r="D21" i="99"/>
  <c r="C21" i="99"/>
  <c r="C22" i="98"/>
  <c r="D22" i="98"/>
  <c r="D22" i="97"/>
  <c r="C22" i="97"/>
  <c r="B23" i="97"/>
  <c r="E23" i="97"/>
  <c r="F23" i="97"/>
  <c r="G23" i="97"/>
  <c r="A24" i="97"/>
  <c r="B23" i="98"/>
  <c r="A24" i="98"/>
  <c r="E23" i="98"/>
  <c r="F23" i="98"/>
  <c r="G23" i="98"/>
  <c r="C18" i="102"/>
  <c r="D18" i="102"/>
  <c r="G21" i="100"/>
  <c r="E21" i="100"/>
  <c r="F21" i="100"/>
  <c r="A22" i="100"/>
  <c r="B21" i="100"/>
  <c r="E19" i="102"/>
  <c r="F19" i="102"/>
  <c r="A20" i="102"/>
  <c r="B19" i="102"/>
  <c r="G19" i="102"/>
  <c r="D19" i="101"/>
  <c r="C19" i="101"/>
  <c r="A19" i="103"/>
  <c r="F18" i="103"/>
  <c r="E18" i="103"/>
  <c r="B18" i="103"/>
  <c r="G18" i="103"/>
  <c r="D17" i="103"/>
  <c r="C17" i="103"/>
  <c r="C20" i="100"/>
  <c r="D20" i="100"/>
  <c r="C16" i="104"/>
  <c r="D16" i="104"/>
  <c r="B20" i="101"/>
  <c r="G20" i="101"/>
  <c r="F20" i="101"/>
  <c r="E20" i="101"/>
  <c r="A21" i="101"/>
  <c r="C21" i="88"/>
  <c r="D21" i="88"/>
  <c r="A18" i="104"/>
  <c r="G17" i="104"/>
  <c r="B17" i="104"/>
  <c r="F17" i="104"/>
  <c r="E17" i="104"/>
  <c r="G22" i="88"/>
  <c r="E22" i="88"/>
  <c r="B22" i="88"/>
  <c r="A23" i="88"/>
  <c r="F22" i="88"/>
  <c r="G22" i="96" l="1"/>
  <c r="A23" i="96"/>
  <c r="E22" i="96"/>
  <c r="F22" i="96"/>
  <c r="B22" i="96"/>
  <c r="C21" i="96"/>
  <c r="D21" i="96"/>
  <c r="F22" i="95"/>
  <c r="B22" i="95"/>
  <c r="G22" i="95"/>
  <c r="A23" i="95"/>
  <c r="E22" i="95"/>
  <c r="D21" i="95"/>
  <c r="C21" i="95"/>
  <c r="D16" i="121"/>
  <c r="C16" i="121"/>
  <c r="G17" i="121"/>
  <c r="F17" i="121"/>
  <c r="A18" i="121"/>
  <c r="E17" i="121"/>
  <c r="B17" i="121"/>
  <c r="D26" i="120"/>
  <c r="C26" i="120"/>
  <c r="F27" i="120"/>
  <c r="E27" i="120"/>
  <c r="A28" i="120"/>
  <c r="B27" i="120"/>
  <c r="G27" i="120"/>
  <c r="A24" i="99"/>
  <c r="E23" i="99"/>
  <c r="F23" i="99"/>
  <c r="B23" i="99"/>
  <c r="G23" i="99"/>
  <c r="D22" i="99"/>
  <c r="C22" i="99"/>
  <c r="C23" i="97"/>
  <c r="D23" i="97"/>
  <c r="E24" i="98"/>
  <c r="F24" i="98"/>
  <c r="B24" i="98"/>
  <c r="G24" i="98"/>
  <c r="A25" i="98"/>
  <c r="C23" i="98"/>
  <c r="D23" i="98"/>
  <c r="F24" i="97"/>
  <c r="G24" i="97"/>
  <c r="E24" i="97"/>
  <c r="B24" i="97"/>
  <c r="A25" i="97"/>
  <c r="D22" i="88"/>
  <c r="C22" i="88"/>
  <c r="F19" i="103"/>
  <c r="E19" i="103"/>
  <c r="B19" i="103"/>
  <c r="G19" i="103"/>
  <c r="A20" i="103"/>
  <c r="D21" i="100"/>
  <c r="C21" i="100"/>
  <c r="B21" i="101"/>
  <c r="G21" i="101"/>
  <c r="A22" i="101"/>
  <c r="E21" i="101"/>
  <c r="F21" i="101"/>
  <c r="B22" i="100"/>
  <c r="G22" i="100"/>
  <c r="E22" i="100"/>
  <c r="F22" i="100"/>
  <c r="A23" i="100"/>
  <c r="D17" i="104"/>
  <c r="C17" i="104"/>
  <c r="D19" i="102"/>
  <c r="C19" i="102"/>
  <c r="D20" i="101"/>
  <c r="C20" i="101"/>
  <c r="C18" i="103"/>
  <c r="D18" i="103"/>
  <c r="G20" i="102"/>
  <c r="E20" i="102"/>
  <c r="B20" i="102"/>
  <c r="A21" i="102"/>
  <c r="F20" i="102"/>
  <c r="B23" i="88"/>
  <c r="E23" i="88"/>
  <c r="G23" i="88"/>
  <c r="F23" i="88"/>
  <c r="A24" i="88"/>
  <c r="E18" i="104"/>
  <c r="F18" i="104"/>
  <c r="G18" i="104"/>
  <c r="A19" i="104"/>
  <c r="B18" i="104"/>
  <c r="D22" i="96" l="1"/>
  <c r="C22" i="96"/>
  <c r="B23" i="96"/>
  <c r="F23" i="96"/>
  <c r="A24" i="96"/>
  <c r="G23" i="96"/>
  <c r="E23" i="96"/>
  <c r="G23" i="95"/>
  <c r="F23" i="95"/>
  <c r="B23" i="95"/>
  <c r="A24" i="95"/>
  <c r="E23" i="95"/>
  <c r="C22" i="95"/>
  <c r="D22" i="95"/>
  <c r="D17" i="121"/>
  <c r="C17" i="121"/>
  <c r="E18" i="121"/>
  <c r="B18" i="121"/>
  <c r="G18" i="121"/>
  <c r="F18" i="121"/>
  <c r="A19" i="121"/>
  <c r="C27" i="120"/>
  <c r="D27" i="120"/>
  <c r="B28" i="120"/>
  <c r="G28" i="120"/>
  <c r="E28" i="120"/>
  <c r="A29" i="120"/>
  <c r="F28" i="120"/>
  <c r="D23" i="99"/>
  <c r="C23" i="99"/>
  <c r="F24" i="99"/>
  <c r="G24" i="99"/>
  <c r="A25" i="99"/>
  <c r="E24" i="99"/>
  <c r="B24" i="99"/>
  <c r="A26" i="98"/>
  <c r="G25" i="98"/>
  <c r="B25" i="98"/>
  <c r="F25" i="98"/>
  <c r="E25" i="98"/>
  <c r="B25" i="97"/>
  <c r="F25" i="97"/>
  <c r="A26" i="97"/>
  <c r="G25" i="97"/>
  <c r="E25" i="97"/>
  <c r="D24" i="98"/>
  <c r="C24" i="98"/>
  <c r="D24" i="97"/>
  <c r="C24" i="97"/>
  <c r="B21" i="102"/>
  <c r="E21" i="102"/>
  <c r="A22" i="102"/>
  <c r="G21" i="102"/>
  <c r="F21" i="102"/>
  <c r="C22" i="100"/>
  <c r="D22" i="100"/>
  <c r="A21" i="103"/>
  <c r="E20" i="103"/>
  <c r="B20" i="103"/>
  <c r="F20" i="103"/>
  <c r="G20" i="103"/>
  <c r="C20" i="102"/>
  <c r="D20" i="102"/>
  <c r="B24" i="88"/>
  <c r="F24" i="88"/>
  <c r="G24" i="88"/>
  <c r="E24" i="88"/>
  <c r="A25" i="88"/>
  <c r="D19" i="103"/>
  <c r="C19" i="103"/>
  <c r="A23" i="101"/>
  <c r="E22" i="101"/>
  <c r="G22" i="101"/>
  <c r="F22" i="101"/>
  <c r="B22" i="101"/>
  <c r="F23" i="100"/>
  <c r="B23" i="100"/>
  <c r="A24" i="100"/>
  <c r="E23" i="100"/>
  <c r="G23" i="100"/>
  <c r="D18" i="104"/>
  <c r="C18" i="104"/>
  <c r="D21" i="101"/>
  <c r="C21" i="101"/>
  <c r="G19" i="104"/>
  <c r="E19" i="104"/>
  <c r="A20" i="104"/>
  <c r="B19" i="104"/>
  <c r="F19" i="104"/>
  <c r="C23" i="88"/>
  <c r="D23" i="88"/>
  <c r="G24" i="96" l="1"/>
  <c r="B24" i="96"/>
  <c r="E24" i="96"/>
  <c r="A25" i="96"/>
  <c r="F24" i="96"/>
  <c r="C23" i="96"/>
  <c r="D23" i="96"/>
  <c r="E24" i="95"/>
  <c r="F24" i="95"/>
  <c r="B24" i="95"/>
  <c r="A25" i="95"/>
  <c r="G24" i="95"/>
  <c r="C23" i="95"/>
  <c r="D23" i="95"/>
  <c r="G19" i="121"/>
  <c r="E19" i="121"/>
  <c r="A20" i="121"/>
  <c r="B19" i="121"/>
  <c r="F19" i="121"/>
  <c r="D18" i="121"/>
  <c r="C18" i="121"/>
  <c r="A30" i="120"/>
  <c r="F29" i="120"/>
  <c r="E29" i="120"/>
  <c r="B29" i="120"/>
  <c r="G29" i="120"/>
  <c r="D28" i="120"/>
  <c r="C28" i="120"/>
  <c r="D24" i="99"/>
  <c r="C24" i="99"/>
  <c r="A26" i="99"/>
  <c r="F25" i="99"/>
  <c r="E25" i="99"/>
  <c r="B25" i="99"/>
  <c r="G25" i="99"/>
  <c r="D25" i="97"/>
  <c r="C25" i="97"/>
  <c r="C25" i="98"/>
  <c r="D25" i="98"/>
  <c r="B26" i="98"/>
  <c r="F26" i="98"/>
  <c r="G26" i="98"/>
  <c r="E26" i="98"/>
  <c r="A27" i="98"/>
  <c r="A27" i="97"/>
  <c r="B26" i="97"/>
  <c r="G26" i="97"/>
  <c r="E26" i="97"/>
  <c r="F26" i="97"/>
  <c r="G21" i="103"/>
  <c r="F21" i="103"/>
  <c r="A22" i="103"/>
  <c r="E21" i="103"/>
  <c r="B21" i="103"/>
  <c r="D19" i="104"/>
  <c r="C19" i="104"/>
  <c r="C24" i="88"/>
  <c r="D24" i="88"/>
  <c r="G20" i="104"/>
  <c r="E20" i="104"/>
  <c r="B20" i="104"/>
  <c r="F20" i="104"/>
  <c r="A21" i="104"/>
  <c r="F23" i="101"/>
  <c r="E23" i="101"/>
  <c r="G23" i="101"/>
  <c r="A24" i="101"/>
  <c r="B23" i="101"/>
  <c r="B24" i="100"/>
  <c r="G24" i="100"/>
  <c r="A25" i="100"/>
  <c r="E24" i="100"/>
  <c r="F24" i="100"/>
  <c r="D23" i="100"/>
  <c r="C23" i="100"/>
  <c r="F25" i="88"/>
  <c r="B25" i="88"/>
  <c r="G25" i="88"/>
  <c r="E25" i="88"/>
  <c r="A26" i="88"/>
  <c r="E22" i="102"/>
  <c r="G22" i="102"/>
  <c r="A23" i="102"/>
  <c r="B22" i="102"/>
  <c r="F22" i="102"/>
  <c r="C22" i="101"/>
  <c r="D22" i="101"/>
  <c r="C20" i="103"/>
  <c r="D20" i="103"/>
  <c r="C21" i="102"/>
  <c r="D21" i="102"/>
  <c r="B25" i="96" l="1"/>
  <c r="E25" i="96"/>
  <c r="G25" i="96"/>
  <c r="F25" i="96"/>
  <c r="A26" i="96"/>
  <c r="C24" i="96"/>
  <c r="D24" i="96"/>
  <c r="B25" i="95"/>
  <c r="E25" i="95"/>
  <c r="A26" i="95"/>
  <c r="F25" i="95"/>
  <c r="G25" i="95"/>
  <c r="C24" i="95"/>
  <c r="D24" i="95"/>
  <c r="D19" i="121"/>
  <c r="C19" i="121"/>
  <c r="G20" i="121"/>
  <c r="A21" i="121"/>
  <c r="B20" i="121"/>
  <c r="F20" i="121"/>
  <c r="E20" i="121"/>
  <c r="C29" i="120"/>
  <c r="D29" i="120"/>
  <c r="A31" i="120"/>
  <c r="E30" i="120"/>
  <c r="G30" i="120"/>
  <c r="F30" i="120"/>
  <c r="B30" i="120"/>
  <c r="C25" i="99"/>
  <c r="D25" i="99"/>
  <c r="G26" i="99"/>
  <c r="E26" i="99"/>
  <c r="F26" i="99"/>
  <c r="B26" i="99"/>
  <c r="A27" i="99"/>
  <c r="C26" i="98"/>
  <c r="D26" i="98"/>
  <c r="C26" i="97"/>
  <c r="D26" i="97"/>
  <c r="F27" i="97"/>
  <c r="A28" i="97"/>
  <c r="E27" i="97"/>
  <c r="B27" i="97"/>
  <c r="G27" i="97"/>
  <c r="A28" i="98"/>
  <c r="E27" i="98"/>
  <c r="G27" i="98"/>
  <c r="F27" i="98"/>
  <c r="B27" i="98"/>
  <c r="A27" i="88"/>
  <c r="B26" i="88"/>
  <c r="F26" i="88"/>
  <c r="G26" i="88"/>
  <c r="E26" i="88"/>
  <c r="F25" i="100"/>
  <c r="E25" i="100"/>
  <c r="A26" i="100"/>
  <c r="B25" i="100"/>
  <c r="G25" i="100"/>
  <c r="B21" i="104"/>
  <c r="G21" i="104"/>
  <c r="F21" i="104"/>
  <c r="A22" i="104"/>
  <c r="E21" i="104"/>
  <c r="C21" i="103"/>
  <c r="D21" i="103"/>
  <c r="D25" i="88"/>
  <c r="C25" i="88"/>
  <c r="C24" i="100"/>
  <c r="D24" i="100"/>
  <c r="D20" i="104"/>
  <c r="C20" i="104"/>
  <c r="C22" i="102"/>
  <c r="D22" i="102"/>
  <c r="D23" i="101"/>
  <c r="C23" i="101"/>
  <c r="A23" i="103"/>
  <c r="B22" i="103"/>
  <c r="E22" i="103"/>
  <c r="G22" i="103"/>
  <c r="F22" i="103"/>
  <c r="E23" i="102"/>
  <c r="F23" i="102"/>
  <c r="G23" i="102"/>
  <c r="B23" i="102"/>
  <c r="A24" i="102"/>
  <c r="G24" i="101"/>
  <c r="B24" i="101"/>
  <c r="A25" i="101"/>
  <c r="E24" i="101"/>
  <c r="F24" i="101"/>
  <c r="G26" i="96" l="1"/>
  <c r="A27" i="96"/>
  <c r="F26" i="96"/>
  <c r="E26" i="96"/>
  <c r="B26" i="96"/>
  <c r="C25" i="96"/>
  <c r="D25" i="96"/>
  <c r="F26" i="95"/>
  <c r="B26" i="95"/>
  <c r="A27" i="95"/>
  <c r="G26" i="95"/>
  <c r="E26" i="95"/>
  <c r="C25" i="95"/>
  <c r="D25" i="95"/>
  <c r="C20" i="121"/>
  <c r="D20" i="121"/>
  <c r="B21" i="121"/>
  <c r="F21" i="121"/>
  <c r="E21" i="121"/>
  <c r="G21" i="121"/>
  <c r="A22" i="121"/>
  <c r="A32" i="120"/>
  <c r="E31" i="120"/>
  <c r="F31" i="120"/>
  <c r="G31" i="120"/>
  <c r="B31" i="120"/>
  <c r="D30" i="120"/>
  <c r="C30" i="120"/>
  <c r="F27" i="99"/>
  <c r="E27" i="99"/>
  <c r="B27" i="99"/>
  <c r="A28" i="99"/>
  <c r="G27" i="99"/>
  <c r="C26" i="99"/>
  <c r="D26" i="99"/>
  <c r="A29" i="98"/>
  <c r="E28" i="98"/>
  <c r="F28" i="98"/>
  <c r="B28" i="98"/>
  <c r="G28" i="98"/>
  <c r="G28" i="97"/>
  <c r="B28" i="97"/>
  <c r="E28" i="97"/>
  <c r="F28" i="97"/>
  <c r="A29" i="97"/>
  <c r="C27" i="98"/>
  <c r="D27" i="98"/>
  <c r="D27" i="97"/>
  <c r="C27" i="97"/>
  <c r="A26" i="101"/>
  <c r="B25" i="101"/>
  <c r="F25" i="101"/>
  <c r="E25" i="101"/>
  <c r="G25" i="101"/>
  <c r="E26" i="100"/>
  <c r="B26" i="100"/>
  <c r="F26" i="100"/>
  <c r="G26" i="100"/>
  <c r="A27" i="100"/>
  <c r="D24" i="101"/>
  <c r="C24" i="101"/>
  <c r="B22" i="104"/>
  <c r="G22" i="104"/>
  <c r="F22" i="104"/>
  <c r="E22" i="104"/>
  <c r="A23" i="104"/>
  <c r="A25" i="102"/>
  <c r="F24" i="102"/>
  <c r="G24" i="102"/>
  <c r="B24" i="102"/>
  <c r="E24" i="102"/>
  <c r="D22" i="103"/>
  <c r="C22" i="103"/>
  <c r="C23" i="102"/>
  <c r="D23" i="102"/>
  <c r="E23" i="103"/>
  <c r="G23" i="103"/>
  <c r="F23" i="103"/>
  <c r="A24" i="103"/>
  <c r="B23" i="103"/>
  <c r="D21" i="104"/>
  <c r="C21" i="104"/>
  <c r="C26" i="88"/>
  <c r="D26" i="88"/>
  <c r="C25" i="100"/>
  <c r="D25" i="100"/>
  <c r="B27" i="88"/>
  <c r="A28" i="88"/>
  <c r="E27" i="88"/>
  <c r="F27" i="88"/>
  <c r="G27" i="88"/>
  <c r="D26" i="96" l="1"/>
  <c r="C26" i="96"/>
  <c r="G27" i="96"/>
  <c r="B27" i="96"/>
  <c r="E27" i="96"/>
  <c r="A28" i="96"/>
  <c r="F27" i="96"/>
  <c r="A28" i="95"/>
  <c r="G27" i="95"/>
  <c r="F27" i="95"/>
  <c r="B27" i="95"/>
  <c r="E27" i="95"/>
  <c r="D26" i="95"/>
  <c r="C26" i="95"/>
  <c r="A23" i="121"/>
  <c r="B22" i="121"/>
  <c r="G22" i="121"/>
  <c r="F22" i="121"/>
  <c r="E22" i="121"/>
  <c r="C21" i="121"/>
  <c r="D21" i="121"/>
  <c r="C31" i="120"/>
  <c r="D31" i="120"/>
  <c r="A33" i="120"/>
  <c r="E32" i="120"/>
  <c r="B32" i="120"/>
  <c r="G32" i="120"/>
  <c r="F32" i="120"/>
  <c r="F28" i="99"/>
  <c r="A29" i="99"/>
  <c r="B28" i="99"/>
  <c r="E28" i="99"/>
  <c r="G28" i="99"/>
  <c r="C27" i="99"/>
  <c r="D27" i="99"/>
  <c r="B29" i="97"/>
  <c r="A30" i="97"/>
  <c r="F29" i="97"/>
  <c r="E29" i="97"/>
  <c r="G29" i="97"/>
  <c r="C28" i="98"/>
  <c r="D28" i="98"/>
  <c r="C28" i="97"/>
  <c r="D28" i="97"/>
  <c r="A30" i="98"/>
  <c r="F29" i="98"/>
  <c r="G29" i="98"/>
  <c r="B29" i="98"/>
  <c r="E29" i="98"/>
  <c r="G28" i="88"/>
  <c r="B28" i="88"/>
  <c r="E28" i="88"/>
  <c r="A29" i="88"/>
  <c r="F28" i="88"/>
  <c r="D23" i="103"/>
  <c r="C23" i="103"/>
  <c r="D26" i="100"/>
  <c r="C26" i="100"/>
  <c r="D27" i="88"/>
  <c r="C27" i="88"/>
  <c r="A25" i="103"/>
  <c r="F24" i="103"/>
  <c r="G24" i="103"/>
  <c r="E24" i="103"/>
  <c r="B24" i="103"/>
  <c r="D24" i="102"/>
  <c r="C24" i="102"/>
  <c r="D22" i="104"/>
  <c r="C22" i="104"/>
  <c r="B25" i="102"/>
  <c r="A26" i="102"/>
  <c r="F25" i="102"/>
  <c r="G25" i="102"/>
  <c r="E25" i="102"/>
  <c r="A28" i="100"/>
  <c r="B27" i="100"/>
  <c r="E27" i="100"/>
  <c r="F27" i="100"/>
  <c r="G27" i="100"/>
  <c r="C25" i="101"/>
  <c r="D25" i="101"/>
  <c r="E23" i="104"/>
  <c r="G23" i="104"/>
  <c r="A24" i="104"/>
  <c r="B23" i="104"/>
  <c r="F23" i="104"/>
  <c r="B26" i="101"/>
  <c r="F26" i="101"/>
  <c r="G26" i="101"/>
  <c r="E26" i="101"/>
  <c r="A27" i="101"/>
  <c r="B28" i="96" l="1"/>
  <c r="A29" i="96"/>
  <c r="E28" i="96"/>
  <c r="F28" i="96"/>
  <c r="G28" i="96"/>
  <c r="C27" i="96"/>
  <c r="D27" i="96"/>
  <c r="D27" i="95"/>
  <c r="C27" i="95"/>
  <c r="F28" i="95"/>
  <c r="B28" i="95"/>
  <c r="G28" i="95"/>
  <c r="A29" i="95"/>
  <c r="E28" i="95"/>
  <c r="C22" i="121"/>
  <c r="D22" i="121"/>
  <c r="B23" i="121"/>
  <c r="G23" i="121"/>
  <c r="F23" i="121"/>
  <c r="E23" i="121"/>
  <c r="A24" i="121"/>
  <c r="A34" i="120"/>
  <c r="E33" i="120"/>
  <c r="G33" i="120"/>
  <c r="B33" i="120"/>
  <c r="F33" i="120"/>
  <c r="D32" i="120"/>
  <c r="C32" i="120"/>
  <c r="C28" i="99"/>
  <c r="D28" i="99"/>
  <c r="B29" i="99"/>
  <c r="G29" i="99"/>
  <c r="A30" i="99"/>
  <c r="F29" i="99"/>
  <c r="E29" i="99"/>
  <c r="E30" i="98"/>
  <c r="A31" i="98"/>
  <c r="G30" i="98"/>
  <c r="F30" i="98"/>
  <c r="B30" i="98"/>
  <c r="F30" i="97"/>
  <c r="A31" i="97"/>
  <c r="B30" i="97"/>
  <c r="E30" i="97"/>
  <c r="G30" i="97"/>
  <c r="D29" i="98"/>
  <c r="C29" i="98"/>
  <c r="D29" i="97"/>
  <c r="C29" i="97"/>
  <c r="C24" i="103"/>
  <c r="D24" i="103"/>
  <c r="C26" i="101"/>
  <c r="D26" i="101"/>
  <c r="E26" i="102"/>
  <c r="F26" i="102"/>
  <c r="G26" i="102"/>
  <c r="B26" i="102"/>
  <c r="A27" i="102"/>
  <c r="D25" i="102"/>
  <c r="C25" i="102"/>
  <c r="C23" i="104"/>
  <c r="D23" i="104"/>
  <c r="E25" i="103"/>
  <c r="B25" i="103"/>
  <c r="F25" i="103"/>
  <c r="A26" i="103"/>
  <c r="G25" i="103"/>
  <c r="A30" i="88"/>
  <c r="G29" i="88"/>
  <c r="F29" i="88"/>
  <c r="B29" i="88"/>
  <c r="E29" i="88"/>
  <c r="A25" i="104"/>
  <c r="B24" i="104"/>
  <c r="F24" i="104"/>
  <c r="E24" i="104"/>
  <c r="G24" i="104"/>
  <c r="C27" i="100"/>
  <c r="D27" i="100"/>
  <c r="E27" i="101"/>
  <c r="G27" i="101"/>
  <c r="B27" i="101"/>
  <c r="A28" i="101"/>
  <c r="F27" i="101"/>
  <c r="A29" i="100"/>
  <c r="G28" i="100"/>
  <c r="E28" i="100"/>
  <c r="F28" i="100"/>
  <c r="B28" i="100"/>
  <c r="D28" i="88"/>
  <c r="C28" i="88"/>
  <c r="G29" i="96" l="1"/>
  <c r="F29" i="96"/>
  <c r="A30" i="96"/>
  <c r="E29" i="96"/>
  <c r="B29" i="96"/>
  <c r="D28" i="96"/>
  <c r="C28" i="96"/>
  <c r="E29" i="95"/>
  <c r="G29" i="95"/>
  <c r="F29" i="95"/>
  <c r="B29" i="95"/>
  <c r="A30" i="95"/>
  <c r="D28" i="95"/>
  <c r="C28" i="95"/>
  <c r="F24" i="121"/>
  <c r="E24" i="121"/>
  <c r="A25" i="121"/>
  <c r="B24" i="121"/>
  <c r="G24" i="121"/>
  <c r="C23" i="121"/>
  <c r="D23" i="121"/>
  <c r="C33" i="120"/>
  <c r="D33" i="120"/>
  <c r="A35" i="120"/>
  <c r="E34" i="120"/>
  <c r="B34" i="120"/>
  <c r="F34" i="120"/>
  <c r="G34" i="120"/>
  <c r="G30" i="99"/>
  <c r="E30" i="99"/>
  <c r="F30" i="99"/>
  <c r="A31" i="99"/>
  <c r="B30" i="99"/>
  <c r="C29" i="99"/>
  <c r="D29" i="99"/>
  <c r="G31" i="98"/>
  <c r="F31" i="98"/>
  <c r="E31" i="98"/>
  <c r="A32" i="98"/>
  <c r="B31" i="98"/>
  <c r="C30" i="97"/>
  <c r="D30" i="97"/>
  <c r="G31" i="97"/>
  <c r="F31" i="97"/>
  <c r="B31" i="97"/>
  <c r="A32" i="97"/>
  <c r="E31" i="97"/>
  <c r="D30" i="98"/>
  <c r="C30" i="98"/>
  <c r="C28" i="100"/>
  <c r="D28" i="100"/>
  <c r="A26" i="104"/>
  <c r="G25" i="104"/>
  <c r="E25" i="104"/>
  <c r="F25" i="104"/>
  <c r="B25" i="104"/>
  <c r="D26" i="102"/>
  <c r="C26" i="102"/>
  <c r="D25" i="103"/>
  <c r="C25" i="103"/>
  <c r="D29" i="88"/>
  <c r="C29" i="88"/>
  <c r="E29" i="100"/>
  <c r="A30" i="100"/>
  <c r="B29" i="100"/>
  <c r="G29" i="100"/>
  <c r="F29" i="100"/>
  <c r="F30" i="88"/>
  <c r="G30" i="88"/>
  <c r="E30" i="88"/>
  <c r="A31" i="88"/>
  <c r="B30" i="88"/>
  <c r="F28" i="101"/>
  <c r="B28" i="101"/>
  <c r="E28" i="101"/>
  <c r="A29" i="101"/>
  <c r="G28" i="101"/>
  <c r="C27" i="101"/>
  <c r="D27" i="101"/>
  <c r="D24" i="104"/>
  <c r="C24" i="104"/>
  <c r="G26" i="103"/>
  <c r="B26" i="103"/>
  <c r="E26" i="103"/>
  <c r="F26" i="103"/>
  <c r="A27" i="103"/>
  <c r="F27" i="102"/>
  <c r="A28" i="102"/>
  <c r="G27" i="102"/>
  <c r="B27" i="102"/>
  <c r="E27" i="102"/>
  <c r="D29" i="96" l="1"/>
  <c r="C29" i="96"/>
  <c r="E30" i="96"/>
  <c r="B30" i="96"/>
  <c r="F30" i="96"/>
  <c r="A31" i="96"/>
  <c r="G30" i="96"/>
  <c r="G30" i="95"/>
  <c r="B30" i="95"/>
  <c r="A31" i="95"/>
  <c r="E30" i="95"/>
  <c r="F30" i="95"/>
  <c r="C29" i="95"/>
  <c r="D29" i="95"/>
  <c r="D24" i="121"/>
  <c r="C24" i="121"/>
  <c r="G25" i="121"/>
  <c r="F25" i="121"/>
  <c r="E25" i="121"/>
  <c r="A26" i="121"/>
  <c r="B25" i="121"/>
  <c r="D34" i="120"/>
  <c r="C34" i="120"/>
  <c r="A36" i="120"/>
  <c r="E35" i="120"/>
  <c r="G35" i="120"/>
  <c r="F35" i="120"/>
  <c r="B35" i="120"/>
  <c r="D30" i="99"/>
  <c r="C30" i="99"/>
  <c r="E31" i="99"/>
  <c r="G31" i="99"/>
  <c r="B31" i="99"/>
  <c r="A32" i="99"/>
  <c r="F31" i="99"/>
  <c r="G32" i="97"/>
  <c r="F32" i="97"/>
  <c r="A33" i="97"/>
  <c r="B32" i="97"/>
  <c r="E32" i="97"/>
  <c r="D31" i="97"/>
  <c r="C31" i="97"/>
  <c r="D31" i="98"/>
  <c r="C31" i="98"/>
  <c r="A33" i="98"/>
  <c r="F32" i="98"/>
  <c r="G32" i="98"/>
  <c r="E32" i="98"/>
  <c r="B32" i="98"/>
  <c r="D29" i="100"/>
  <c r="C29" i="100"/>
  <c r="E28" i="102"/>
  <c r="B28" i="102"/>
  <c r="A29" i="102"/>
  <c r="G28" i="102"/>
  <c r="F28" i="102"/>
  <c r="C30" i="88"/>
  <c r="D30" i="88"/>
  <c r="B30" i="100"/>
  <c r="G30" i="100"/>
  <c r="F30" i="100"/>
  <c r="A31" i="100"/>
  <c r="E30" i="100"/>
  <c r="D25" i="104"/>
  <c r="C25" i="104"/>
  <c r="F31" i="88"/>
  <c r="B31" i="88"/>
  <c r="G31" i="88"/>
  <c r="E31" i="88"/>
  <c r="A32" i="88"/>
  <c r="A28" i="103"/>
  <c r="B27" i="103"/>
  <c r="F27" i="103"/>
  <c r="G27" i="103"/>
  <c r="E27" i="103"/>
  <c r="A30" i="101"/>
  <c r="B29" i="101"/>
  <c r="F29" i="101"/>
  <c r="G29" i="101"/>
  <c r="E29" i="101"/>
  <c r="F26" i="104"/>
  <c r="E26" i="104"/>
  <c r="B26" i="104"/>
  <c r="G26" i="104"/>
  <c r="A27" i="104"/>
  <c r="D26" i="103"/>
  <c r="C26" i="103"/>
  <c r="C27" i="102"/>
  <c r="D27" i="102"/>
  <c r="C28" i="101"/>
  <c r="D28" i="101"/>
  <c r="G31" i="96" l="1"/>
  <c r="A32" i="96"/>
  <c r="B31" i="96"/>
  <c r="F31" i="96"/>
  <c r="E31" i="96"/>
  <c r="D30" i="96"/>
  <c r="C30" i="96"/>
  <c r="E31" i="95"/>
  <c r="A32" i="95"/>
  <c r="G31" i="95"/>
  <c r="F31" i="95"/>
  <c r="B31" i="95"/>
  <c r="D30" i="95"/>
  <c r="C30" i="95"/>
  <c r="D25" i="121"/>
  <c r="C25" i="121"/>
  <c r="G26" i="121"/>
  <c r="F26" i="121"/>
  <c r="E26" i="121"/>
  <c r="A27" i="121"/>
  <c r="B26" i="121"/>
  <c r="A37" i="120"/>
  <c r="E36" i="120"/>
  <c r="G36" i="120"/>
  <c r="F36" i="120"/>
  <c r="B36" i="120"/>
  <c r="D35" i="120"/>
  <c r="C35" i="120"/>
  <c r="F32" i="99"/>
  <c r="G32" i="99"/>
  <c r="A33" i="99"/>
  <c r="E32" i="99"/>
  <c r="B32" i="99"/>
  <c r="D31" i="99"/>
  <c r="C31" i="99"/>
  <c r="E33" i="98"/>
  <c r="B33" i="98"/>
  <c r="G33" i="98"/>
  <c r="A34" i="98"/>
  <c r="F33" i="98"/>
  <c r="C32" i="97"/>
  <c r="D32" i="97"/>
  <c r="A34" i="97"/>
  <c r="B33" i="97"/>
  <c r="G33" i="97"/>
  <c r="F33" i="97"/>
  <c r="E33" i="97"/>
  <c r="C32" i="98"/>
  <c r="D32" i="98"/>
  <c r="D27" i="103"/>
  <c r="C27" i="103"/>
  <c r="E28" i="103"/>
  <c r="A29" i="103"/>
  <c r="G28" i="103"/>
  <c r="B28" i="103"/>
  <c r="F28" i="103"/>
  <c r="B32" i="88"/>
  <c r="A33" i="88"/>
  <c r="E32" i="88"/>
  <c r="G32" i="88"/>
  <c r="F32" i="88"/>
  <c r="A32" i="100"/>
  <c r="G31" i="100"/>
  <c r="E31" i="100"/>
  <c r="B31" i="100"/>
  <c r="F31" i="100"/>
  <c r="E29" i="102"/>
  <c r="A30" i="102"/>
  <c r="F29" i="102"/>
  <c r="G29" i="102"/>
  <c r="B29" i="102"/>
  <c r="F27" i="104"/>
  <c r="B27" i="104"/>
  <c r="G27" i="104"/>
  <c r="A28" i="104"/>
  <c r="E27" i="104"/>
  <c r="C29" i="101"/>
  <c r="D29" i="101"/>
  <c r="D28" i="102"/>
  <c r="C28" i="102"/>
  <c r="A31" i="101"/>
  <c r="F30" i="101"/>
  <c r="B30" i="101"/>
  <c r="E30" i="101"/>
  <c r="G30" i="101"/>
  <c r="D26" i="104"/>
  <c r="C26" i="104"/>
  <c r="D31" i="88"/>
  <c r="C31" i="88"/>
  <c r="D30" i="100"/>
  <c r="C30" i="100"/>
  <c r="C31" i="96" l="1"/>
  <c r="D31" i="96"/>
  <c r="B32" i="96"/>
  <c r="A33" i="96"/>
  <c r="G32" i="96"/>
  <c r="E32" i="96"/>
  <c r="F32" i="96"/>
  <c r="C31" i="95"/>
  <c r="D31" i="95"/>
  <c r="G32" i="95"/>
  <c r="F32" i="95"/>
  <c r="E32" i="95"/>
  <c r="B32" i="95"/>
  <c r="A33" i="95"/>
  <c r="D26" i="121"/>
  <c r="C26" i="121"/>
  <c r="G27" i="121"/>
  <c r="E27" i="121"/>
  <c r="A28" i="121"/>
  <c r="B27" i="121"/>
  <c r="F27" i="121"/>
  <c r="C36" i="120"/>
  <c r="D36" i="120"/>
  <c r="A38" i="120"/>
  <c r="E37" i="120"/>
  <c r="G37" i="120"/>
  <c r="F37" i="120"/>
  <c r="B37" i="120"/>
  <c r="C32" i="99"/>
  <c r="D32" i="99"/>
  <c r="B33" i="99"/>
  <c r="G33" i="99"/>
  <c r="E33" i="99"/>
  <c r="F33" i="99"/>
  <c r="A34" i="99"/>
  <c r="C33" i="97"/>
  <c r="D33" i="97"/>
  <c r="D33" i="98"/>
  <c r="C33" i="98"/>
  <c r="F34" i="97"/>
  <c r="E34" i="97"/>
  <c r="B34" i="97"/>
  <c r="A35" i="97"/>
  <c r="G34" i="97"/>
  <c r="F34" i="98"/>
  <c r="E34" i="98"/>
  <c r="A35" i="98"/>
  <c r="B34" i="98"/>
  <c r="G34" i="98"/>
  <c r="A32" i="101"/>
  <c r="B31" i="101"/>
  <c r="E31" i="101"/>
  <c r="G31" i="101"/>
  <c r="F31" i="101"/>
  <c r="D27" i="104"/>
  <c r="C27" i="104"/>
  <c r="C31" i="100"/>
  <c r="D31" i="100"/>
  <c r="C32" i="88"/>
  <c r="D32" i="88"/>
  <c r="C29" i="102"/>
  <c r="D29" i="102"/>
  <c r="D28" i="103"/>
  <c r="C28" i="103"/>
  <c r="A33" i="100"/>
  <c r="G32" i="100"/>
  <c r="F32" i="100"/>
  <c r="B32" i="100"/>
  <c r="E32" i="100"/>
  <c r="G29" i="103"/>
  <c r="F29" i="103"/>
  <c r="A30" i="103"/>
  <c r="B29" i="103"/>
  <c r="E29" i="103"/>
  <c r="E30" i="102"/>
  <c r="B30" i="102"/>
  <c r="A31" i="102"/>
  <c r="G30" i="102"/>
  <c r="F30" i="102"/>
  <c r="C30" i="101"/>
  <c r="D30" i="101"/>
  <c r="E28" i="104"/>
  <c r="A29" i="104"/>
  <c r="G28" i="104"/>
  <c r="F28" i="104"/>
  <c r="B28" i="104"/>
  <c r="B33" i="88"/>
  <c r="E33" i="88"/>
  <c r="G33" i="88"/>
  <c r="F33" i="88"/>
  <c r="A34" i="88"/>
  <c r="B33" i="96" l="1"/>
  <c r="G33" i="96"/>
  <c r="F33" i="96"/>
  <c r="A34" i="96"/>
  <c r="E33" i="96"/>
  <c r="D32" i="96"/>
  <c r="C32" i="96"/>
  <c r="A34" i="95"/>
  <c r="G33" i="95"/>
  <c r="F33" i="95"/>
  <c r="E33" i="95"/>
  <c r="B33" i="95"/>
  <c r="D32" i="95"/>
  <c r="C32" i="95"/>
  <c r="C27" i="121"/>
  <c r="D27" i="121"/>
  <c r="A29" i="121"/>
  <c r="B28" i="121"/>
  <c r="F28" i="121"/>
  <c r="E28" i="121"/>
  <c r="G28" i="121"/>
  <c r="A39" i="120"/>
  <c r="E38" i="120"/>
  <c r="G38" i="120"/>
  <c r="F38" i="120"/>
  <c r="B38" i="120"/>
  <c r="D37" i="120"/>
  <c r="C37" i="120"/>
  <c r="F34" i="99"/>
  <c r="G34" i="99"/>
  <c r="E34" i="99"/>
  <c r="A35" i="99"/>
  <c r="B34" i="99"/>
  <c r="C33" i="99"/>
  <c r="D33" i="99"/>
  <c r="G35" i="98"/>
  <c r="F35" i="98"/>
  <c r="A36" i="98"/>
  <c r="B35" i="98"/>
  <c r="E35" i="98"/>
  <c r="D34" i="98"/>
  <c r="C34" i="98"/>
  <c r="G35" i="97"/>
  <c r="A36" i="97"/>
  <c r="B35" i="97"/>
  <c r="E35" i="97"/>
  <c r="F35" i="97"/>
  <c r="D34" i="97"/>
  <c r="C34" i="97"/>
  <c r="D29" i="103"/>
  <c r="C29" i="103"/>
  <c r="E33" i="100"/>
  <c r="B33" i="100"/>
  <c r="G33" i="100"/>
  <c r="A34" i="100"/>
  <c r="F33" i="100"/>
  <c r="F30" i="103"/>
  <c r="E30" i="103"/>
  <c r="B30" i="103"/>
  <c r="G30" i="103"/>
  <c r="A31" i="103"/>
  <c r="D33" i="88"/>
  <c r="C33" i="88"/>
  <c r="D28" i="104"/>
  <c r="C28" i="104"/>
  <c r="F31" i="102"/>
  <c r="B31" i="102"/>
  <c r="G31" i="102"/>
  <c r="A32" i="102"/>
  <c r="E31" i="102"/>
  <c r="C30" i="102"/>
  <c r="D30" i="102"/>
  <c r="D32" i="100"/>
  <c r="C32" i="100"/>
  <c r="B34" i="88"/>
  <c r="F34" i="88"/>
  <c r="E34" i="88"/>
  <c r="A35" i="88"/>
  <c r="G34" i="88"/>
  <c r="G29" i="104"/>
  <c r="F29" i="104"/>
  <c r="A30" i="104"/>
  <c r="B29" i="104"/>
  <c r="E29" i="104"/>
  <c r="D31" i="101"/>
  <c r="C31" i="101"/>
  <c r="E32" i="101"/>
  <c r="G32" i="101"/>
  <c r="F32" i="101"/>
  <c r="A33" i="101"/>
  <c r="B32" i="101"/>
  <c r="F34" i="96" l="1"/>
  <c r="A35" i="96"/>
  <c r="B34" i="96"/>
  <c r="E34" i="96"/>
  <c r="G34" i="96"/>
  <c r="C33" i="96"/>
  <c r="D33" i="96"/>
  <c r="D33" i="95"/>
  <c r="C33" i="95"/>
  <c r="G34" i="95"/>
  <c r="A35" i="95"/>
  <c r="B34" i="95"/>
  <c r="E34" i="95"/>
  <c r="F34" i="95"/>
  <c r="D28" i="121"/>
  <c r="C28" i="121"/>
  <c r="G29" i="121"/>
  <c r="B29" i="121"/>
  <c r="A30" i="121"/>
  <c r="F29" i="121"/>
  <c r="E29" i="121"/>
  <c r="D38" i="120"/>
  <c r="C38" i="120"/>
  <c r="A40" i="120"/>
  <c r="E39" i="120"/>
  <c r="F39" i="120"/>
  <c r="G39" i="120"/>
  <c r="B39" i="120"/>
  <c r="C34" i="99"/>
  <c r="D34" i="99"/>
  <c r="A36" i="99"/>
  <c r="G35" i="99"/>
  <c r="E35" i="99"/>
  <c r="F35" i="99"/>
  <c r="B35" i="99"/>
  <c r="B36" i="97"/>
  <c r="G36" i="97"/>
  <c r="E36" i="97"/>
  <c r="A37" i="97"/>
  <c r="F36" i="97"/>
  <c r="D35" i="98"/>
  <c r="C35" i="98"/>
  <c r="F36" i="98"/>
  <c r="E36" i="98"/>
  <c r="G36" i="98"/>
  <c r="A37" i="98"/>
  <c r="B36" i="98"/>
  <c r="C35" i="97"/>
  <c r="D35" i="97"/>
  <c r="A35" i="100"/>
  <c r="E34" i="100"/>
  <c r="G34" i="100"/>
  <c r="B34" i="100"/>
  <c r="F34" i="100"/>
  <c r="A36" i="88"/>
  <c r="F35" i="88"/>
  <c r="E35" i="88"/>
  <c r="G35" i="88"/>
  <c r="B35" i="88"/>
  <c r="F32" i="102"/>
  <c r="B32" i="102"/>
  <c r="A33" i="102"/>
  <c r="G32" i="102"/>
  <c r="E32" i="102"/>
  <c r="E31" i="103"/>
  <c r="G31" i="103"/>
  <c r="F31" i="103"/>
  <c r="A32" i="103"/>
  <c r="B31" i="103"/>
  <c r="C33" i="100"/>
  <c r="D33" i="100"/>
  <c r="C32" i="101"/>
  <c r="D32" i="101"/>
  <c r="D29" i="104"/>
  <c r="C29" i="104"/>
  <c r="C34" i="88"/>
  <c r="D34" i="88"/>
  <c r="C31" i="102"/>
  <c r="D31" i="102"/>
  <c r="D30" i="103"/>
  <c r="C30" i="103"/>
  <c r="G33" i="101"/>
  <c r="A34" i="101"/>
  <c r="E33" i="101"/>
  <c r="B33" i="101"/>
  <c r="F33" i="101"/>
  <c r="B30" i="104"/>
  <c r="F30" i="104"/>
  <c r="E30" i="104"/>
  <c r="G30" i="104"/>
  <c r="A31" i="104"/>
  <c r="D34" i="96" l="1"/>
  <c r="C34" i="96"/>
  <c r="B35" i="96"/>
  <c r="A36" i="96"/>
  <c r="E35" i="96"/>
  <c r="F35" i="96"/>
  <c r="G35" i="96"/>
  <c r="D34" i="95"/>
  <c r="C34" i="95"/>
  <c r="G35" i="95"/>
  <c r="A36" i="95"/>
  <c r="B35" i="95"/>
  <c r="F35" i="95"/>
  <c r="E35" i="95"/>
  <c r="E30" i="121"/>
  <c r="B30" i="121"/>
  <c r="A31" i="121"/>
  <c r="F30" i="121"/>
  <c r="G30" i="121"/>
  <c r="D29" i="121"/>
  <c r="C29" i="121"/>
  <c r="D39" i="120"/>
  <c r="C39" i="120"/>
  <c r="A41" i="120"/>
  <c r="E40" i="120"/>
  <c r="B40" i="120"/>
  <c r="G40" i="120"/>
  <c r="F40" i="120"/>
  <c r="D35" i="99"/>
  <c r="C35" i="99"/>
  <c r="G36" i="99"/>
  <c r="B36" i="99"/>
  <c r="E36" i="99"/>
  <c r="A37" i="99"/>
  <c r="F36" i="99"/>
  <c r="F37" i="98"/>
  <c r="E37" i="98"/>
  <c r="G37" i="98"/>
  <c r="B37" i="98"/>
  <c r="A38" i="98"/>
  <c r="A38" i="97"/>
  <c r="F37" i="97"/>
  <c r="E37" i="97"/>
  <c r="G37" i="97"/>
  <c r="B37" i="97"/>
  <c r="D36" i="98"/>
  <c r="C36" i="98"/>
  <c r="C36" i="97"/>
  <c r="D36" i="97"/>
  <c r="D30" i="104"/>
  <c r="C30" i="104"/>
  <c r="B36" i="88"/>
  <c r="E36" i="88"/>
  <c r="F36" i="88"/>
  <c r="A37" i="88"/>
  <c r="G36" i="88"/>
  <c r="A34" i="102"/>
  <c r="B33" i="102"/>
  <c r="F33" i="102"/>
  <c r="E33" i="102"/>
  <c r="G33" i="102"/>
  <c r="C33" i="101"/>
  <c r="D33" i="101"/>
  <c r="C31" i="103"/>
  <c r="D31" i="103"/>
  <c r="D32" i="102"/>
  <c r="C32" i="102"/>
  <c r="D34" i="100"/>
  <c r="C34" i="100"/>
  <c r="G32" i="103"/>
  <c r="F32" i="103"/>
  <c r="E32" i="103"/>
  <c r="A33" i="103"/>
  <c r="B32" i="103"/>
  <c r="E31" i="104"/>
  <c r="A32" i="104"/>
  <c r="G31" i="104"/>
  <c r="F31" i="104"/>
  <c r="B31" i="104"/>
  <c r="E34" i="101"/>
  <c r="G34" i="101"/>
  <c r="A35" i="101"/>
  <c r="F34" i="101"/>
  <c r="B34" i="101"/>
  <c r="C35" i="88"/>
  <c r="D35" i="88"/>
  <c r="F35" i="100"/>
  <c r="A36" i="100"/>
  <c r="G35" i="100"/>
  <c r="E35" i="100"/>
  <c r="B35" i="100"/>
  <c r="E36" i="96" l="1"/>
  <c r="A37" i="96"/>
  <c r="G36" i="96"/>
  <c r="B36" i="96"/>
  <c r="F36" i="96"/>
  <c r="D35" i="96"/>
  <c r="C35" i="96"/>
  <c r="D35" i="95"/>
  <c r="C35" i="95"/>
  <c r="E36" i="95"/>
  <c r="B36" i="95"/>
  <c r="F36" i="95"/>
  <c r="A37" i="95"/>
  <c r="G36" i="95"/>
  <c r="G31" i="121"/>
  <c r="F31" i="121"/>
  <c r="E31" i="121"/>
  <c r="B31" i="121"/>
  <c r="A32" i="121"/>
  <c r="D30" i="121"/>
  <c r="C30" i="121"/>
  <c r="D40" i="120"/>
  <c r="C40" i="120"/>
  <c r="A42" i="120"/>
  <c r="E41" i="120"/>
  <c r="B41" i="120"/>
  <c r="G41" i="120"/>
  <c r="F41" i="120"/>
  <c r="G37" i="99"/>
  <c r="F37" i="99"/>
  <c r="E37" i="99"/>
  <c r="B37" i="99"/>
  <c r="A38" i="99"/>
  <c r="D36" i="99"/>
  <c r="C36" i="99"/>
  <c r="D37" i="97"/>
  <c r="C37" i="97"/>
  <c r="B38" i="98"/>
  <c r="E38" i="98"/>
  <c r="A39" i="98"/>
  <c r="G38" i="98"/>
  <c r="F38" i="98"/>
  <c r="C37" i="98"/>
  <c r="D37" i="98"/>
  <c r="A39" i="97"/>
  <c r="F38" i="97"/>
  <c r="G38" i="97"/>
  <c r="E38" i="97"/>
  <c r="B38" i="97"/>
  <c r="A34" i="103"/>
  <c r="E33" i="103"/>
  <c r="B33" i="103"/>
  <c r="G33" i="103"/>
  <c r="F33" i="103"/>
  <c r="B34" i="102"/>
  <c r="F34" i="102"/>
  <c r="A35" i="102"/>
  <c r="G34" i="102"/>
  <c r="E34" i="102"/>
  <c r="E36" i="100"/>
  <c r="F36" i="100"/>
  <c r="A37" i="100"/>
  <c r="B36" i="100"/>
  <c r="G36" i="100"/>
  <c r="C31" i="104"/>
  <c r="D31" i="104"/>
  <c r="B37" i="88"/>
  <c r="E37" i="88"/>
  <c r="A38" i="88"/>
  <c r="F37" i="88"/>
  <c r="G37" i="88"/>
  <c r="C34" i="101"/>
  <c r="D34" i="101"/>
  <c r="G32" i="104"/>
  <c r="A33" i="104"/>
  <c r="F32" i="104"/>
  <c r="E32" i="104"/>
  <c r="B32" i="104"/>
  <c r="D36" i="88"/>
  <c r="C36" i="88"/>
  <c r="D35" i="100"/>
  <c r="C35" i="100"/>
  <c r="A36" i="101"/>
  <c r="B35" i="101"/>
  <c r="E35" i="101"/>
  <c r="F35" i="101"/>
  <c r="G35" i="101"/>
  <c r="C32" i="103"/>
  <c r="D32" i="103"/>
  <c r="C33" i="102"/>
  <c r="D33" i="102"/>
  <c r="D36" i="96" l="1"/>
  <c r="C36" i="96"/>
  <c r="E37" i="96"/>
  <c r="G37" i="96"/>
  <c r="B37" i="96"/>
  <c r="A38" i="96"/>
  <c r="F37" i="96"/>
  <c r="G37" i="95"/>
  <c r="F37" i="95"/>
  <c r="B37" i="95"/>
  <c r="E37" i="95"/>
  <c r="A38" i="95"/>
  <c r="C36" i="95"/>
  <c r="D36" i="95"/>
  <c r="F32" i="121"/>
  <c r="E32" i="121"/>
  <c r="B32" i="121"/>
  <c r="A33" i="121"/>
  <c r="G32" i="121"/>
  <c r="D31" i="121"/>
  <c r="C31" i="121"/>
  <c r="C41" i="120"/>
  <c r="D41" i="120"/>
  <c r="A43" i="120"/>
  <c r="E42" i="120"/>
  <c r="B42" i="120"/>
  <c r="F42" i="120"/>
  <c r="G42" i="120"/>
  <c r="B38" i="99"/>
  <c r="G38" i="99"/>
  <c r="F38" i="99"/>
  <c r="E38" i="99"/>
  <c r="A39" i="99"/>
  <c r="D37" i="99"/>
  <c r="C37" i="99"/>
  <c r="A40" i="98"/>
  <c r="F39" i="98"/>
  <c r="G39" i="98"/>
  <c r="E39" i="98"/>
  <c r="B39" i="98"/>
  <c r="B39" i="97"/>
  <c r="E39" i="97"/>
  <c r="F39" i="97"/>
  <c r="A40" i="97"/>
  <c r="G39" i="97"/>
  <c r="D38" i="97"/>
  <c r="C38" i="97"/>
  <c r="D38" i="98"/>
  <c r="C38" i="98"/>
  <c r="A36" i="102"/>
  <c r="F35" i="102"/>
  <c r="B35" i="102"/>
  <c r="G35" i="102"/>
  <c r="E35" i="102"/>
  <c r="C36" i="100"/>
  <c r="D36" i="100"/>
  <c r="C34" i="102"/>
  <c r="D34" i="102"/>
  <c r="D32" i="104"/>
  <c r="C32" i="104"/>
  <c r="F37" i="100"/>
  <c r="G37" i="100"/>
  <c r="B37" i="100"/>
  <c r="A38" i="100"/>
  <c r="E37" i="100"/>
  <c r="F38" i="88"/>
  <c r="E38" i="88"/>
  <c r="B38" i="88"/>
  <c r="G38" i="88"/>
  <c r="A39" i="88"/>
  <c r="C35" i="101"/>
  <c r="D35" i="101"/>
  <c r="D33" i="103"/>
  <c r="C33" i="103"/>
  <c r="A37" i="101"/>
  <c r="G36" i="101"/>
  <c r="B36" i="101"/>
  <c r="E36" i="101"/>
  <c r="F36" i="101"/>
  <c r="E33" i="104"/>
  <c r="A34" i="104"/>
  <c r="F33" i="104"/>
  <c r="G33" i="104"/>
  <c r="B33" i="104"/>
  <c r="D37" i="88"/>
  <c r="C37" i="88"/>
  <c r="G34" i="103"/>
  <c r="F34" i="103"/>
  <c r="B34" i="103"/>
  <c r="A35" i="103"/>
  <c r="E34" i="103"/>
  <c r="A39" i="96" l="1"/>
  <c r="F38" i="96"/>
  <c r="B38" i="96"/>
  <c r="G38" i="96"/>
  <c r="E38" i="96"/>
  <c r="C37" i="96"/>
  <c r="D37" i="96"/>
  <c r="E38" i="95"/>
  <c r="A39" i="95"/>
  <c r="G38" i="95"/>
  <c r="B38" i="95"/>
  <c r="F38" i="95"/>
  <c r="C37" i="95"/>
  <c r="D37" i="95"/>
  <c r="F33" i="121"/>
  <c r="E33" i="121"/>
  <c r="B33" i="121"/>
  <c r="A34" i="121"/>
  <c r="G33" i="121"/>
  <c r="C32" i="121"/>
  <c r="D32" i="121"/>
  <c r="D42" i="120"/>
  <c r="C42" i="120"/>
  <c r="A44" i="120"/>
  <c r="E43" i="120"/>
  <c r="G43" i="120"/>
  <c r="F43" i="120"/>
  <c r="B43" i="120"/>
  <c r="A40" i="99"/>
  <c r="G39" i="99"/>
  <c r="F39" i="99"/>
  <c r="B39" i="99"/>
  <c r="E39" i="99"/>
  <c r="D38" i="99"/>
  <c r="C38" i="99"/>
  <c r="C39" i="97"/>
  <c r="D39" i="97"/>
  <c r="F40" i="98"/>
  <c r="B40" i="98"/>
  <c r="E40" i="98"/>
  <c r="A41" i="98"/>
  <c r="G40" i="98"/>
  <c r="A41" i="97"/>
  <c r="G40" i="97"/>
  <c r="E40" i="97"/>
  <c r="F40" i="97"/>
  <c r="B40" i="97"/>
  <c r="D39" i="98"/>
  <c r="C39" i="98"/>
  <c r="D34" i="103"/>
  <c r="C34" i="103"/>
  <c r="F34" i="104"/>
  <c r="B34" i="104"/>
  <c r="E34" i="104"/>
  <c r="A35" i="104"/>
  <c r="G34" i="104"/>
  <c r="A39" i="100"/>
  <c r="E38" i="100"/>
  <c r="G38" i="100"/>
  <c r="F38" i="100"/>
  <c r="B38" i="100"/>
  <c r="C37" i="100"/>
  <c r="D37" i="100"/>
  <c r="A40" i="88"/>
  <c r="G39" i="88"/>
  <c r="E39" i="88"/>
  <c r="F39" i="88"/>
  <c r="B39" i="88"/>
  <c r="C36" i="101"/>
  <c r="D36" i="101"/>
  <c r="D33" i="104"/>
  <c r="C33" i="104"/>
  <c r="C38" i="88"/>
  <c r="D38" i="88"/>
  <c r="C35" i="102"/>
  <c r="D35" i="102"/>
  <c r="F37" i="101"/>
  <c r="G37" i="101"/>
  <c r="A38" i="101"/>
  <c r="B37" i="101"/>
  <c r="E37" i="101"/>
  <c r="E35" i="103"/>
  <c r="B35" i="103"/>
  <c r="G35" i="103"/>
  <c r="A36" i="103"/>
  <c r="F35" i="103"/>
  <c r="B36" i="102"/>
  <c r="G36" i="102"/>
  <c r="A37" i="102"/>
  <c r="F36" i="102"/>
  <c r="E36" i="102"/>
  <c r="D38" i="96" l="1"/>
  <c r="C38" i="96"/>
  <c r="G39" i="96"/>
  <c r="B39" i="96"/>
  <c r="A40" i="96"/>
  <c r="F39" i="96"/>
  <c r="E39" i="96"/>
  <c r="D38" i="95"/>
  <c r="C38" i="95"/>
  <c r="G39" i="95"/>
  <c r="F39" i="95"/>
  <c r="E39" i="95"/>
  <c r="A40" i="95"/>
  <c r="B39" i="95"/>
  <c r="F34" i="121"/>
  <c r="E34" i="121"/>
  <c r="B34" i="121"/>
  <c r="A35" i="121"/>
  <c r="G34" i="121"/>
  <c r="D33" i="121"/>
  <c r="C33" i="121"/>
  <c r="D43" i="120"/>
  <c r="C43" i="120"/>
  <c r="A45" i="120"/>
  <c r="E44" i="120"/>
  <c r="G44" i="120"/>
  <c r="F44" i="120"/>
  <c r="B44" i="120"/>
  <c r="C39" i="99"/>
  <c r="D39" i="99"/>
  <c r="B40" i="99"/>
  <c r="E40" i="99"/>
  <c r="G40" i="99"/>
  <c r="A41" i="99"/>
  <c r="F40" i="99"/>
  <c r="D40" i="97"/>
  <c r="C40" i="97"/>
  <c r="A42" i="97"/>
  <c r="F41" i="97"/>
  <c r="E41" i="97"/>
  <c r="G41" i="97"/>
  <c r="B41" i="97"/>
  <c r="B41" i="98"/>
  <c r="F41" i="98"/>
  <c r="A42" i="98"/>
  <c r="E41" i="98"/>
  <c r="G41" i="98"/>
  <c r="C40" i="98"/>
  <c r="D40" i="98"/>
  <c r="A38" i="102"/>
  <c r="E37" i="102"/>
  <c r="F37" i="102"/>
  <c r="G37" i="102"/>
  <c r="B37" i="102"/>
  <c r="B39" i="100"/>
  <c r="F39" i="100"/>
  <c r="A40" i="100"/>
  <c r="G39" i="100"/>
  <c r="E39" i="100"/>
  <c r="D37" i="101"/>
  <c r="C37" i="101"/>
  <c r="G40" i="88"/>
  <c r="B40" i="88"/>
  <c r="A41" i="88"/>
  <c r="E40" i="88"/>
  <c r="F40" i="88"/>
  <c r="A39" i="101"/>
  <c r="F38" i="101"/>
  <c r="B38" i="101"/>
  <c r="E38" i="101"/>
  <c r="G38" i="101"/>
  <c r="B35" i="104"/>
  <c r="F35" i="104"/>
  <c r="E35" i="104"/>
  <c r="G35" i="104"/>
  <c r="A36" i="104"/>
  <c r="F36" i="103"/>
  <c r="E36" i="103"/>
  <c r="A37" i="103"/>
  <c r="G36" i="103"/>
  <c r="B36" i="103"/>
  <c r="C38" i="100"/>
  <c r="D38" i="100"/>
  <c r="D34" i="104"/>
  <c r="C34" i="104"/>
  <c r="D39" i="88"/>
  <c r="C39" i="88"/>
  <c r="C35" i="103"/>
  <c r="D35" i="103"/>
  <c r="D36" i="102"/>
  <c r="C36" i="102"/>
  <c r="A41" i="96" l="1"/>
  <c r="E40" i="96"/>
  <c r="F40" i="96"/>
  <c r="G40" i="96"/>
  <c r="B40" i="96"/>
  <c r="C39" i="96"/>
  <c r="D39" i="96"/>
  <c r="C39" i="95"/>
  <c r="D39" i="95"/>
  <c r="A41" i="95"/>
  <c r="B40" i="95"/>
  <c r="E40" i="95"/>
  <c r="G40" i="95"/>
  <c r="F40" i="95"/>
  <c r="A36" i="121"/>
  <c r="F35" i="121"/>
  <c r="E35" i="121"/>
  <c r="B35" i="121"/>
  <c r="G35" i="121"/>
  <c r="C34" i="121"/>
  <c r="D34" i="121"/>
  <c r="C44" i="120"/>
  <c r="D44" i="120"/>
  <c r="A46" i="120"/>
  <c r="E45" i="120"/>
  <c r="G45" i="120"/>
  <c r="F45" i="120"/>
  <c r="B45" i="120"/>
  <c r="A42" i="99"/>
  <c r="B41" i="99"/>
  <c r="E41" i="99"/>
  <c r="G41" i="99"/>
  <c r="F41" i="99"/>
  <c r="C40" i="99"/>
  <c r="D40" i="99"/>
  <c r="B42" i="97"/>
  <c r="G42" i="97"/>
  <c r="E42" i="97"/>
  <c r="A43" i="97"/>
  <c r="F42" i="97"/>
  <c r="C41" i="97"/>
  <c r="D41" i="97"/>
  <c r="F42" i="98"/>
  <c r="G42" i="98"/>
  <c r="B42" i="98"/>
  <c r="A43" i="98"/>
  <c r="E42" i="98"/>
  <c r="D41" i="98"/>
  <c r="C41" i="98"/>
  <c r="C36" i="103"/>
  <c r="D36" i="103"/>
  <c r="B40" i="100"/>
  <c r="G40" i="100"/>
  <c r="F40" i="100"/>
  <c r="E40" i="100"/>
  <c r="A41" i="100"/>
  <c r="C35" i="104"/>
  <c r="D35" i="104"/>
  <c r="B41" i="88"/>
  <c r="G41" i="88"/>
  <c r="E41" i="88"/>
  <c r="F41" i="88"/>
  <c r="A42" i="88"/>
  <c r="G37" i="103"/>
  <c r="B37" i="103"/>
  <c r="E37" i="103"/>
  <c r="F37" i="103"/>
  <c r="A38" i="103"/>
  <c r="D40" i="88"/>
  <c r="C40" i="88"/>
  <c r="C39" i="100"/>
  <c r="D39" i="100"/>
  <c r="D37" i="102"/>
  <c r="C37" i="102"/>
  <c r="D38" i="101"/>
  <c r="C38" i="101"/>
  <c r="A37" i="104"/>
  <c r="B36" i="104"/>
  <c r="F36" i="104"/>
  <c r="E36" i="104"/>
  <c r="G36" i="104"/>
  <c r="B39" i="101"/>
  <c r="E39" i="101"/>
  <c r="G39" i="101"/>
  <c r="A40" i="101"/>
  <c r="F39" i="101"/>
  <c r="A39" i="102"/>
  <c r="E38" i="102"/>
  <c r="B38" i="102"/>
  <c r="F38" i="102"/>
  <c r="G38" i="102"/>
  <c r="D40" i="96" l="1"/>
  <c r="C40" i="96"/>
  <c r="B41" i="96"/>
  <c r="E41" i="96"/>
  <c r="F41" i="96"/>
  <c r="G41" i="96"/>
  <c r="A42" i="96"/>
  <c r="D40" i="95"/>
  <c r="C40" i="95"/>
  <c r="B41" i="95"/>
  <c r="E41" i="95"/>
  <c r="F41" i="95"/>
  <c r="A42" i="95"/>
  <c r="G41" i="95"/>
  <c r="C35" i="121"/>
  <c r="D35" i="121"/>
  <c r="G36" i="121"/>
  <c r="A37" i="121"/>
  <c r="F36" i="121"/>
  <c r="E36" i="121"/>
  <c r="B36" i="121"/>
  <c r="C45" i="120"/>
  <c r="D45" i="120"/>
  <c r="A47" i="120"/>
  <c r="E46" i="120"/>
  <c r="G46" i="120"/>
  <c r="F46" i="120"/>
  <c r="B46" i="120"/>
  <c r="C41" i="99"/>
  <c r="D41" i="99"/>
  <c r="B42" i="99"/>
  <c r="A43" i="99"/>
  <c r="E42" i="99"/>
  <c r="G42" i="99"/>
  <c r="F42" i="99"/>
  <c r="F43" i="98"/>
  <c r="E43" i="98"/>
  <c r="G43" i="98"/>
  <c r="B43" i="98"/>
  <c r="A44" i="98"/>
  <c r="G43" i="97"/>
  <c r="B43" i="97"/>
  <c r="A44" i="97"/>
  <c r="E43" i="97"/>
  <c r="F43" i="97"/>
  <c r="C42" i="98"/>
  <c r="D42" i="98"/>
  <c r="C42" i="97"/>
  <c r="D42" i="97"/>
  <c r="D38" i="102"/>
  <c r="C38" i="102"/>
  <c r="C37" i="103"/>
  <c r="D37" i="103"/>
  <c r="A42" i="100"/>
  <c r="G41" i="100"/>
  <c r="F41" i="100"/>
  <c r="E41" i="100"/>
  <c r="B41" i="100"/>
  <c r="E39" i="102"/>
  <c r="A40" i="102"/>
  <c r="B39" i="102"/>
  <c r="F39" i="102"/>
  <c r="G39" i="102"/>
  <c r="F42" i="88"/>
  <c r="G42" i="88"/>
  <c r="E42" i="88"/>
  <c r="A43" i="88"/>
  <c r="B42" i="88"/>
  <c r="D36" i="104"/>
  <c r="C36" i="104"/>
  <c r="G40" i="101"/>
  <c r="E40" i="101"/>
  <c r="B40" i="101"/>
  <c r="A41" i="101"/>
  <c r="F40" i="101"/>
  <c r="E37" i="104"/>
  <c r="G37" i="104"/>
  <c r="B37" i="104"/>
  <c r="F37" i="104"/>
  <c r="A38" i="104"/>
  <c r="G38" i="103"/>
  <c r="E38" i="103"/>
  <c r="F38" i="103"/>
  <c r="A39" i="103"/>
  <c r="B38" i="103"/>
  <c r="D40" i="100"/>
  <c r="C40" i="100"/>
  <c r="C41" i="88"/>
  <c r="D41" i="88"/>
  <c r="C39" i="101"/>
  <c r="D39" i="101"/>
  <c r="B42" i="96" l="1"/>
  <c r="G42" i="96"/>
  <c r="E42" i="96"/>
  <c r="A43" i="96"/>
  <c r="F42" i="96"/>
  <c r="C41" i="96"/>
  <c r="D41" i="96"/>
  <c r="F42" i="95"/>
  <c r="A43" i="95"/>
  <c r="E42" i="95"/>
  <c r="G42" i="95"/>
  <c r="B42" i="95"/>
  <c r="C41" i="95"/>
  <c r="D41" i="95"/>
  <c r="D36" i="121"/>
  <c r="C36" i="121"/>
  <c r="G37" i="121"/>
  <c r="B37" i="121"/>
  <c r="A38" i="121"/>
  <c r="F37" i="121"/>
  <c r="E37" i="121"/>
  <c r="D46" i="120"/>
  <c r="C46" i="120"/>
  <c r="A48" i="120"/>
  <c r="E47" i="120"/>
  <c r="F47" i="120"/>
  <c r="G47" i="120"/>
  <c r="B47" i="120"/>
  <c r="A44" i="99"/>
  <c r="B43" i="99"/>
  <c r="E43" i="99"/>
  <c r="F43" i="99"/>
  <c r="G43" i="99"/>
  <c r="C42" i="99"/>
  <c r="D42" i="99"/>
  <c r="E44" i="98"/>
  <c r="A45" i="98"/>
  <c r="G44" i="98"/>
  <c r="B44" i="98"/>
  <c r="F44" i="98"/>
  <c r="C43" i="98"/>
  <c r="D43" i="98"/>
  <c r="B44" i="97"/>
  <c r="E44" i="97"/>
  <c r="A45" i="97"/>
  <c r="F44" i="97"/>
  <c r="G44" i="97"/>
  <c r="C43" i="97"/>
  <c r="D43" i="97"/>
  <c r="C40" i="101"/>
  <c r="D40" i="101"/>
  <c r="A39" i="104"/>
  <c r="E38" i="104"/>
  <c r="G38" i="104"/>
  <c r="B38" i="104"/>
  <c r="F38" i="104"/>
  <c r="C37" i="104"/>
  <c r="D37" i="104"/>
  <c r="F42" i="100"/>
  <c r="G42" i="100"/>
  <c r="A43" i="100"/>
  <c r="B42" i="100"/>
  <c r="E42" i="100"/>
  <c r="D38" i="103"/>
  <c r="C38" i="103"/>
  <c r="D39" i="102"/>
  <c r="C39" i="102"/>
  <c r="D42" i="88"/>
  <c r="C42" i="88"/>
  <c r="F40" i="102"/>
  <c r="A41" i="102"/>
  <c r="E40" i="102"/>
  <c r="B40" i="102"/>
  <c r="G40" i="102"/>
  <c r="G43" i="88"/>
  <c r="A44" i="88"/>
  <c r="E43" i="88"/>
  <c r="B43" i="88"/>
  <c r="F43" i="88"/>
  <c r="B39" i="103"/>
  <c r="G39" i="103"/>
  <c r="F39" i="103"/>
  <c r="A40" i="103"/>
  <c r="E39" i="103"/>
  <c r="F41" i="101"/>
  <c r="A42" i="101"/>
  <c r="E41" i="101"/>
  <c r="G41" i="101"/>
  <c r="B41" i="101"/>
  <c r="D41" i="100"/>
  <c r="C41" i="100"/>
  <c r="F43" i="96" l="1"/>
  <c r="G43" i="96"/>
  <c r="A44" i="96"/>
  <c r="E43" i="96"/>
  <c r="B43" i="96"/>
  <c r="C42" i="96"/>
  <c r="D42" i="96"/>
  <c r="D42" i="95"/>
  <c r="C42" i="95"/>
  <c r="A44" i="95"/>
  <c r="E43" i="95"/>
  <c r="B43" i="95"/>
  <c r="F43" i="95"/>
  <c r="G43" i="95"/>
  <c r="E38" i="121"/>
  <c r="B38" i="121"/>
  <c r="A39" i="121"/>
  <c r="F38" i="121"/>
  <c r="G38" i="121"/>
  <c r="D37" i="121"/>
  <c r="C37" i="121"/>
  <c r="D47" i="120"/>
  <c r="C47" i="120"/>
  <c r="A49" i="120"/>
  <c r="E48" i="120"/>
  <c r="F48" i="120"/>
  <c r="B48" i="120"/>
  <c r="G48" i="120"/>
  <c r="C43" i="99"/>
  <c r="D43" i="99"/>
  <c r="B44" i="99"/>
  <c r="F44" i="99"/>
  <c r="G44" i="99"/>
  <c r="A45" i="99"/>
  <c r="E44" i="99"/>
  <c r="D44" i="98"/>
  <c r="C44" i="98"/>
  <c r="B45" i="98"/>
  <c r="E45" i="98"/>
  <c r="G45" i="98"/>
  <c r="A46" i="98"/>
  <c r="F45" i="98"/>
  <c r="B45" i="97"/>
  <c r="F45" i="97"/>
  <c r="E45" i="97"/>
  <c r="A46" i="97"/>
  <c r="G45" i="97"/>
  <c r="D44" i="97"/>
  <c r="C44" i="97"/>
  <c r="D41" i="101"/>
  <c r="C41" i="101"/>
  <c r="C40" i="102"/>
  <c r="D40" i="102"/>
  <c r="C39" i="103"/>
  <c r="D39" i="103"/>
  <c r="E41" i="102"/>
  <c r="F41" i="102"/>
  <c r="G41" i="102"/>
  <c r="A42" i="102"/>
  <c r="B41" i="102"/>
  <c r="C38" i="104"/>
  <c r="D38" i="104"/>
  <c r="E42" i="101"/>
  <c r="A43" i="101"/>
  <c r="B42" i="101"/>
  <c r="G42" i="101"/>
  <c r="F42" i="101"/>
  <c r="D43" i="88"/>
  <c r="C43" i="88"/>
  <c r="C42" i="100"/>
  <c r="D42" i="100"/>
  <c r="F43" i="100"/>
  <c r="A44" i="100"/>
  <c r="G43" i="100"/>
  <c r="E43" i="100"/>
  <c r="B43" i="100"/>
  <c r="G44" i="88"/>
  <c r="A45" i="88"/>
  <c r="E44" i="88"/>
  <c r="F44" i="88"/>
  <c r="B44" i="88"/>
  <c r="B39" i="104"/>
  <c r="E39" i="104"/>
  <c r="F39" i="104"/>
  <c r="A40" i="104"/>
  <c r="G39" i="104"/>
  <c r="B40" i="103"/>
  <c r="A41" i="103"/>
  <c r="E40" i="103"/>
  <c r="G40" i="103"/>
  <c r="F40" i="103"/>
  <c r="C43" i="96" l="1"/>
  <c r="D43" i="96"/>
  <c r="F44" i="96"/>
  <c r="B44" i="96"/>
  <c r="G44" i="96"/>
  <c r="A45" i="96"/>
  <c r="E44" i="96"/>
  <c r="C43" i="95"/>
  <c r="D43" i="95"/>
  <c r="E44" i="95"/>
  <c r="B44" i="95"/>
  <c r="F44" i="95"/>
  <c r="A45" i="95"/>
  <c r="G44" i="95"/>
  <c r="F39" i="121"/>
  <c r="E39" i="121"/>
  <c r="B39" i="121"/>
  <c r="A40" i="121"/>
  <c r="G39" i="121"/>
  <c r="C38" i="121"/>
  <c r="D38" i="121"/>
  <c r="D48" i="120"/>
  <c r="C48" i="120"/>
  <c r="A50" i="120"/>
  <c r="E49" i="120"/>
  <c r="G49" i="120"/>
  <c r="F49" i="120"/>
  <c r="B49" i="120"/>
  <c r="A46" i="99"/>
  <c r="B45" i="99"/>
  <c r="G45" i="99"/>
  <c r="E45" i="99"/>
  <c r="F45" i="99"/>
  <c r="C44" i="99"/>
  <c r="D44" i="99"/>
  <c r="A47" i="98"/>
  <c r="E46" i="98"/>
  <c r="G46" i="98"/>
  <c r="F46" i="98"/>
  <c r="B46" i="98"/>
  <c r="B46" i="97"/>
  <c r="G46" i="97"/>
  <c r="F46" i="97"/>
  <c r="E46" i="97"/>
  <c r="A47" i="97"/>
  <c r="C45" i="98"/>
  <c r="D45" i="98"/>
  <c r="D45" i="97"/>
  <c r="C45" i="97"/>
  <c r="D44" i="88"/>
  <c r="C44" i="88"/>
  <c r="A45" i="100"/>
  <c r="E44" i="100"/>
  <c r="G44" i="100"/>
  <c r="F44" i="100"/>
  <c r="B44" i="100"/>
  <c r="D42" i="101"/>
  <c r="C42" i="101"/>
  <c r="G41" i="103"/>
  <c r="A42" i="103"/>
  <c r="E41" i="103"/>
  <c r="B41" i="103"/>
  <c r="F41" i="103"/>
  <c r="A44" i="101"/>
  <c r="F43" i="101"/>
  <c r="E43" i="101"/>
  <c r="G43" i="101"/>
  <c r="B43" i="101"/>
  <c r="C40" i="103"/>
  <c r="D40" i="103"/>
  <c r="G45" i="88"/>
  <c r="B45" i="88"/>
  <c r="A46" i="88"/>
  <c r="E45" i="88"/>
  <c r="F45" i="88"/>
  <c r="B40" i="104"/>
  <c r="F40" i="104"/>
  <c r="G40" i="104"/>
  <c r="E40" i="104"/>
  <c r="A41" i="104"/>
  <c r="C43" i="100"/>
  <c r="D43" i="100"/>
  <c r="D41" i="102"/>
  <c r="C41" i="102"/>
  <c r="A43" i="102"/>
  <c r="E42" i="102"/>
  <c r="G42" i="102"/>
  <c r="B42" i="102"/>
  <c r="F42" i="102"/>
  <c r="D39" i="104"/>
  <c r="C39" i="104"/>
  <c r="G45" i="96" l="1"/>
  <c r="B45" i="96"/>
  <c r="F45" i="96"/>
  <c r="A46" i="96"/>
  <c r="E45" i="96"/>
  <c r="C44" i="96"/>
  <c r="D44" i="96"/>
  <c r="E45" i="95"/>
  <c r="G45" i="95"/>
  <c r="A46" i="95"/>
  <c r="F45" i="95"/>
  <c r="B45" i="95"/>
  <c r="C44" i="95"/>
  <c r="D44" i="95"/>
  <c r="F40" i="121"/>
  <c r="E40" i="121"/>
  <c r="B40" i="121"/>
  <c r="A41" i="121"/>
  <c r="G40" i="121"/>
  <c r="D39" i="121"/>
  <c r="C39" i="121"/>
  <c r="D49" i="120"/>
  <c r="C49" i="120"/>
  <c r="A51" i="120"/>
  <c r="E50" i="120"/>
  <c r="G50" i="120"/>
  <c r="F50" i="120"/>
  <c r="B50" i="120"/>
  <c r="C45" i="99"/>
  <c r="D45" i="99"/>
  <c r="G46" i="99"/>
  <c r="A47" i="99"/>
  <c r="E46" i="99"/>
  <c r="F46" i="99"/>
  <c r="B46" i="99"/>
  <c r="E47" i="97"/>
  <c r="A48" i="97"/>
  <c r="F47" i="97"/>
  <c r="B47" i="97"/>
  <c r="G47" i="97"/>
  <c r="C46" i="98"/>
  <c r="D46" i="98"/>
  <c r="C46" i="97"/>
  <c r="D46" i="97"/>
  <c r="B47" i="98"/>
  <c r="A48" i="98"/>
  <c r="G47" i="98"/>
  <c r="F47" i="98"/>
  <c r="E47" i="98"/>
  <c r="F46" i="88"/>
  <c r="E46" i="88"/>
  <c r="B46" i="88"/>
  <c r="G46" i="88"/>
  <c r="A47" i="88"/>
  <c r="B41" i="104"/>
  <c r="G41" i="104"/>
  <c r="A42" i="104"/>
  <c r="F41" i="104"/>
  <c r="E41" i="104"/>
  <c r="D45" i="88"/>
  <c r="C45" i="88"/>
  <c r="B44" i="101"/>
  <c r="G44" i="101"/>
  <c r="F44" i="101"/>
  <c r="E44" i="101"/>
  <c r="A45" i="101"/>
  <c r="C44" i="100"/>
  <c r="D44" i="100"/>
  <c r="C41" i="103"/>
  <c r="D41" i="103"/>
  <c r="F43" i="102"/>
  <c r="B43" i="102"/>
  <c r="E43" i="102"/>
  <c r="G43" i="102"/>
  <c r="A44" i="102"/>
  <c r="C40" i="104"/>
  <c r="D40" i="104"/>
  <c r="C43" i="101"/>
  <c r="D43" i="101"/>
  <c r="G42" i="103"/>
  <c r="F42" i="103"/>
  <c r="B42" i="103"/>
  <c r="E42" i="103"/>
  <c r="A43" i="103"/>
  <c r="B45" i="100"/>
  <c r="G45" i="100"/>
  <c r="E45" i="100"/>
  <c r="F45" i="100"/>
  <c r="A46" i="100"/>
  <c r="D42" i="102"/>
  <c r="C42" i="102"/>
  <c r="B46" i="96" l="1"/>
  <c r="G46" i="96"/>
  <c r="F46" i="96"/>
  <c r="A47" i="96"/>
  <c r="E46" i="96"/>
  <c r="C45" i="96"/>
  <c r="D45" i="96"/>
  <c r="D45" i="95"/>
  <c r="C45" i="95"/>
  <c r="B46" i="95"/>
  <c r="A47" i="95"/>
  <c r="G46" i="95"/>
  <c r="E46" i="95"/>
  <c r="F46" i="95"/>
  <c r="F41" i="121"/>
  <c r="E41" i="121"/>
  <c r="B41" i="121"/>
  <c r="A42" i="121"/>
  <c r="G41" i="121"/>
  <c r="C40" i="121"/>
  <c r="D40" i="121"/>
  <c r="C50" i="120"/>
  <c r="D50" i="120"/>
  <c r="A52" i="120"/>
  <c r="E51" i="120"/>
  <c r="G51" i="120"/>
  <c r="B51" i="120"/>
  <c r="F51" i="120"/>
  <c r="C46" i="99"/>
  <c r="D46" i="99"/>
  <c r="B47" i="99"/>
  <c r="A48" i="99"/>
  <c r="F47" i="99"/>
  <c r="E47" i="99"/>
  <c r="G47" i="99"/>
  <c r="C47" i="98"/>
  <c r="D47" i="98"/>
  <c r="C47" i="97"/>
  <c r="D47" i="97"/>
  <c r="F48" i="97"/>
  <c r="G48" i="97"/>
  <c r="A49" i="97"/>
  <c r="B48" i="97"/>
  <c r="E48" i="97"/>
  <c r="A49" i="98"/>
  <c r="E48" i="98"/>
  <c r="F48" i="98"/>
  <c r="G48" i="98"/>
  <c r="B48" i="98"/>
  <c r="B46" i="100"/>
  <c r="F46" i="100"/>
  <c r="E46" i="100"/>
  <c r="A47" i="100"/>
  <c r="G46" i="100"/>
  <c r="G42" i="104"/>
  <c r="A43" i="104"/>
  <c r="E42" i="104"/>
  <c r="F42" i="104"/>
  <c r="B42" i="104"/>
  <c r="D43" i="102"/>
  <c r="C43" i="102"/>
  <c r="D41" i="104"/>
  <c r="C41" i="104"/>
  <c r="D44" i="101"/>
  <c r="C44" i="101"/>
  <c r="B47" i="88"/>
  <c r="G47" i="88"/>
  <c r="F47" i="88"/>
  <c r="A48" i="88"/>
  <c r="E47" i="88"/>
  <c r="C45" i="100"/>
  <c r="D45" i="100"/>
  <c r="A44" i="103"/>
  <c r="B43" i="103"/>
  <c r="E43" i="103"/>
  <c r="G43" i="103"/>
  <c r="F43" i="103"/>
  <c r="C46" i="88"/>
  <c r="D46" i="88"/>
  <c r="E44" i="102"/>
  <c r="G44" i="102"/>
  <c r="A45" i="102"/>
  <c r="B44" i="102"/>
  <c r="F44" i="102"/>
  <c r="D42" i="103"/>
  <c r="C42" i="103"/>
  <c r="A46" i="101"/>
  <c r="B45" i="101"/>
  <c r="F45" i="101"/>
  <c r="E45" i="101"/>
  <c r="G45" i="101"/>
  <c r="A48" i="96" l="1"/>
  <c r="G47" i="96"/>
  <c r="B47" i="96"/>
  <c r="F47" i="96"/>
  <c r="E47" i="96"/>
  <c r="C46" i="96"/>
  <c r="D46" i="96"/>
  <c r="E47" i="95"/>
  <c r="A48" i="95"/>
  <c r="F47" i="95"/>
  <c r="B47" i="95"/>
  <c r="G47" i="95"/>
  <c r="C46" i="95"/>
  <c r="D46" i="95"/>
  <c r="F42" i="121"/>
  <c r="E42" i="121"/>
  <c r="B42" i="121"/>
  <c r="A43" i="121"/>
  <c r="G42" i="121"/>
  <c r="D41" i="121"/>
  <c r="C41" i="121"/>
  <c r="C51" i="120"/>
  <c r="D51" i="120"/>
  <c r="A53" i="120"/>
  <c r="E52" i="120"/>
  <c r="F52" i="120"/>
  <c r="G52" i="120"/>
  <c r="B52" i="120"/>
  <c r="E48" i="99"/>
  <c r="A49" i="99"/>
  <c r="F48" i="99"/>
  <c r="B48" i="99"/>
  <c r="G48" i="99"/>
  <c r="D47" i="99"/>
  <c r="C47" i="99"/>
  <c r="G49" i="98"/>
  <c r="A50" i="98"/>
  <c r="B49" i="98"/>
  <c r="F49" i="98"/>
  <c r="E49" i="98"/>
  <c r="C48" i="97"/>
  <c r="D48" i="97"/>
  <c r="B49" i="97"/>
  <c r="E49" i="97"/>
  <c r="F49" i="97"/>
  <c r="G49" i="97"/>
  <c r="A50" i="97"/>
  <c r="C48" i="98"/>
  <c r="D48" i="98"/>
  <c r="A45" i="103"/>
  <c r="G44" i="103"/>
  <c r="F44" i="103"/>
  <c r="E44" i="103"/>
  <c r="B44" i="103"/>
  <c r="C45" i="101"/>
  <c r="D45" i="101"/>
  <c r="E43" i="104"/>
  <c r="G43" i="104"/>
  <c r="A44" i="104"/>
  <c r="F43" i="104"/>
  <c r="B43" i="104"/>
  <c r="F46" i="101"/>
  <c r="B46" i="101"/>
  <c r="G46" i="101"/>
  <c r="A47" i="101"/>
  <c r="E46" i="101"/>
  <c r="B48" i="88"/>
  <c r="A49" i="88"/>
  <c r="E48" i="88"/>
  <c r="G48" i="88"/>
  <c r="F48" i="88"/>
  <c r="B47" i="100"/>
  <c r="A48" i="100"/>
  <c r="F47" i="100"/>
  <c r="G47" i="100"/>
  <c r="E47" i="100"/>
  <c r="D44" i="102"/>
  <c r="C44" i="102"/>
  <c r="D42" i="104"/>
  <c r="C42" i="104"/>
  <c r="A46" i="102"/>
  <c r="B45" i="102"/>
  <c r="E45" i="102"/>
  <c r="F45" i="102"/>
  <c r="G45" i="102"/>
  <c r="D43" i="103"/>
  <c r="C43" i="103"/>
  <c r="C47" i="88"/>
  <c r="D47" i="88"/>
  <c r="C46" i="100"/>
  <c r="D46" i="100"/>
  <c r="D47" i="96" l="1"/>
  <c r="C47" i="96"/>
  <c r="A49" i="96"/>
  <c r="B48" i="96"/>
  <c r="E48" i="96"/>
  <c r="F48" i="96"/>
  <c r="G48" i="96"/>
  <c r="C47" i="95"/>
  <c r="D47" i="95"/>
  <c r="A49" i="95"/>
  <c r="G48" i="95"/>
  <c r="B48" i="95"/>
  <c r="F48" i="95"/>
  <c r="E48" i="95"/>
  <c r="A44" i="121"/>
  <c r="F43" i="121"/>
  <c r="E43" i="121"/>
  <c r="B43" i="121"/>
  <c r="G43" i="121"/>
  <c r="C42" i="121"/>
  <c r="D42" i="121"/>
  <c r="D52" i="120"/>
  <c r="C52" i="120"/>
  <c r="A54" i="120"/>
  <c r="E53" i="120"/>
  <c r="G53" i="120"/>
  <c r="F53" i="120"/>
  <c r="B53" i="120"/>
  <c r="C48" i="99"/>
  <c r="D48" i="99"/>
  <c r="E49" i="99"/>
  <c r="F49" i="99"/>
  <c r="A50" i="99"/>
  <c r="B49" i="99"/>
  <c r="G49" i="99"/>
  <c r="F50" i="97"/>
  <c r="G50" i="97"/>
  <c r="A51" i="97"/>
  <c r="E50" i="97"/>
  <c r="B50" i="97"/>
  <c r="B50" i="98"/>
  <c r="A51" i="98"/>
  <c r="E50" i="98"/>
  <c r="F50" i="98"/>
  <c r="G50" i="98"/>
  <c r="C49" i="98"/>
  <c r="D49" i="98"/>
  <c r="D49" i="97"/>
  <c r="C49" i="97"/>
  <c r="F46" i="102"/>
  <c r="G46" i="102"/>
  <c r="B46" i="102"/>
  <c r="A47" i="102"/>
  <c r="E46" i="102"/>
  <c r="A49" i="100"/>
  <c r="E48" i="100"/>
  <c r="F48" i="100"/>
  <c r="B48" i="100"/>
  <c r="G48" i="100"/>
  <c r="A48" i="101"/>
  <c r="E47" i="101"/>
  <c r="G47" i="101"/>
  <c r="F47" i="101"/>
  <c r="B47" i="101"/>
  <c r="C47" i="100"/>
  <c r="D47" i="100"/>
  <c r="D46" i="101"/>
  <c r="C46" i="101"/>
  <c r="C44" i="103"/>
  <c r="D44" i="103"/>
  <c r="C43" i="104"/>
  <c r="D43" i="104"/>
  <c r="F49" i="88"/>
  <c r="B49" i="88"/>
  <c r="E49" i="88"/>
  <c r="A50" i="88"/>
  <c r="G49" i="88"/>
  <c r="C48" i="88"/>
  <c r="D48" i="88"/>
  <c r="F44" i="104"/>
  <c r="E44" i="104"/>
  <c r="B44" i="104"/>
  <c r="A45" i="104"/>
  <c r="G44" i="104"/>
  <c r="D45" i="102"/>
  <c r="C45" i="102"/>
  <c r="A46" i="103"/>
  <c r="E45" i="103"/>
  <c r="F45" i="103"/>
  <c r="B45" i="103"/>
  <c r="G45" i="103"/>
  <c r="C48" i="96" l="1"/>
  <c r="D48" i="96"/>
  <c r="F49" i="96"/>
  <c r="A50" i="96"/>
  <c r="G49" i="96"/>
  <c r="B49" i="96"/>
  <c r="E49" i="96"/>
  <c r="C48" i="95"/>
  <c r="D48" i="95"/>
  <c r="G49" i="95"/>
  <c r="B49" i="95"/>
  <c r="F49" i="95"/>
  <c r="E49" i="95"/>
  <c r="A50" i="95"/>
  <c r="C43" i="121"/>
  <c r="D43" i="121"/>
  <c r="G44" i="121"/>
  <c r="A45" i="121"/>
  <c r="F44" i="121"/>
  <c r="E44" i="121"/>
  <c r="B44" i="121"/>
  <c r="D53" i="120"/>
  <c r="C53" i="120"/>
  <c r="A55" i="120"/>
  <c r="E54" i="120"/>
  <c r="B54" i="120"/>
  <c r="G54" i="120"/>
  <c r="F54" i="120"/>
  <c r="D49" i="99"/>
  <c r="C49" i="99"/>
  <c r="G50" i="99"/>
  <c r="B50" i="99"/>
  <c r="E50" i="99"/>
  <c r="F50" i="99"/>
  <c r="A51" i="99"/>
  <c r="F51" i="98"/>
  <c r="B51" i="98"/>
  <c r="A52" i="98"/>
  <c r="G51" i="98"/>
  <c r="E51" i="98"/>
  <c r="D50" i="98"/>
  <c r="C50" i="98"/>
  <c r="D50" i="97"/>
  <c r="C50" i="97"/>
  <c r="G51" i="97"/>
  <c r="A52" i="97"/>
  <c r="B51" i="97"/>
  <c r="E51" i="97"/>
  <c r="F51" i="97"/>
  <c r="D47" i="101"/>
  <c r="C47" i="101"/>
  <c r="F49" i="100"/>
  <c r="A50" i="100"/>
  <c r="G49" i="100"/>
  <c r="E49" i="100"/>
  <c r="B49" i="100"/>
  <c r="B46" i="103"/>
  <c r="G46" i="103"/>
  <c r="E46" i="103"/>
  <c r="A47" i="103"/>
  <c r="F46" i="103"/>
  <c r="A48" i="102"/>
  <c r="B47" i="102"/>
  <c r="E47" i="102"/>
  <c r="F47" i="102"/>
  <c r="G47" i="102"/>
  <c r="A51" i="88"/>
  <c r="G50" i="88"/>
  <c r="E50" i="88"/>
  <c r="B50" i="88"/>
  <c r="F50" i="88"/>
  <c r="A49" i="101"/>
  <c r="G48" i="101"/>
  <c r="F48" i="101"/>
  <c r="E48" i="101"/>
  <c r="B48" i="101"/>
  <c r="D46" i="102"/>
  <c r="C46" i="102"/>
  <c r="B45" i="104"/>
  <c r="A46" i="104"/>
  <c r="F45" i="104"/>
  <c r="G45" i="104"/>
  <c r="E45" i="104"/>
  <c r="D45" i="103"/>
  <c r="C45" i="103"/>
  <c r="D44" i="104"/>
  <c r="C44" i="104"/>
  <c r="C49" i="88"/>
  <c r="D49" i="88"/>
  <c r="D48" i="100"/>
  <c r="C48" i="100"/>
  <c r="C49" i="96" l="1"/>
  <c r="D49" i="96"/>
  <c r="B50" i="96"/>
  <c r="F50" i="96"/>
  <c r="A51" i="96"/>
  <c r="G50" i="96"/>
  <c r="E50" i="96"/>
  <c r="A51" i="95"/>
  <c r="B50" i="95"/>
  <c r="F50" i="95"/>
  <c r="E50" i="95"/>
  <c r="G50" i="95"/>
  <c r="D49" i="95"/>
  <c r="C49" i="95"/>
  <c r="D44" i="121"/>
  <c r="C44" i="121"/>
  <c r="G45" i="121"/>
  <c r="B45" i="121"/>
  <c r="A46" i="121"/>
  <c r="F45" i="121"/>
  <c r="E45" i="121"/>
  <c r="C54" i="120"/>
  <c r="D54" i="120"/>
  <c r="A56" i="120"/>
  <c r="E55" i="120"/>
  <c r="B55" i="120"/>
  <c r="G55" i="120"/>
  <c r="F55" i="120"/>
  <c r="G51" i="99"/>
  <c r="A52" i="99"/>
  <c r="F51" i="99"/>
  <c r="B51" i="99"/>
  <c r="E51" i="99"/>
  <c r="D50" i="99"/>
  <c r="C50" i="99"/>
  <c r="F52" i="98"/>
  <c r="G52" i="98"/>
  <c r="B52" i="98"/>
  <c r="A53" i="98"/>
  <c r="E52" i="98"/>
  <c r="D51" i="98"/>
  <c r="C51" i="98"/>
  <c r="F52" i="97"/>
  <c r="A53" i="97"/>
  <c r="B52" i="97"/>
  <c r="E52" i="97"/>
  <c r="G52" i="97"/>
  <c r="D51" i="97"/>
  <c r="C51" i="97"/>
  <c r="D46" i="103"/>
  <c r="C46" i="103"/>
  <c r="F46" i="104"/>
  <c r="B46" i="104"/>
  <c r="A47" i="104"/>
  <c r="E46" i="104"/>
  <c r="G46" i="104"/>
  <c r="G49" i="101"/>
  <c r="F49" i="101"/>
  <c r="E49" i="101"/>
  <c r="A50" i="101"/>
  <c r="B49" i="101"/>
  <c r="C49" i="100"/>
  <c r="D49" i="100"/>
  <c r="D45" i="104"/>
  <c r="C45" i="104"/>
  <c r="D47" i="102"/>
  <c r="C47" i="102"/>
  <c r="D50" i="88"/>
  <c r="C50" i="88"/>
  <c r="E48" i="102"/>
  <c r="B48" i="102"/>
  <c r="A49" i="102"/>
  <c r="G48" i="102"/>
  <c r="F48" i="102"/>
  <c r="E50" i="100"/>
  <c r="A51" i="100"/>
  <c r="G50" i="100"/>
  <c r="B50" i="100"/>
  <c r="F50" i="100"/>
  <c r="D48" i="101"/>
  <c r="C48" i="101"/>
  <c r="A48" i="103"/>
  <c r="B47" i="103"/>
  <c r="E47" i="103"/>
  <c r="G47" i="103"/>
  <c r="F47" i="103"/>
  <c r="A52" i="88"/>
  <c r="B51" i="88"/>
  <c r="E51" i="88"/>
  <c r="F51" i="88"/>
  <c r="G51" i="88"/>
  <c r="B51" i="96" l="1"/>
  <c r="G51" i="96"/>
  <c r="E51" i="96"/>
  <c r="F51" i="96"/>
  <c r="A52" i="96"/>
  <c r="D50" i="96"/>
  <c r="C50" i="96"/>
  <c r="D50" i="95"/>
  <c r="C50" i="95"/>
  <c r="G51" i="95"/>
  <c r="F51" i="95"/>
  <c r="B51" i="95"/>
  <c r="A52" i="95"/>
  <c r="E51" i="95"/>
  <c r="E46" i="121"/>
  <c r="B46" i="121"/>
  <c r="A47" i="121"/>
  <c r="F46" i="121"/>
  <c r="G46" i="121"/>
  <c r="D45" i="121"/>
  <c r="C45" i="121"/>
  <c r="C55" i="120"/>
  <c r="D55" i="120"/>
  <c r="A57" i="120"/>
  <c r="E56" i="120"/>
  <c r="F56" i="120"/>
  <c r="B56" i="120"/>
  <c r="G56" i="120"/>
  <c r="C51" i="99"/>
  <c r="D51" i="99"/>
  <c r="F52" i="99"/>
  <c r="E52" i="99"/>
  <c r="G52" i="99"/>
  <c r="A53" i="99"/>
  <c r="B52" i="99"/>
  <c r="D52" i="97"/>
  <c r="C52" i="97"/>
  <c r="G53" i="97"/>
  <c r="B53" i="97"/>
  <c r="F53" i="97"/>
  <c r="E53" i="97"/>
  <c r="A54" i="97"/>
  <c r="E53" i="98"/>
  <c r="A54" i="98"/>
  <c r="B53" i="98"/>
  <c r="F53" i="98"/>
  <c r="G53" i="98"/>
  <c r="D52" i="98"/>
  <c r="C52" i="98"/>
  <c r="D51" i="88"/>
  <c r="C51" i="88"/>
  <c r="A50" i="102"/>
  <c r="E49" i="102"/>
  <c r="F49" i="102"/>
  <c r="B49" i="102"/>
  <c r="G49" i="102"/>
  <c r="G52" i="88"/>
  <c r="A53" i="88"/>
  <c r="B52" i="88"/>
  <c r="F52" i="88"/>
  <c r="E52" i="88"/>
  <c r="C48" i="102"/>
  <c r="D48" i="102"/>
  <c r="C50" i="100"/>
  <c r="D50" i="100"/>
  <c r="A48" i="104"/>
  <c r="E47" i="104"/>
  <c r="B47" i="104"/>
  <c r="G47" i="104"/>
  <c r="F47" i="104"/>
  <c r="C49" i="101"/>
  <c r="D49" i="101"/>
  <c r="D46" i="104"/>
  <c r="C46" i="104"/>
  <c r="E51" i="100"/>
  <c r="G51" i="100"/>
  <c r="A52" i="100"/>
  <c r="F51" i="100"/>
  <c r="B51" i="100"/>
  <c r="B50" i="101"/>
  <c r="A51" i="101"/>
  <c r="E50" i="101"/>
  <c r="G50" i="101"/>
  <c r="F50" i="101"/>
  <c r="D47" i="103"/>
  <c r="C47" i="103"/>
  <c r="G48" i="103"/>
  <c r="A49" i="103"/>
  <c r="F48" i="103"/>
  <c r="E48" i="103"/>
  <c r="B48" i="103"/>
  <c r="B52" i="96" l="1"/>
  <c r="G52" i="96"/>
  <c r="E52" i="96"/>
  <c r="F52" i="96"/>
  <c r="A53" i="96"/>
  <c r="C51" i="96"/>
  <c r="D51" i="96"/>
  <c r="B52" i="95"/>
  <c r="A53" i="95"/>
  <c r="G52" i="95"/>
  <c r="F52" i="95"/>
  <c r="E52" i="95"/>
  <c r="C51" i="95"/>
  <c r="D51" i="95"/>
  <c r="F47" i="121"/>
  <c r="E47" i="121"/>
  <c r="B47" i="121"/>
  <c r="A48" i="121"/>
  <c r="G47" i="121"/>
  <c r="C46" i="121"/>
  <c r="D46" i="121"/>
  <c r="D56" i="120"/>
  <c r="C56" i="120"/>
  <c r="A58" i="120"/>
  <c r="E57" i="120"/>
  <c r="G57" i="120"/>
  <c r="F57" i="120"/>
  <c r="B57" i="120"/>
  <c r="C52" i="99"/>
  <c r="D52" i="99"/>
  <c r="B53" i="99"/>
  <c r="E53" i="99"/>
  <c r="F53" i="99"/>
  <c r="G53" i="99"/>
  <c r="A54" i="99"/>
  <c r="A55" i="97"/>
  <c r="E54" i="97"/>
  <c r="B54" i="97"/>
  <c r="G54" i="97"/>
  <c r="F54" i="97"/>
  <c r="C53" i="98"/>
  <c r="D53" i="98"/>
  <c r="C53" i="97"/>
  <c r="D53" i="97"/>
  <c r="B54" i="98"/>
  <c r="G54" i="98"/>
  <c r="A55" i="98"/>
  <c r="F54" i="98"/>
  <c r="E54" i="98"/>
  <c r="F51" i="101"/>
  <c r="G51" i="101"/>
  <c r="A52" i="101"/>
  <c r="E51" i="101"/>
  <c r="B51" i="101"/>
  <c r="F49" i="103"/>
  <c r="B49" i="103"/>
  <c r="G49" i="103"/>
  <c r="A50" i="103"/>
  <c r="E49" i="103"/>
  <c r="C50" i="101"/>
  <c r="D50" i="101"/>
  <c r="D51" i="100"/>
  <c r="C51" i="100"/>
  <c r="C49" i="102"/>
  <c r="D49" i="102"/>
  <c r="G52" i="100"/>
  <c r="A53" i="100"/>
  <c r="E52" i="100"/>
  <c r="B52" i="100"/>
  <c r="F52" i="100"/>
  <c r="C47" i="104"/>
  <c r="D47" i="104"/>
  <c r="E50" i="102"/>
  <c r="A51" i="102"/>
  <c r="F50" i="102"/>
  <c r="G50" i="102"/>
  <c r="B50" i="102"/>
  <c r="D48" i="103"/>
  <c r="C48" i="103"/>
  <c r="D52" i="88"/>
  <c r="C52" i="88"/>
  <c r="A49" i="104"/>
  <c r="F48" i="104"/>
  <c r="B48" i="104"/>
  <c r="G48" i="104"/>
  <c r="E48" i="104"/>
  <c r="E53" i="88"/>
  <c r="G53" i="88"/>
  <c r="F53" i="88"/>
  <c r="B53" i="88"/>
  <c r="A54" i="88"/>
  <c r="F53" i="96" l="1"/>
  <c r="E53" i="96"/>
  <c r="B53" i="96"/>
  <c r="A54" i="96"/>
  <c r="G53" i="96"/>
  <c r="D52" i="96"/>
  <c r="C52" i="96"/>
  <c r="B53" i="95"/>
  <c r="E53" i="95"/>
  <c r="G53" i="95"/>
  <c r="F53" i="95"/>
  <c r="A54" i="95"/>
  <c r="D52" i="95"/>
  <c r="C52" i="95"/>
  <c r="A49" i="121"/>
  <c r="E48" i="121"/>
  <c r="G48" i="121"/>
  <c r="B48" i="121"/>
  <c r="F48" i="121"/>
  <c r="D47" i="121"/>
  <c r="C47" i="121"/>
  <c r="D57" i="120"/>
  <c r="C57" i="120"/>
  <c r="A59" i="120"/>
  <c r="E58" i="120"/>
  <c r="G58" i="120"/>
  <c r="F58" i="120"/>
  <c r="B58" i="120"/>
  <c r="G54" i="99"/>
  <c r="A55" i="99"/>
  <c r="B54" i="99"/>
  <c r="E54" i="99"/>
  <c r="F54" i="99"/>
  <c r="C53" i="99"/>
  <c r="D53" i="99"/>
  <c r="D54" i="98"/>
  <c r="C54" i="98"/>
  <c r="C54" i="97"/>
  <c r="D54" i="97"/>
  <c r="A56" i="98"/>
  <c r="E55" i="98"/>
  <c r="G55" i="98"/>
  <c r="B55" i="98"/>
  <c r="F55" i="98"/>
  <c r="G55" i="97"/>
  <c r="B55" i="97"/>
  <c r="E55" i="97"/>
  <c r="A56" i="97"/>
  <c r="F55" i="97"/>
  <c r="D49" i="103"/>
  <c r="C49" i="103"/>
  <c r="D51" i="101"/>
  <c r="C51" i="101"/>
  <c r="D50" i="102"/>
  <c r="C50" i="102"/>
  <c r="C52" i="100"/>
  <c r="D52" i="100"/>
  <c r="C48" i="104"/>
  <c r="D48" i="104"/>
  <c r="G52" i="101"/>
  <c r="B52" i="101"/>
  <c r="F52" i="101"/>
  <c r="E52" i="101"/>
  <c r="A53" i="101"/>
  <c r="E54" i="88"/>
  <c r="G54" i="88"/>
  <c r="F54" i="88"/>
  <c r="B54" i="88"/>
  <c r="A55" i="88"/>
  <c r="G53" i="100"/>
  <c r="F53" i="100"/>
  <c r="B53" i="100"/>
  <c r="E53" i="100"/>
  <c r="A54" i="100"/>
  <c r="D53" i="88"/>
  <c r="C53" i="88"/>
  <c r="A50" i="104"/>
  <c r="F49" i="104"/>
  <c r="G49" i="104"/>
  <c r="E49" i="104"/>
  <c r="B49" i="104"/>
  <c r="E51" i="102"/>
  <c r="F51" i="102"/>
  <c r="B51" i="102"/>
  <c r="A52" i="102"/>
  <c r="G51" i="102"/>
  <c r="G50" i="103"/>
  <c r="A51" i="103"/>
  <c r="F50" i="103"/>
  <c r="E50" i="103"/>
  <c r="B50" i="103"/>
  <c r="G54" i="96" l="1"/>
  <c r="E54" i="96"/>
  <c r="B54" i="96"/>
  <c r="A55" i="96"/>
  <c r="F54" i="96"/>
  <c r="C53" i="96"/>
  <c r="D53" i="96"/>
  <c r="E54" i="95"/>
  <c r="G54" i="95"/>
  <c r="A55" i="95"/>
  <c r="F54" i="95"/>
  <c r="B54" i="95"/>
  <c r="C53" i="95"/>
  <c r="D53" i="95"/>
  <c r="D48" i="121"/>
  <c r="C48" i="121"/>
  <c r="F49" i="121"/>
  <c r="B49" i="121"/>
  <c r="E49" i="121"/>
  <c r="A50" i="121"/>
  <c r="G49" i="121"/>
  <c r="C58" i="120"/>
  <c r="D58" i="120"/>
  <c r="A60" i="120"/>
  <c r="E59" i="120"/>
  <c r="G59" i="120"/>
  <c r="B59" i="120"/>
  <c r="F59" i="120"/>
  <c r="C54" i="99"/>
  <c r="D54" i="99"/>
  <c r="B55" i="99"/>
  <c r="G55" i="99"/>
  <c r="E55" i="99"/>
  <c r="F55" i="99"/>
  <c r="A56" i="99"/>
  <c r="C55" i="97"/>
  <c r="D55" i="97"/>
  <c r="D55" i="98"/>
  <c r="C55" i="98"/>
  <c r="G56" i="97"/>
  <c r="A57" i="97"/>
  <c r="F56" i="97"/>
  <c r="E56" i="97"/>
  <c r="B56" i="97"/>
  <c r="G56" i="98"/>
  <c r="F56" i="98"/>
  <c r="E56" i="98"/>
  <c r="A57" i="98"/>
  <c r="B56" i="98"/>
  <c r="D49" i="104"/>
  <c r="C49" i="104"/>
  <c r="A52" i="103"/>
  <c r="F51" i="103"/>
  <c r="B51" i="103"/>
  <c r="G51" i="103"/>
  <c r="E51" i="103"/>
  <c r="D53" i="100"/>
  <c r="C53" i="100"/>
  <c r="F53" i="101"/>
  <c r="E53" i="101"/>
  <c r="A54" i="101"/>
  <c r="G53" i="101"/>
  <c r="B53" i="101"/>
  <c r="F52" i="102"/>
  <c r="A53" i="102"/>
  <c r="E52" i="102"/>
  <c r="B52" i="102"/>
  <c r="G52" i="102"/>
  <c r="B50" i="104"/>
  <c r="A51" i="104"/>
  <c r="E50" i="104"/>
  <c r="F50" i="104"/>
  <c r="G50" i="104"/>
  <c r="G55" i="88"/>
  <c r="E55" i="88"/>
  <c r="B55" i="88"/>
  <c r="A56" i="88"/>
  <c r="F55" i="88"/>
  <c r="C52" i="101"/>
  <c r="D52" i="101"/>
  <c r="D51" i="102"/>
  <c r="C51" i="102"/>
  <c r="D54" i="88"/>
  <c r="C54" i="88"/>
  <c r="D50" i="103"/>
  <c r="C50" i="103"/>
  <c r="G54" i="100"/>
  <c r="E54" i="100"/>
  <c r="B54" i="100"/>
  <c r="A55" i="100"/>
  <c r="F54" i="100"/>
  <c r="F55" i="96" l="1"/>
  <c r="A56" i="96"/>
  <c r="B55" i="96"/>
  <c r="E55" i="96"/>
  <c r="G55" i="96"/>
  <c r="C54" i="96"/>
  <c r="D54" i="96"/>
  <c r="C54" i="95"/>
  <c r="D54" i="95"/>
  <c r="F55" i="95"/>
  <c r="A56" i="95"/>
  <c r="G55" i="95"/>
  <c r="E55" i="95"/>
  <c r="B55" i="95"/>
  <c r="F50" i="121"/>
  <c r="A51" i="121"/>
  <c r="E50" i="121"/>
  <c r="G50" i="121"/>
  <c r="B50" i="121"/>
  <c r="D49" i="121"/>
  <c r="C49" i="121"/>
  <c r="C59" i="120"/>
  <c r="D59" i="120"/>
  <c r="A61" i="120"/>
  <c r="E60" i="120"/>
  <c r="F60" i="120"/>
  <c r="G60" i="120"/>
  <c r="B60" i="120"/>
  <c r="E56" i="99"/>
  <c r="G56" i="99"/>
  <c r="B56" i="99"/>
  <c r="F56" i="99"/>
  <c r="A57" i="99"/>
  <c r="C55" i="99"/>
  <c r="D55" i="99"/>
  <c r="D56" i="97"/>
  <c r="C56" i="97"/>
  <c r="D56" i="98"/>
  <c r="C56" i="98"/>
  <c r="F57" i="98"/>
  <c r="E57" i="98"/>
  <c r="A58" i="98"/>
  <c r="B57" i="98"/>
  <c r="G57" i="98"/>
  <c r="A58" i="97"/>
  <c r="B57" i="97"/>
  <c r="F57" i="97"/>
  <c r="G57" i="97"/>
  <c r="E57" i="97"/>
  <c r="D54" i="100"/>
  <c r="C54" i="100"/>
  <c r="A54" i="102"/>
  <c r="B53" i="102"/>
  <c r="E53" i="102"/>
  <c r="F53" i="102"/>
  <c r="G53" i="102"/>
  <c r="D53" i="101"/>
  <c r="C53" i="101"/>
  <c r="A52" i="104"/>
  <c r="G51" i="104"/>
  <c r="B51" i="104"/>
  <c r="F51" i="104"/>
  <c r="E51" i="104"/>
  <c r="C51" i="103"/>
  <c r="D51" i="103"/>
  <c r="F56" i="88"/>
  <c r="A57" i="88"/>
  <c r="G56" i="88"/>
  <c r="B56" i="88"/>
  <c r="E56" i="88"/>
  <c r="D50" i="104"/>
  <c r="C50" i="104"/>
  <c r="A55" i="101"/>
  <c r="E54" i="101"/>
  <c r="F54" i="101"/>
  <c r="G54" i="101"/>
  <c r="B54" i="101"/>
  <c r="C55" i="88"/>
  <c r="D55" i="88"/>
  <c r="A53" i="103"/>
  <c r="F52" i="103"/>
  <c r="G52" i="103"/>
  <c r="B52" i="103"/>
  <c r="E52" i="103"/>
  <c r="D52" i="102"/>
  <c r="C52" i="102"/>
  <c r="G55" i="100"/>
  <c r="A56" i="100"/>
  <c r="B55" i="100"/>
  <c r="E55" i="100"/>
  <c r="F55" i="100"/>
  <c r="C55" i="96" l="1"/>
  <c r="D55" i="96"/>
  <c r="B56" i="96"/>
  <c r="F56" i="96"/>
  <c r="A57" i="96"/>
  <c r="G56" i="96"/>
  <c r="E56" i="96"/>
  <c r="C55" i="95"/>
  <c r="D55" i="95"/>
  <c r="B56" i="95"/>
  <c r="A57" i="95"/>
  <c r="G56" i="95"/>
  <c r="F56" i="95"/>
  <c r="E56" i="95"/>
  <c r="D50" i="121"/>
  <c r="C50" i="121"/>
  <c r="B51" i="121"/>
  <c r="E51" i="121"/>
  <c r="A52" i="121"/>
  <c r="G51" i="121"/>
  <c r="F51" i="121"/>
  <c r="D60" i="120"/>
  <c r="C60" i="120"/>
  <c r="A62" i="120"/>
  <c r="E61" i="120"/>
  <c r="B61" i="120"/>
  <c r="G61" i="120"/>
  <c r="F61" i="120"/>
  <c r="G57" i="99"/>
  <c r="B57" i="99"/>
  <c r="F57" i="99"/>
  <c r="E57" i="99"/>
  <c r="A58" i="99"/>
  <c r="C56" i="99"/>
  <c r="D56" i="99"/>
  <c r="B58" i="98"/>
  <c r="F58" i="98"/>
  <c r="G58" i="98"/>
  <c r="E58" i="98"/>
  <c r="A59" i="98"/>
  <c r="F58" i="97"/>
  <c r="E58" i="97"/>
  <c r="G58" i="97"/>
  <c r="A59" i="97"/>
  <c r="B58" i="97"/>
  <c r="D57" i="97"/>
  <c r="C57" i="97"/>
  <c r="C57" i="98"/>
  <c r="D57" i="98"/>
  <c r="D55" i="100"/>
  <c r="C55" i="100"/>
  <c r="B55" i="101"/>
  <c r="G55" i="101"/>
  <c r="A56" i="101"/>
  <c r="E55" i="101"/>
  <c r="F55" i="101"/>
  <c r="A57" i="100"/>
  <c r="B56" i="100"/>
  <c r="E56" i="100"/>
  <c r="F56" i="100"/>
  <c r="G56" i="100"/>
  <c r="F53" i="103"/>
  <c r="B53" i="103"/>
  <c r="A54" i="103"/>
  <c r="E53" i="103"/>
  <c r="G53" i="103"/>
  <c r="D54" i="101"/>
  <c r="C54" i="101"/>
  <c r="C56" i="88"/>
  <c r="D56" i="88"/>
  <c r="C51" i="104"/>
  <c r="D51" i="104"/>
  <c r="C53" i="102"/>
  <c r="D53" i="102"/>
  <c r="G54" i="102"/>
  <c r="A55" i="102"/>
  <c r="E54" i="102"/>
  <c r="B54" i="102"/>
  <c r="F54" i="102"/>
  <c r="C52" i="103"/>
  <c r="D52" i="103"/>
  <c r="B57" i="88"/>
  <c r="G57" i="88"/>
  <c r="A58" i="88"/>
  <c r="F57" i="88"/>
  <c r="E57" i="88"/>
  <c r="E52" i="104"/>
  <c r="G52" i="104"/>
  <c r="A53" i="104"/>
  <c r="F52" i="104"/>
  <c r="B52" i="104"/>
  <c r="F57" i="96" l="1"/>
  <c r="G57" i="96"/>
  <c r="A58" i="96"/>
  <c r="B57" i="96"/>
  <c r="E57" i="96"/>
  <c r="D56" i="96"/>
  <c r="C56" i="96"/>
  <c r="F57" i="95"/>
  <c r="A58" i="95"/>
  <c r="B57" i="95"/>
  <c r="G57" i="95"/>
  <c r="E57" i="95"/>
  <c r="C56" i="95"/>
  <c r="D56" i="95"/>
  <c r="F52" i="121"/>
  <c r="A53" i="121"/>
  <c r="E52" i="121"/>
  <c r="G52" i="121"/>
  <c r="B52" i="121"/>
  <c r="C51" i="121"/>
  <c r="D51" i="121"/>
  <c r="D61" i="120"/>
  <c r="C61" i="120"/>
  <c r="A63" i="120"/>
  <c r="E62" i="120"/>
  <c r="B62" i="120"/>
  <c r="G62" i="120"/>
  <c r="F62" i="120"/>
  <c r="E58" i="99"/>
  <c r="A59" i="99"/>
  <c r="F58" i="99"/>
  <c r="G58" i="99"/>
  <c r="B58" i="99"/>
  <c r="C57" i="99"/>
  <c r="D57" i="99"/>
  <c r="A60" i="98"/>
  <c r="B59" i="98"/>
  <c r="F59" i="98"/>
  <c r="E59" i="98"/>
  <c r="G59" i="98"/>
  <c r="C58" i="97"/>
  <c r="D58" i="97"/>
  <c r="E59" i="97"/>
  <c r="A60" i="97"/>
  <c r="F59" i="97"/>
  <c r="B59" i="97"/>
  <c r="G59" i="97"/>
  <c r="C58" i="98"/>
  <c r="D58" i="98"/>
  <c r="E53" i="104"/>
  <c r="F53" i="104"/>
  <c r="A54" i="104"/>
  <c r="B53" i="104"/>
  <c r="G53" i="104"/>
  <c r="B57" i="100"/>
  <c r="G57" i="100"/>
  <c r="F57" i="100"/>
  <c r="A58" i="100"/>
  <c r="E57" i="100"/>
  <c r="B54" i="103"/>
  <c r="A55" i="103"/>
  <c r="G54" i="103"/>
  <c r="F54" i="103"/>
  <c r="E54" i="103"/>
  <c r="C53" i="103"/>
  <c r="D53" i="103"/>
  <c r="C54" i="102"/>
  <c r="D54" i="102"/>
  <c r="A57" i="101"/>
  <c r="G56" i="101"/>
  <c r="E56" i="101"/>
  <c r="B56" i="101"/>
  <c r="F56" i="101"/>
  <c r="E58" i="88"/>
  <c r="B58" i="88"/>
  <c r="G58" i="88"/>
  <c r="F58" i="88"/>
  <c r="A59" i="88"/>
  <c r="G55" i="102"/>
  <c r="B55" i="102"/>
  <c r="A56" i="102"/>
  <c r="F55" i="102"/>
  <c r="E55" i="102"/>
  <c r="D55" i="101"/>
  <c r="C55" i="101"/>
  <c r="D52" i="104"/>
  <c r="C52" i="104"/>
  <c r="D57" i="88"/>
  <c r="C57" i="88"/>
  <c r="D56" i="100"/>
  <c r="C56" i="100"/>
  <c r="D57" i="96" l="1"/>
  <c r="C57" i="96"/>
  <c r="E58" i="96"/>
  <c r="G58" i="96"/>
  <c r="F58" i="96"/>
  <c r="A59" i="96"/>
  <c r="B58" i="96"/>
  <c r="C57" i="95"/>
  <c r="D57" i="95"/>
  <c r="G58" i="95"/>
  <c r="A59" i="95"/>
  <c r="B58" i="95"/>
  <c r="F58" i="95"/>
  <c r="E58" i="95"/>
  <c r="D52" i="121"/>
  <c r="C52" i="121"/>
  <c r="B53" i="121"/>
  <c r="G53" i="121"/>
  <c r="A54" i="121"/>
  <c r="E53" i="121"/>
  <c r="F53" i="121"/>
  <c r="C62" i="120"/>
  <c r="D62" i="120"/>
  <c r="A64" i="120"/>
  <c r="E63" i="120"/>
  <c r="B63" i="120"/>
  <c r="G63" i="120"/>
  <c r="F63" i="120"/>
  <c r="C58" i="99"/>
  <c r="D58" i="99"/>
  <c r="B59" i="99"/>
  <c r="G59" i="99"/>
  <c r="F59" i="99"/>
  <c r="A60" i="99"/>
  <c r="E59" i="99"/>
  <c r="A61" i="98"/>
  <c r="G60" i="98"/>
  <c r="E60" i="98"/>
  <c r="F60" i="98"/>
  <c r="B60" i="98"/>
  <c r="A61" i="97"/>
  <c r="G60" i="97"/>
  <c r="F60" i="97"/>
  <c r="E60" i="97"/>
  <c r="B60" i="97"/>
  <c r="D59" i="97"/>
  <c r="C59" i="97"/>
  <c r="D59" i="98"/>
  <c r="C59" i="98"/>
  <c r="F56" i="102"/>
  <c r="B56" i="102"/>
  <c r="A57" i="102"/>
  <c r="G56" i="102"/>
  <c r="E56" i="102"/>
  <c r="C55" i="102"/>
  <c r="D55" i="102"/>
  <c r="D56" i="101"/>
  <c r="C56" i="101"/>
  <c r="C57" i="100"/>
  <c r="D57" i="100"/>
  <c r="G59" i="88"/>
  <c r="B59" i="88"/>
  <c r="A60" i="88"/>
  <c r="F59" i="88"/>
  <c r="E59" i="88"/>
  <c r="F57" i="101"/>
  <c r="B57" i="101"/>
  <c r="G57" i="101"/>
  <c r="A58" i="101"/>
  <c r="E57" i="101"/>
  <c r="G55" i="103"/>
  <c r="F55" i="103"/>
  <c r="B55" i="103"/>
  <c r="A56" i="103"/>
  <c r="E55" i="103"/>
  <c r="C53" i="104"/>
  <c r="D53" i="104"/>
  <c r="D54" i="103"/>
  <c r="C54" i="103"/>
  <c r="A55" i="104"/>
  <c r="F54" i="104"/>
  <c r="B54" i="104"/>
  <c r="G54" i="104"/>
  <c r="E54" i="104"/>
  <c r="C58" i="88"/>
  <c r="D58" i="88"/>
  <c r="E58" i="100"/>
  <c r="B58" i="100"/>
  <c r="A59" i="100"/>
  <c r="F58" i="100"/>
  <c r="G58" i="100"/>
  <c r="D58" i="96" l="1"/>
  <c r="C58" i="96"/>
  <c r="F59" i="96"/>
  <c r="E59" i="96"/>
  <c r="B59" i="96"/>
  <c r="A60" i="96"/>
  <c r="G59" i="96"/>
  <c r="D58" i="95"/>
  <c r="C58" i="95"/>
  <c r="G59" i="95"/>
  <c r="E59" i="95"/>
  <c r="A60" i="95"/>
  <c r="B59" i="95"/>
  <c r="F59" i="95"/>
  <c r="F54" i="121"/>
  <c r="A55" i="121"/>
  <c r="E54" i="121"/>
  <c r="G54" i="121"/>
  <c r="B54" i="121"/>
  <c r="C53" i="121"/>
  <c r="D53" i="121"/>
  <c r="D63" i="120"/>
  <c r="C63" i="120"/>
  <c r="A65" i="120"/>
  <c r="E64" i="120"/>
  <c r="F64" i="120"/>
  <c r="G64" i="120"/>
  <c r="B64" i="120"/>
  <c r="E60" i="99"/>
  <c r="G60" i="99"/>
  <c r="B60" i="99"/>
  <c r="F60" i="99"/>
  <c r="A61" i="99"/>
  <c r="D59" i="99"/>
  <c r="C59" i="99"/>
  <c r="C60" i="97"/>
  <c r="D60" i="97"/>
  <c r="C60" i="98"/>
  <c r="D60" i="98"/>
  <c r="G61" i="97"/>
  <c r="B61" i="97"/>
  <c r="A62" i="97"/>
  <c r="F61" i="97"/>
  <c r="E61" i="97"/>
  <c r="G61" i="98"/>
  <c r="E61" i="98"/>
  <c r="B61" i="98"/>
  <c r="F61" i="98"/>
  <c r="A62" i="98"/>
  <c r="E59" i="100"/>
  <c r="A60" i="100"/>
  <c r="F59" i="100"/>
  <c r="G59" i="100"/>
  <c r="B59" i="100"/>
  <c r="D55" i="103"/>
  <c r="C55" i="103"/>
  <c r="D58" i="100"/>
  <c r="C58" i="100"/>
  <c r="G55" i="104"/>
  <c r="E55" i="104"/>
  <c r="A56" i="104"/>
  <c r="B55" i="104"/>
  <c r="F55" i="104"/>
  <c r="B60" i="88"/>
  <c r="F60" i="88"/>
  <c r="A61" i="88"/>
  <c r="E60" i="88"/>
  <c r="G60" i="88"/>
  <c r="D59" i="88"/>
  <c r="C59" i="88"/>
  <c r="B58" i="101"/>
  <c r="G58" i="101"/>
  <c r="F58" i="101"/>
  <c r="E58" i="101"/>
  <c r="A59" i="101"/>
  <c r="A58" i="102"/>
  <c r="E57" i="102"/>
  <c r="B57" i="102"/>
  <c r="G57" i="102"/>
  <c r="F57" i="102"/>
  <c r="D57" i="101"/>
  <c r="C57" i="101"/>
  <c r="D56" i="102"/>
  <c r="C56" i="102"/>
  <c r="D54" i="104"/>
  <c r="C54" i="104"/>
  <c r="G56" i="103"/>
  <c r="A57" i="103"/>
  <c r="E56" i="103"/>
  <c r="F56" i="103"/>
  <c r="B56" i="103"/>
  <c r="A61" i="96" l="1"/>
  <c r="F60" i="96"/>
  <c r="B60" i="96"/>
  <c r="G60" i="96"/>
  <c r="E60" i="96"/>
  <c r="C59" i="96"/>
  <c r="D59" i="96"/>
  <c r="C59" i="95"/>
  <c r="D59" i="95"/>
  <c r="E60" i="95"/>
  <c r="F60" i="95"/>
  <c r="B60" i="95"/>
  <c r="A61" i="95"/>
  <c r="G60" i="95"/>
  <c r="C54" i="121"/>
  <c r="D54" i="121"/>
  <c r="B55" i="121"/>
  <c r="A56" i="121"/>
  <c r="G55" i="121"/>
  <c r="E55" i="121"/>
  <c r="F55" i="121"/>
  <c r="D64" i="120"/>
  <c r="C64" i="120"/>
  <c r="A66" i="120"/>
  <c r="E65" i="120"/>
  <c r="G65" i="120"/>
  <c r="F65" i="120"/>
  <c r="B65" i="120"/>
  <c r="G61" i="99"/>
  <c r="E61" i="99"/>
  <c r="B61" i="99"/>
  <c r="F61" i="99"/>
  <c r="A62" i="99"/>
  <c r="D60" i="99"/>
  <c r="C60" i="99"/>
  <c r="B62" i="97"/>
  <c r="A63" i="97"/>
  <c r="G62" i="97"/>
  <c r="F62" i="97"/>
  <c r="E62" i="97"/>
  <c r="C61" i="97"/>
  <c r="D61" i="97"/>
  <c r="E62" i="98"/>
  <c r="F62" i="98"/>
  <c r="B62" i="98"/>
  <c r="G62" i="98"/>
  <c r="A63" i="98"/>
  <c r="D61" i="98"/>
  <c r="C61" i="98"/>
  <c r="D56" i="103"/>
  <c r="C56" i="103"/>
  <c r="F57" i="103"/>
  <c r="G57" i="103"/>
  <c r="E57" i="103"/>
  <c r="B57" i="103"/>
  <c r="A58" i="103"/>
  <c r="C60" i="88"/>
  <c r="D60" i="88"/>
  <c r="C58" i="101"/>
  <c r="D58" i="101"/>
  <c r="C57" i="102"/>
  <c r="D57" i="102"/>
  <c r="C55" i="104"/>
  <c r="D55" i="104"/>
  <c r="C59" i="100"/>
  <c r="D59" i="100"/>
  <c r="B56" i="104"/>
  <c r="A57" i="104"/>
  <c r="F56" i="104"/>
  <c r="G56" i="104"/>
  <c r="E56" i="104"/>
  <c r="E58" i="102"/>
  <c r="F58" i="102"/>
  <c r="A59" i="102"/>
  <c r="G58" i="102"/>
  <c r="B58" i="102"/>
  <c r="G59" i="101"/>
  <c r="B59" i="101"/>
  <c r="E59" i="101"/>
  <c r="A60" i="101"/>
  <c r="F59" i="101"/>
  <c r="B60" i="100"/>
  <c r="A61" i="100"/>
  <c r="E60" i="100"/>
  <c r="F60" i="100"/>
  <c r="G60" i="100"/>
  <c r="A62" i="88"/>
  <c r="B61" i="88"/>
  <c r="E61" i="88"/>
  <c r="F61" i="88"/>
  <c r="G61" i="88"/>
  <c r="C60" i="96" l="1"/>
  <c r="D60" i="96"/>
  <c r="A62" i="96"/>
  <c r="E61" i="96"/>
  <c r="B61" i="96"/>
  <c r="F61" i="96"/>
  <c r="G61" i="96"/>
  <c r="G61" i="95"/>
  <c r="F61" i="95"/>
  <c r="E61" i="95"/>
  <c r="A62" i="95"/>
  <c r="B61" i="95"/>
  <c r="D60" i="95"/>
  <c r="C60" i="95"/>
  <c r="F56" i="121"/>
  <c r="A57" i="121"/>
  <c r="E56" i="121"/>
  <c r="G56" i="121"/>
  <c r="B56" i="121"/>
  <c r="D55" i="121"/>
  <c r="C55" i="121"/>
  <c r="D65" i="120"/>
  <c r="C65" i="120"/>
  <c r="A67" i="120"/>
  <c r="E66" i="120"/>
  <c r="G66" i="120"/>
  <c r="F66" i="120"/>
  <c r="B66" i="120"/>
  <c r="B62" i="99"/>
  <c r="G62" i="99"/>
  <c r="E62" i="99"/>
  <c r="A63" i="99"/>
  <c r="F62" i="99"/>
  <c r="C61" i="99"/>
  <c r="D61" i="99"/>
  <c r="D62" i="98"/>
  <c r="C62" i="98"/>
  <c r="G63" i="97"/>
  <c r="B63" i="97"/>
  <c r="F63" i="97"/>
  <c r="A64" i="97"/>
  <c r="E63" i="97"/>
  <c r="C62" i="97"/>
  <c r="D62" i="97"/>
  <c r="B63" i="98"/>
  <c r="G63" i="98"/>
  <c r="E63" i="98"/>
  <c r="A64" i="98"/>
  <c r="F63" i="98"/>
  <c r="C61" i="88"/>
  <c r="D61" i="88"/>
  <c r="A61" i="101"/>
  <c r="B60" i="101"/>
  <c r="G60" i="101"/>
  <c r="E60" i="101"/>
  <c r="F60" i="101"/>
  <c r="E58" i="103"/>
  <c r="F58" i="103"/>
  <c r="B58" i="103"/>
  <c r="G58" i="103"/>
  <c r="A59" i="103"/>
  <c r="B62" i="88"/>
  <c r="F62" i="88"/>
  <c r="G62" i="88"/>
  <c r="E62" i="88"/>
  <c r="A63" i="88"/>
  <c r="C57" i="103"/>
  <c r="D57" i="103"/>
  <c r="D59" i="101"/>
  <c r="C59" i="101"/>
  <c r="D58" i="102"/>
  <c r="C58" i="102"/>
  <c r="F57" i="104"/>
  <c r="E57" i="104"/>
  <c r="A58" i="104"/>
  <c r="G57" i="104"/>
  <c r="B57" i="104"/>
  <c r="B61" i="100"/>
  <c r="A62" i="100"/>
  <c r="E61" i="100"/>
  <c r="F61" i="100"/>
  <c r="G61" i="100"/>
  <c r="C56" i="104"/>
  <c r="D56" i="104"/>
  <c r="D60" i="100"/>
  <c r="C60" i="100"/>
  <c r="B59" i="102"/>
  <c r="G59" i="102"/>
  <c r="F59" i="102"/>
  <c r="E59" i="102"/>
  <c r="A60" i="102"/>
  <c r="C61" i="96" l="1"/>
  <c r="D61" i="96"/>
  <c r="G62" i="96"/>
  <c r="A63" i="96"/>
  <c r="B62" i="96"/>
  <c r="F62" i="96"/>
  <c r="E62" i="96"/>
  <c r="D61" i="95"/>
  <c r="C61" i="95"/>
  <c r="A63" i="95"/>
  <c r="G62" i="95"/>
  <c r="B62" i="95"/>
  <c r="E62" i="95"/>
  <c r="F62" i="95"/>
  <c r="D56" i="121"/>
  <c r="C56" i="121"/>
  <c r="B57" i="121"/>
  <c r="E57" i="121"/>
  <c r="A58" i="121"/>
  <c r="G57" i="121"/>
  <c r="F57" i="121"/>
  <c r="C66" i="120"/>
  <c r="D66" i="120"/>
  <c r="A68" i="120"/>
  <c r="E67" i="120"/>
  <c r="G67" i="120"/>
  <c r="B67" i="120"/>
  <c r="F67" i="120"/>
  <c r="B63" i="99"/>
  <c r="E63" i="99"/>
  <c r="F63" i="99"/>
  <c r="A64" i="99"/>
  <c r="G63" i="99"/>
  <c r="D62" i="99"/>
  <c r="C62" i="99"/>
  <c r="D63" i="98"/>
  <c r="C63" i="98"/>
  <c r="E64" i="97"/>
  <c r="F64" i="97"/>
  <c r="G64" i="97"/>
  <c r="B64" i="97"/>
  <c r="A65" i="97"/>
  <c r="D63" i="97"/>
  <c r="C63" i="97"/>
  <c r="G64" i="98"/>
  <c r="F64" i="98"/>
  <c r="E64" i="98"/>
  <c r="B64" i="98"/>
  <c r="A65" i="98"/>
  <c r="C59" i="102"/>
  <c r="D59" i="102"/>
  <c r="B62" i="100"/>
  <c r="E62" i="100"/>
  <c r="G62" i="100"/>
  <c r="A63" i="100"/>
  <c r="F62" i="100"/>
  <c r="C61" i="100"/>
  <c r="D61" i="100"/>
  <c r="C62" i="88"/>
  <c r="D62" i="88"/>
  <c r="D57" i="104"/>
  <c r="C57" i="104"/>
  <c r="F59" i="103"/>
  <c r="B59" i="103"/>
  <c r="G59" i="103"/>
  <c r="A60" i="103"/>
  <c r="E59" i="103"/>
  <c r="D60" i="101"/>
  <c r="C60" i="101"/>
  <c r="A62" i="101"/>
  <c r="G61" i="101"/>
  <c r="F61" i="101"/>
  <c r="E61" i="101"/>
  <c r="B61" i="101"/>
  <c r="B60" i="102"/>
  <c r="A61" i="102"/>
  <c r="G60" i="102"/>
  <c r="E60" i="102"/>
  <c r="F60" i="102"/>
  <c r="E58" i="104"/>
  <c r="G58" i="104"/>
  <c r="B58" i="104"/>
  <c r="A59" i="104"/>
  <c r="F58" i="104"/>
  <c r="D58" i="103"/>
  <c r="C58" i="103"/>
  <c r="A64" i="88"/>
  <c r="B63" i="88"/>
  <c r="G63" i="88"/>
  <c r="F63" i="88"/>
  <c r="E63" i="88"/>
  <c r="C62" i="96" l="1"/>
  <c r="D62" i="96"/>
  <c r="E63" i="96"/>
  <c r="G63" i="96"/>
  <c r="B63" i="96"/>
  <c r="A64" i="96"/>
  <c r="F63" i="96"/>
  <c r="D62" i="95"/>
  <c r="C62" i="95"/>
  <c r="E63" i="95"/>
  <c r="G63" i="95"/>
  <c r="B63" i="95"/>
  <c r="A64" i="95"/>
  <c r="F63" i="95"/>
  <c r="F58" i="121"/>
  <c r="A59" i="121"/>
  <c r="E58" i="121"/>
  <c r="G58" i="121"/>
  <c r="B58" i="121"/>
  <c r="D57" i="121"/>
  <c r="C57" i="121"/>
  <c r="C67" i="120"/>
  <c r="D67" i="120"/>
  <c r="A69" i="120"/>
  <c r="E68" i="120"/>
  <c r="F68" i="120"/>
  <c r="G68" i="120"/>
  <c r="B68" i="120"/>
  <c r="A65" i="99"/>
  <c r="F64" i="99"/>
  <c r="E64" i="99"/>
  <c r="G64" i="99"/>
  <c r="B64" i="99"/>
  <c r="C63" i="99"/>
  <c r="D63" i="99"/>
  <c r="F65" i="97"/>
  <c r="A66" i="97"/>
  <c r="G65" i="97"/>
  <c r="E65" i="97"/>
  <c r="B65" i="97"/>
  <c r="D64" i="97"/>
  <c r="C64" i="97"/>
  <c r="F65" i="98"/>
  <c r="A66" i="98"/>
  <c r="G65" i="98"/>
  <c r="E65" i="98"/>
  <c r="B65" i="98"/>
  <c r="D64" i="98"/>
  <c r="C64" i="98"/>
  <c r="C63" i="88"/>
  <c r="D63" i="88"/>
  <c r="C59" i="103"/>
  <c r="D59" i="103"/>
  <c r="B64" i="88"/>
  <c r="A65" i="88"/>
  <c r="G64" i="88"/>
  <c r="F64" i="88"/>
  <c r="E64" i="88"/>
  <c r="A64" i="100"/>
  <c r="G63" i="100"/>
  <c r="E63" i="100"/>
  <c r="B63" i="100"/>
  <c r="F63" i="100"/>
  <c r="F62" i="101"/>
  <c r="G62" i="101"/>
  <c r="A63" i="101"/>
  <c r="B62" i="101"/>
  <c r="E62" i="101"/>
  <c r="A62" i="102"/>
  <c r="G61" i="102"/>
  <c r="F61" i="102"/>
  <c r="B61" i="102"/>
  <c r="E61" i="102"/>
  <c r="C62" i="100"/>
  <c r="D62" i="100"/>
  <c r="B59" i="104"/>
  <c r="E59" i="104"/>
  <c r="F59" i="104"/>
  <c r="G59" i="104"/>
  <c r="A60" i="104"/>
  <c r="C60" i="102"/>
  <c r="D60" i="102"/>
  <c r="D58" i="104"/>
  <c r="C58" i="104"/>
  <c r="D61" i="101"/>
  <c r="C61" i="101"/>
  <c r="E60" i="103"/>
  <c r="A61" i="103"/>
  <c r="B60" i="103"/>
  <c r="G60" i="103"/>
  <c r="F60" i="103"/>
  <c r="B64" i="96" l="1"/>
  <c r="F64" i="96"/>
  <c r="G64" i="96"/>
  <c r="A65" i="96"/>
  <c r="E64" i="96"/>
  <c r="D63" i="96"/>
  <c r="C63" i="96"/>
  <c r="B64" i="95"/>
  <c r="E64" i="95"/>
  <c r="G64" i="95"/>
  <c r="F64" i="95"/>
  <c r="A65" i="95"/>
  <c r="D63" i="95"/>
  <c r="C63" i="95"/>
  <c r="D58" i="121"/>
  <c r="C58" i="121"/>
  <c r="B59" i="121"/>
  <c r="G59" i="121"/>
  <c r="E59" i="121"/>
  <c r="A60" i="121"/>
  <c r="F59" i="121"/>
  <c r="D68" i="120"/>
  <c r="C68" i="120"/>
  <c r="A70" i="120"/>
  <c r="E69" i="120"/>
  <c r="F69" i="120"/>
  <c r="B69" i="120"/>
  <c r="G69" i="120"/>
  <c r="D64" i="99"/>
  <c r="C64" i="99"/>
  <c r="G65" i="99"/>
  <c r="B65" i="99"/>
  <c r="A66" i="99"/>
  <c r="F65" i="99"/>
  <c r="E65" i="99"/>
  <c r="C65" i="98"/>
  <c r="D65" i="98"/>
  <c r="C65" i="97"/>
  <c r="D65" i="97"/>
  <c r="B66" i="98"/>
  <c r="A67" i="98"/>
  <c r="F66" i="98"/>
  <c r="E66" i="98"/>
  <c r="G66" i="98"/>
  <c r="E66" i="97"/>
  <c r="A67" i="97"/>
  <c r="G66" i="97"/>
  <c r="F66" i="97"/>
  <c r="B66" i="97"/>
  <c r="C60" i="103"/>
  <c r="D60" i="103"/>
  <c r="F61" i="103"/>
  <c r="E61" i="103"/>
  <c r="A62" i="103"/>
  <c r="B61" i="103"/>
  <c r="G61" i="103"/>
  <c r="E60" i="104"/>
  <c r="B60" i="104"/>
  <c r="A61" i="104"/>
  <c r="F60" i="104"/>
  <c r="G60" i="104"/>
  <c r="D61" i="102"/>
  <c r="C61" i="102"/>
  <c r="G65" i="88"/>
  <c r="A66" i="88"/>
  <c r="F65" i="88"/>
  <c r="B65" i="88"/>
  <c r="E65" i="88"/>
  <c r="D63" i="100"/>
  <c r="C63" i="100"/>
  <c r="D64" i="88"/>
  <c r="C64" i="88"/>
  <c r="A63" i="102"/>
  <c r="F62" i="102"/>
  <c r="G62" i="102"/>
  <c r="E62" i="102"/>
  <c r="B62" i="102"/>
  <c r="C59" i="104"/>
  <c r="D59" i="104"/>
  <c r="D62" i="101"/>
  <c r="C62" i="101"/>
  <c r="B64" i="100"/>
  <c r="G64" i="100"/>
  <c r="A65" i="100"/>
  <c r="E64" i="100"/>
  <c r="F64" i="100"/>
  <c r="B63" i="101"/>
  <c r="F63" i="101"/>
  <c r="G63" i="101"/>
  <c r="E63" i="101"/>
  <c r="A64" i="101"/>
  <c r="F65" i="96" l="1"/>
  <c r="G65" i="96"/>
  <c r="B65" i="96"/>
  <c r="E65" i="96"/>
  <c r="A66" i="96"/>
  <c r="D64" i="96"/>
  <c r="C64" i="96"/>
  <c r="G65" i="95"/>
  <c r="A66" i="95"/>
  <c r="E65" i="95"/>
  <c r="B65" i="95"/>
  <c r="F65" i="95"/>
  <c r="C64" i="95"/>
  <c r="D64" i="95"/>
  <c r="F60" i="121"/>
  <c r="A61" i="121"/>
  <c r="E60" i="121"/>
  <c r="G60" i="121"/>
  <c r="B60" i="121"/>
  <c r="D59" i="121"/>
  <c r="C59" i="121"/>
  <c r="D69" i="120"/>
  <c r="C69" i="120"/>
  <c r="A71" i="120"/>
  <c r="E70" i="120"/>
  <c r="G70" i="120"/>
  <c r="F70" i="120"/>
  <c r="B70" i="120"/>
  <c r="E66" i="99"/>
  <c r="F66" i="99"/>
  <c r="B66" i="99"/>
  <c r="G66" i="99"/>
  <c r="A67" i="99"/>
  <c r="D65" i="99"/>
  <c r="C65" i="99"/>
  <c r="B67" i="98"/>
  <c r="E67" i="98"/>
  <c r="G67" i="98"/>
  <c r="A68" i="98"/>
  <c r="F67" i="98"/>
  <c r="F67" i="97"/>
  <c r="A68" i="97"/>
  <c r="E67" i="97"/>
  <c r="B67" i="97"/>
  <c r="G67" i="97"/>
  <c r="D66" i="98"/>
  <c r="C66" i="98"/>
  <c r="D66" i="97"/>
  <c r="C66" i="97"/>
  <c r="G63" i="102"/>
  <c r="E63" i="102"/>
  <c r="F63" i="102"/>
  <c r="B63" i="102"/>
  <c r="A64" i="102"/>
  <c r="B66" i="88"/>
  <c r="F66" i="88"/>
  <c r="E66" i="88"/>
  <c r="G66" i="88"/>
  <c r="A67" i="88"/>
  <c r="D63" i="101"/>
  <c r="C63" i="101"/>
  <c r="D61" i="103"/>
  <c r="C61" i="103"/>
  <c r="B62" i="103"/>
  <c r="F62" i="103"/>
  <c r="G62" i="103"/>
  <c r="A63" i="103"/>
  <c r="E62" i="103"/>
  <c r="C62" i="102"/>
  <c r="D62" i="102"/>
  <c r="F65" i="100"/>
  <c r="A66" i="100"/>
  <c r="E65" i="100"/>
  <c r="G65" i="100"/>
  <c r="B65" i="100"/>
  <c r="A65" i="101"/>
  <c r="F64" i="101"/>
  <c r="B64" i="101"/>
  <c r="E64" i="101"/>
  <c r="G64" i="101"/>
  <c r="C65" i="88"/>
  <c r="D65" i="88"/>
  <c r="A62" i="104"/>
  <c r="B61" i="104"/>
  <c r="E61" i="104"/>
  <c r="F61" i="104"/>
  <c r="G61" i="104"/>
  <c r="C64" i="100"/>
  <c r="D64" i="100"/>
  <c r="C60" i="104"/>
  <c r="D60" i="104"/>
  <c r="A67" i="96" l="1"/>
  <c r="F66" i="96"/>
  <c r="G66" i="96"/>
  <c r="E66" i="96"/>
  <c r="B66" i="96"/>
  <c r="C65" i="96"/>
  <c r="D65" i="96"/>
  <c r="C65" i="95"/>
  <c r="D65" i="95"/>
  <c r="G66" i="95"/>
  <c r="A67" i="95"/>
  <c r="F66" i="95"/>
  <c r="E66" i="95"/>
  <c r="B66" i="95"/>
  <c r="D60" i="121"/>
  <c r="C60" i="121"/>
  <c r="B61" i="121"/>
  <c r="A62" i="121"/>
  <c r="G61" i="121"/>
  <c r="E61" i="121"/>
  <c r="F61" i="121"/>
  <c r="C70" i="120"/>
  <c r="D70" i="120"/>
  <c r="A72" i="120"/>
  <c r="E71" i="120"/>
  <c r="B71" i="120"/>
  <c r="G71" i="120"/>
  <c r="F71" i="120"/>
  <c r="F67" i="99"/>
  <c r="E67" i="99"/>
  <c r="G67" i="99"/>
  <c r="B67" i="99"/>
  <c r="A68" i="99"/>
  <c r="D66" i="99"/>
  <c r="C66" i="99"/>
  <c r="D67" i="97"/>
  <c r="C67" i="97"/>
  <c r="F68" i="97"/>
  <c r="E68" i="97"/>
  <c r="G68" i="97"/>
  <c r="A69" i="97"/>
  <c r="B68" i="97"/>
  <c r="B68" i="98"/>
  <c r="G68" i="98"/>
  <c r="E68" i="98"/>
  <c r="F68" i="98"/>
  <c r="A69" i="98"/>
  <c r="C67" i="98"/>
  <c r="D67" i="98"/>
  <c r="A67" i="100"/>
  <c r="B66" i="100"/>
  <c r="E66" i="100"/>
  <c r="G66" i="100"/>
  <c r="F66" i="100"/>
  <c r="D62" i="103"/>
  <c r="C62" i="103"/>
  <c r="C66" i="88"/>
  <c r="D66" i="88"/>
  <c r="D64" i="101"/>
  <c r="C64" i="101"/>
  <c r="B64" i="102"/>
  <c r="E64" i="102"/>
  <c r="G64" i="102"/>
  <c r="F64" i="102"/>
  <c r="A65" i="102"/>
  <c r="D63" i="102"/>
  <c r="C63" i="102"/>
  <c r="C61" i="104"/>
  <c r="D61" i="104"/>
  <c r="B65" i="101"/>
  <c r="F65" i="101"/>
  <c r="E65" i="101"/>
  <c r="G65" i="101"/>
  <c r="A66" i="101"/>
  <c r="B62" i="104"/>
  <c r="A63" i="104"/>
  <c r="G62" i="104"/>
  <c r="E62" i="104"/>
  <c r="F62" i="104"/>
  <c r="C65" i="100"/>
  <c r="D65" i="100"/>
  <c r="E63" i="103"/>
  <c r="F63" i="103"/>
  <c r="A64" i="103"/>
  <c r="G63" i="103"/>
  <c r="B63" i="103"/>
  <c r="A68" i="88"/>
  <c r="E67" i="88"/>
  <c r="G67" i="88"/>
  <c r="B67" i="88"/>
  <c r="F67" i="88"/>
  <c r="D66" i="96" l="1"/>
  <c r="C66" i="96"/>
  <c r="F67" i="96"/>
  <c r="A68" i="96"/>
  <c r="E67" i="96"/>
  <c r="G67" i="96"/>
  <c r="B67" i="96"/>
  <c r="C66" i="95"/>
  <c r="D66" i="95"/>
  <c r="E67" i="95"/>
  <c r="G67" i="95"/>
  <c r="B67" i="95"/>
  <c r="A68" i="95"/>
  <c r="F67" i="95"/>
  <c r="F62" i="121"/>
  <c r="A63" i="121"/>
  <c r="E62" i="121"/>
  <c r="G62" i="121"/>
  <c r="B62" i="121"/>
  <c r="C61" i="121"/>
  <c r="D61" i="121"/>
  <c r="C71" i="120"/>
  <c r="D71" i="120"/>
  <c r="A73" i="120"/>
  <c r="E72" i="120"/>
  <c r="G72" i="120"/>
  <c r="F72" i="120"/>
  <c r="B72" i="120"/>
  <c r="A69" i="99"/>
  <c r="E68" i="99"/>
  <c r="F68" i="99"/>
  <c r="B68" i="99"/>
  <c r="G68" i="99"/>
  <c r="C67" i="99"/>
  <c r="D67" i="99"/>
  <c r="C68" i="98"/>
  <c r="D68" i="98"/>
  <c r="D68" i="97"/>
  <c r="C68" i="97"/>
  <c r="A70" i="97"/>
  <c r="B69" i="97"/>
  <c r="E69" i="97"/>
  <c r="F69" i="97"/>
  <c r="G69" i="97"/>
  <c r="A70" i="98"/>
  <c r="G69" i="98"/>
  <c r="F69" i="98"/>
  <c r="E69" i="98"/>
  <c r="B69" i="98"/>
  <c r="E65" i="102"/>
  <c r="F65" i="102"/>
  <c r="B65" i="102"/>
  <c r="G65" i="102"/>
  <c r="A66" i="102"/>
  <c r="B68" i="88"/>
  <c r="E68" i="88"/>
  <c r="G68" i="88"/>
  <c r="F68" i="88"/>
  <c r="A69" i="88"/>
  <c r="C63" i="103"/>
  <c r="D63" i="103"/>
  <c r="D65" i="101"/>
  <c r="C65" i="101"/>
  <c r="C64" i="102"/>
  <c r="D64" i="102"/>
  <c r="B64" i="103"/>
  <c r="G64" i="103"/>
  <c r="A65" i="103"/>
  <c r="F64" i="103"/>
  <c r="E64" i="103"/>
  <c r="B63" i="104"/>
  <c r="A64" i="104"/>
  <c r="G63" i="104"/>
  <c r="F63" i="104"/>
  <c r="E63" i="104"/>
  <c r="C62" i="104"/>
  <c r="D62" i="104"/>
  <c r="C66" i="100"/>
  <c r="D66" i="100"/>
  <c r="C67" i="88"/>
  <c r="D67" i="88"/>
  <c r="E66" i="101"/>
  <c r="F66" i="101"/>
  <c r="A67" i="101"/>
  <c r="G66" i="101"/>
  <c r="B66" i="101"/>
  <c r="B67" i="100"/>
  <c r="F67" i="100"/>
  <c r="A68" i="100"/>
  <c r="E67" i="100"/>
  <c r="G67" i="100"/>
  <c r="D67" i="96" l="1"/>
  <c r="C67" i="96"/>
  <c r="E68" i="96"/>
  <c r="A69" i="96"/>
  <c r="G68" i="96"/>
  <c r="B68" i="96"/>
  <c r="F68" i="96"/>
  <c r="F68" i="95"/>
  <c r="G68" i="95"/>
  <c r="A69" i="95"/>
  <c r="E68" i="95"/>
  <c r="B68" i="95"/>
  <c r="C67" i="95"/>
  <c r="D67" i="95"/>
  <c r="C62" i="121"/>
  <c r="D62" i="121"/>
  <c r="B63" i="121"/>
  <c r="G63" i="121"/>
  <c r="E63" i="121"/>
  <c r="A64" i="121"/>
  <c r="F63" i="121"/>
  <c r="C72" i="120"/>
  <c r="D72" i="120"/>
  <c r="A74" i="120"/>
  <c r="E73" i="120"/>
  <c r="F73" i="120"/>
  <c r="G73" i="120"/>
  <c r="B73" i="120"/>
  <c r="C68" i="99"/>
  <c r="D68" i="99"/>
  <c r="G69" i="99"/>
  <c r="A70" i="99"/>
  <c r="F69" i="99"/>
  <c r="B69" i="99"/>
  <c r="E69" i="99"/>
  <c r="F70" i="98"/>
  <c r="A71" i="98"/>
  <c r="E70" i="98"/>
  <c r="G70" i="98"/>
  <c r="B70" i="98"/>
  <c r="D69" i="98"/>
  <c r="C69" i="98"/>
  <c r="C69" i="97"/>
  <c r="D69" i="97"/>
  <c r="E70" i="97"/>
  <c r="G70" i="97"/>
  <c r="A71" i="97"/>
  <c r="B70" i="97"/>
  <c r="F70" i="97"/>
  <c r="B68" i="100"/>
  <c r="A69" i="100"/>
  <c r="G68" i="100"/>
  <c r="E68" i="100"/>
  <c r="F68" i="100"/>
  <c r="B64" i="104"/>
  <c r="E64" i="104"/>
  <c r="F64" i="104"/>
  <c r="A65" i="104"/>
  <c r="G64" i="104"/>
  <c r="C67" i="100"/>
  <c r="D67" i="100"/>
  <c r="C63" i="104"/>
  <c r="D63" i="104"/>
  <c r="C68" i="88"/>
  <c r="D68" i="88"/>
  <c r="D66" i="101"/>
  <c r="C66" i="101"/>
  <c r="E66" i="102"/>
  <c r="F66" i="102"/>
  <c r="B66" i="102"/>
  <c r="G66" i="102"/>
  <c r="A67" i="102"/>
  <c r="A68" i="101"/>
  <c r="G67" i="101"/>
  <c r="B67" i="101"/>
  <c r="E67" i="101"/>
  <c r="F67" i="101"/>
  <c r="F65" i="103"/>
  <c r="E65" i="103"/>
  <c r="A66" i="103"/>
  <c r="B65" i="103"/>
  <c r="G65" i="103"/>
  <c r="C65" i="102"/>
  <c r="D65" i="102"/>
  <c r="G69" i="88"/>
  <c r="E69" i="88"/>
  <c r="B69" i="88"/>
  <c r="F69" i="88"/>
  <c r="A70" i="88"/>
  <c r="C64" i="103"/>
  <c r="D64" i="103"/>
  <c r="C68" i="96" l="1"/>
  <c r="D68" i="96"/>
  <c r="A70" i="96"/>
  <c r="F69" i="96"/>
  <c r="G69" i="96"/>
  <c r="B69" i="96"/>
  <c r="E69" i="96"/>
  <c r="D68" i="95"/>
  <c r="C68" i="95"/>
  <c r="F69" i="95"/>
  <c r="B69" i="95"/>
  <c r="E69" i="95"/>
  <c r="G69" i="95"/>
  <c r="A70" i="95"/>
  <c r="F64" i="121"/>
  <c r="A65" i="121"/>
  <c r="E64" i="121"/>
  <c r="G64" i="121"/>
  <c r="B64" i="121"/>
  <c r="C63" i="121"/>
  <c r="D63" i="121"/>
  <c r="D73" i="120"/>
  <c r="C73" i="120"/>
  <c r="A75" i="120"/>
  <c r="E74" i="120"/>
  <c r="G74" i="120"/>
  <c r="F74" i="120"/>
  <c r="B74" i="120"/>
  <c r="C69" i="99"/>
  <c r="D69" i="99"/>
  <c r="F70" i="99"/>
  <c r="A71" i="99"/>
  <c r="B70" i="99"/>
  <c r="E70" i="99"/>
  <c r="G70" i="99"/>
  <c r="B71" i="98"/>
  <c r="A72" i="98"/>
  <c r="E71" i="98"/>
  <c r="G71" i="98"/>
  <c r="F71" i="98"/>
  <c r="D70" i="97"/>
  <c r="C70" i="97"/>
  <c r="C70" i="98"/>
  <c r="D70" i="98"/>
  <c r="B71" i="97"/>
  <c r="A72" i="97"/>
  <c r="G71" i="97"/>
  <c r="F71" i="97"/>
  <c r="E71" i="97"/>
  <c r="A71" i="88"/>
  <c r="G70" i="88"/>
  <c r="B70" i="88"/>
  <c r="E70" i="88"/>
  <c r="F70" i="88"/>
  <c r="C65" i="103"/>
  <c r="D65" i="103"/>
  <c r="B68" i="101"/>
  <c r="E68" i="101"/>
  <c r="A69" i="101"/>
  <c r="F68" i="101"/>
  <c r="G68" i="101"/>
  <c r="F66" i="103"/>
  <c r="B66" i="103"/>
  <c r="E66" i="103"/>
  <c r="G66" i="103"/>
  <c r="A67" i="103"/>
  <c r="A68" i="102"/>
  <c r="G67" i="102"/>
  <c r="E67" i="102"/>
  <c r="B67" i="102"/>
  <c r="F67" i="102"/>
  <c r="C69" i="88"/>
  <c r="D69" i="88"/>
  <c r="D64" i="104"/>
  <c r="C64" i="104"/>
  <c r="D66" i="102"/>
  <c r="C66" i="102"/>
  <c r="D67" i="101"/>
  <c r="C67" i="101"/>
  <c r="A70" i="100"/>
  <c r="G69" i="100"/>
  <c r="E69" i="100"/>
  <c r="B69" i="100"/>
  <c r="F69" i="100"/>
  <c r="F65" i="104"/>
  <c r="B65" i="104"/>
  <c r="G65" i="104"/>
  <c r="E65" i="104"/>
  <c r="A66" i="104"/>
  <c r="D68" i="100"/>
  <c r="C68" i="100"/>
  <c r="D69" i="96" l="1"/>
  <c r="C69" i="96"/>
  <c r="B70" i="96"/>
  <c r="A71" i="96"/>
  <c r="G70" i="96"/>
  <c r="F70" i="96"/>
  <c r="E70" i="96"/>
  <c r="F70" i="95"/>
  <c r="A71" i="95"/>
  <c r="G70" i="95"/>
  <c r="B70" i="95"/>
  <c r="E70" i="95"/>
  <c r="C69" i="95"/>
  <c r="D69" i="95"/>
  <c r="C64" i="121"/>
  <c r="D64" i="121"/>
  <c r="B65" i="121"/>
  <c r="E65" i="121"/>
  <c r="G65" i="121"/>
  <c r="A66" i="121"/>
  <c r="F65" i="121"/>
  <c r="D74" i="120"/>
  <c r="C74" i="120"/>
  <c r="A76" i="120"/>
  <c r="E75" i="120"/>
  <c r="G75" i="120"/>
  <c r="B75" i="120"/>
  <c r="F75" i="120"/>
  <c r="C70" i="99"/>
  <c r="D70" i="99"/>
  <c r="E71" i="99"/>
  <c r="A72" i="99"/>
  <c r="B71" i="99"/>
  <c r="G71" i="99"/>
  <c r="F71" i="99"/>
  <c r="C71" i="98"/>
  <c r="D71" i="98"/>
  <c r="G72" i="97"/>
  <c r="B72" i="97"/>
  <c r="E72" i="97"/>
  <c r="F72" i="97"/>
  <c r="A73" i="97"/>
  <c r="C71" i="97"/>
  <c r="D71" i="97"/>
  <c r="B72" i="98"/>
  <c r="F72" i="98"/>
  <c r="A73" i="98"/>
  <c r="G72" i="98"/>
  <c r="E72" i="98"/>
  <c r="F66" i="104"/>
  <c r="G66" i="104"/>
  <c r="A67" i="104"/>
  <c r="B66" i="104"/>
  <c r="E66" i="104"/>
  <c r="C68" i="101"/>
  <c r="D68" i="101"/>
  <c r="A71" i="100"/>
  <c r="B70" i="100"/>
  <c r="G70" i="100"/>
  <c r="F70" i="100"/>
  <c r="E70" i="100"/>
  <c r="C66" i="103"/>
  <c r="D66" i="103"/>
  <c r="D65" i="104"/>
  <c r="C65" i="104"/>
  <c r="C67" i="102"/>
  <c r="D67" i="102"/>
  <c r="C70" i="88"/>
  <c r="D70" i="88"/>
  <c r="C69" i="100"/>
  <c r="D69" i="100"/>
  <c r="F68" i="102"/>
  <c r="B68" i="102"/>
  <c r="A69" i="102"/>
  <c r="E68" i="102"/>
  <c r="G68" i="102"/>
  <c r="G69" i="101"/>
  <c r="E69" i="101"/>
  <c r="A70" i="101"/>
  <c r="F69" i="101"/>
  <c r="B69" i="101"/>
  <c r="G67" i="103"/>
  <c r="B67" i="103"/>
  <c r="E67" i="103"/>
  <c r="F67" i="103"/>
  <c r="A68" i="103"/>
  <c r="A72" i="88"/>
  <c r="B71" i="88"/>
  <c r="G71" i="88"/>
  <c r="F71" i="88"/>
  <c r="E71" i="88"/>
  <c r="E71" i="96" l="1"/>
  <c r="F71" i="96"/>
  <c r="B71" i="96"/>
  <c r="G71" i="96"/>
  <c r="A72" i="96"/>
  <c r="C70" i="96"/>
  <c r="D70" i="96"/>
  <c r="D70" i="95"/>
  <c r="C70" i="95"/>
  <c r="F71" i="95"/>
  <c r="A72" i="95"/>
  <c r="G71" i="95"/>
  <c r="E71" i="95"/>
  <c r="B71" i="95"/>
  <c r="F66" i="121"/>
  <c r="B66" i="121"/>
  <c r="A67" i="121"/>
  <c r="E66" i="121"/>
  <c r="G66" i="121"/>
  <c r="D65" i="121"/>
  <c r="C65" i="121"/>
  <c r="C75" i="120"/>
  <c r="D75" i="120"/>
  <c r="A77" i="120"/>
  <c r="E76" i="120"/>
  <c r="F76" i="120"/>
  <c r="B76" i="120"/>
  <c r="G76" i="120"/>
  <c r="D71" i="99"/>
  <c r="C71" i="99"/>
  <c r="F72" i="99"/>
  <c r="B72" i="99"/>
  <c r="E72" i="99"/>
  <c r="G72" i="99"/>
  <c r="A73" i="99"/>
  <c r="D72" i="98"/>
  <c r="C72" i="98"/>
  <c r="F73" i="97"/>
  <c r="E73" i="97"/>
  <c r="G73" i="97"/>
  <c r="A74" i="97"/>
  <c r="B73" i="97"/>
  <c r="C72" i="97"/>
  <c r="D72" i="97"/>
  <c r="B73" i="98"/>
  <c r="A74" i="98"/>
  <c r="F73" i="98"/>
  <c r="E73" i="98"/>
  <c r="G73" i="98"/>
  <c r="C69" i="101"/>
  <c r="D69" i="101"/>
  <c r="C68" i="102"/>
  <c r="D68" i="102"/>
  <c r="B71" i="100"/>
  <c r="E71" i="100"/>
  <c r="F71" i="100"/>
  <c r="G71" i="100"/>
  <c r="A72" i="100"/>
  <c r="C71" i="88"/>
  <c r="D71" i="88"/>
  <c r="A73" i="88"/>
  <c r="G72" i="88"/>
  <c r="F72" i="88"/>
  <c r="E72" i="88"/>
  <c r="B72" i="88"/>
  <c r="A71" i="101"/>
  <c r="E70" i="101"/>
  <c r="G70" i="101"/>
  <c r="F70" i="101"/>
  <c r="B70" i="101"/>
  <c r="B68" i="103"/>
  <c r="E68" i="103"/>
  <c r="F68" i="103"/>
  <c r="G68" i="103"/>
  <c r="A69" i="103"/>
  <c r="D66" i="104"/>
  <c r="C66" i="104"/>
  <c r="B67" i="104"/>
  <c r="G67" i="104"/>
  <c r="F67" i="104"/>
  <c r="A68" i="104"/>
  <c r="E67" i="104"/>
  <c r="D67" i="103"/>
  <c r="C67" i="103"/>
  <c r="E69" i="102"/>
  <c r="A70" i="102"/>
  <c r="B69" i="102"/>
  <c r="F69" i="102"/>
  <c r="G69" i="102"/>
  <c r="C70" i="100"/>
  <c r="D70" i="100"/>
  <c r="G72" i="96" l="1"/>
  <c r="B72" i="96"/>
  <c r="E72" i="96"/>
  <c r="F72" i="96"/>
  <c r="A73" i="96"/>
  <c r="D71" i="96"/>
  <c r="C71" i="96"/>
  <c r="D71" i="95"/>
  <c r="C71" i="95"/>
  <c r="E72" i="95"/>
  <c r="B72" i="95"/>
  <c r="F72" i="95"/>
  <c r="G72" i="95"/>
  <c r="A73" i="95"/>
  <c r="B67" i="121"/>
  <c r="E67" i="121"/>
  <c r="A68" i="121"/>
  <c r="G67" i="121"/>
  <c r="F67" i="121"/>
  <c r="D66" i="121"/>
  <c r="C66" i="121"/>
  <c r="D76" i="120"/>
  <c r="C76" i="120"/>
  <c r="A78" i="120"/>
  <c r="E77" i="120"/>
  <c r="G77" i="120"/>
  <c r="F77" i="120"/>
  <c r="B77" i="120"/>
  <c r="F73" i="99"/>
  <c r="E73" i="99"/>
  <c r="B73" i="99"/>
  <c r="A74" i="99"/>
  <c r="G73" i="99"/>
  <c r="D72" i="99"/>
  <c r="C72" i="99"/>
  <c r="B74" i="97"/>
  <c r="F74" i="97"/>
  <c r="E74" i="97"/>
  <c r="G74" i="97"/>
  <c r="A75" i="97"/>
  <c r="F74" i="98"/>
  <c r="G74" i="98"/>
  <c r="B74" i="98"/>
  <c r="A75" i="98"/>
  <c r="E74" i="98"/>
  <c r="D73" i="98"/>
  <c r="C73" i="98"/>
  <c r="C73" i="97"/>
  <c r="D73" i="97"/>
  <c r="G68" i="104"/>
  <c r="F68" i="104"/>
  <c r="B68" i="104"/>
  <c r="E68" i="104"/>
  <c r="A69" i="104"/>
  <c r="D72" i="88"/>
  <c r="C72" i="88"/>
  <c r="D69" i="102"/>
  <c r="C69" i="102"/>
  <c r="C68" i="103"/>
  <c r="D68" i="103"/>
  <c r="A71" i="102"/>
  <c r="E70" i="102"/>
  <c r="B70" i="102"/>
  <c r="F70" i="102"/>
  <c r="G70" i="102"/>
  <c r="C67" i="104"/>
  <c r="D67" i="104"/>
  <c r="C70" i="101"/>
  <c r="D70" i="101"/>
  <c r="C71" i="100"/>
  <c r="D71" i="100"/>
  <c r="G73" i="88"/>
  <c r="F73" i="88"/>
  <c r="A74" i="88"/>
  <c r="E73" i="88"/>
  <c r="B73" i="88"/>
  <c r="A70" i="103"/>
  <c r="F69" i="103"/>
  <c r="E69" i="103"/>
  <c r="B69" i="103"/>
  <c r="G69" i="103"/>
  <c r="E71" i="101"/>
  <c r="G71" i="101"/>
  <c r="A72" i="101"/>
  <c r="F71" i="101"/>
  <c r="B71" i="101"/>
  <c r="B72" i="100"/>
  <c r="F72" i="100"/>
  <c r="E72" i="100"/>
  <c r="G72" i="100"/>
  <c r="A73" i="100"/>
  <c r="A74" i="96" l="1"/>
  <c r="F73" i="96"/>
  <c r="B73" i="96"/>
  <c r="E73" i="96"/>
  <c r="G73" i="96"/>
  <c r="C72" i="96"/>
  <c r="D72" i="96"/>
  <c r="F73" i="95"/>
  <c r="E73" i="95"/>
  <c r="A74" i="95"/>
  <c r="B73" i="95"/>
  <c r="G73" i="95"/>
  <c r="C72" i="95"/>
  <c r="D72" i="95"/>
  <c r="F68" i="121"/>
  <c r="A69" i="121"/>
  <c r="E68" i="121"/>
  <c r="G68" i="121"/>
  <c r="B68" i="121"/>
  <c r="D67" i="121"/>
  <c r="C67" i="121"/>
  <c r="D77" i="120"/>
  <c r="C77" i="120"/>
  <c r="A79" i="120"/>
  <c r="E78" i="120"/>
  <c r="F78" i="120"/>
  <c r="G78" i="120"/>
  <c r="B78" i="120"/>
  <c r="B74" i="99"/>
  <c r="G74" i="99"/>
  <c r="F74" i="99"/>
  <c r="E74" i="99"/>
  <c r="A75" i="99"/>
  <c r="D73" i="99"/>
  <c r="C73" i="99"/>
  <c r="D74" i="98"/>
  <c r="C74" i="98"/>
  <c r="A76" i="97"/>
  <c r="G75" i="97"/>
  <c r="B75" i="97"/>
  <c r="F75" i="97"/>
  <c r="E75" i="97"/>
  <c r="A76" i="98"/>
  <c r="E75" i="98"/>
  <c r="B75" i="98"/>
  <c r="G75" i="98"/>
  <c r="F75" i="98"/>
  <c r="D74" i="97"/>
  <c r="C74" i="97"/>
  <c r="C69" i="103"/>
  <c r="D69" i="103"/>
  <c r="C72" i="100"/>
  <c r="D72" i="100"/>
  <c r="C70" i="102"/>
  <c r="D70" i="102"/>
  <c r="F69" i="104"/>
  <c r="B69" i="104"/>
  <c r="A70" i="104"/>
  <c r="G69" i="104"/>
  <c r="E69" i="104"/>
  <c r="E70" i="103"/>
  <c r="G70" i="103"/>
  <c r="A71" i="103"/>
  <c r="F70" i="103"/>
  <c r="B70" i="103"/>
  <c r="F71" i="102"/>
  <c r="E71" i="102"/>
  <c r="G71" i="102"/>
  <c r="B71" i="102"/>
  <c r="A72" i="102"/>
  <c r="D71" i="101"/>
  <c r="C71" i="101"/>
  <c r="F72" i="101"/>
  <c r="E72" i="101"/>
  <c r="B72" i="101"/>
  <c r="G72" i="101"/>
  <c r="A73" i="101"/>
  <c r="C73" i="88"/>
  <c r="D73" i="88"/>
  <c r="C68" i="104"/>
  <c r="D68" i="104"/>
  <c r="A74" i="100"/>
  <c r="E73" i="100"/>
  <c r="B73" i="100"/>
  <c r="G73" i="100"/>
  <c r="F73" i="100"/>
  <c r="B74" i="88"/>
  <c r="A75" i="88"/>
  <c r="F74" i="88"/>
  <c r="E74" i="88"/>
  <c r="G74" i="88"/>
  <c r="D73" i="96" l="1"/>
  <c r="C73" i="96"/>
  <c r="G74" i="96"/>
  <c r="A75" i="96"/>
  <c r="E74" i="96"/>
  <c r="B74" i="96"/>
  <c r="F74" i="96"/>
  <c r="C73" i="95"/>
  <c r="D73" i="95"/>
  <c r="G74" i="95"/>
  <c r="A75" i="95"/>
  <c r="E74" i="95"/>
  <c r="B74" i="95"/>
  <c r="F74" i="95"/>
  <c r="D68" i="121"/>
  <c r="C68" i="121"/>
  <c r="B69" i="121"/>
  <c r="G69" i="121"/>
  <c r="A70" i="121"/>
  <c r="E69" i="121"/>
  <c r="F69" i="121"/>
  <c r="C78" i="120"/>
  <c r="D78" i="120"/>
  <c r="A80" i="120"/>
  <c r="E79" i="120"/>
  <c r="B79" i="120"/>
  <c r="G79" i="120"/>
  <c r="F79" i="120"/>
  <c r="E75" i="99"/>
  <c r="F75" i="99"/>
  <c r="B75" i="99"/>
  <c r="A76" i="99"/>
  <c r="G75" i="99"/>
  <c r="D74" i="99"/>
  <c r="C74" i="99"/>
  <c r="G76" i="97"/>
  <c r="B76" i="97"/>
  <c r="F76" i="97"/>
  <c r="A77" i="97"/>
  <c r="E76" i="97"/>
  <c r="D75" i="98"/>
  <c r="C75" i="98"/>
  <c r="B76" i="98"/>
  <c r="F76" i="98"/>
  <c r="A77" i="98"/>
  <c r="E76" i="98"/>
  <c r="G76" i="98"/>
  <c r="D75" i="97"/>
  <c r="C75" i="97"/>
  <c r="C70" i="103"/>
  <c r="D70" i="103"/>
  <c r="C69" i="104"/>
  <c r="D69" i="104"/>
  <c r="E75" i="88"/>
  <c r="F75" i="88"/>
  <c r="A76" i="88"/>
  <c r="B75" i="88"/>
  <c r="G75" i="88"/>
  <c r="D74" i="88"/>
  <c r="C74" i="88"/>
  <c r="E71" i="103"/>
  <c r="A72" i="103"/>
  <c r="G71" i="103"/>
  <c r="F71" i="103"/>
  <c r="B71" i="103"/>
  <c r="E72" i="102"/>
  <c r="A73" i="102"/>
  <c r="B72" i="102"/>
  <c r="G72" i="102"/>
  <c r="F72" i="102"/>
  <c r="F73" i="101"/>
  <c r="B73" i="101"/>
  <c r="E73" i="101"/>
  <c r="A74" i="101"/>
  <c r="G73" i="101"/>
  <c r="C71" i="102"/>
  <c r="D71" i="102"/>
  <c r="D73" i="100"/>
  <c r="C73" i="100"/>
  <c r="D72" i="101"/>
  <c r="C72" i="101"/>
  <c r="F74" i="100"/>
  <c r="B74" i="100"/>
  <c r="A75" i="100"/>
  <c r="E74" i="100"/>
  <c r="G74" i="100"/>
  <c r="F70" i="104"/>
  <c r="A71" i="104"/>
  <c r="G70" i="104"/>
  <c r="B70" i="104"/>
  <c r="E70" i="104"/>
  <c r="C74" i="96" l="1"/>
  <c r="D74" i="96"/>
  <c r="G75" i="96"/>
  <c r="E75" i="96"/>
  <c r="F75" i="96"/>
  <c r="A76" i="96"/>
  <c r="B75" i="96"/>
  <c r="D74" i="95"/>
  <c r="C74" i="95"/>
  <c r="F75" i="95"/>
  <c r="B75" i="95"/>
  <c r="G75" i="95"/>
  <c r="A76" i="95"/>
  <c r="E75" i="95"/>
  <c r="F70" i="121"/>
  <c r="A71" i="121"/>
  <c r="E70" i="121"/>
  <c r="G70" i="121"/>
  <c r="B70" i="121"/>
  <c r="C69" i="121"/>
  <c r="D69" i="121"/>
  <c r="D79" i="120"/>
  <c r="C79" i="120"/>
  <c r="A81" i="120"/>
  <c r="E80" i="120"/>
  <c r="G80" i="120"/>
  <c r="F80" i="120"/>
  <c r="B80" i="120"/>
  <c r="A77" i="99"/>
  <c r="B76" i="99"/>
  <c r="E76" i="99"/>
  <c r="G76" i="99"/>
  <c r="F76" i="99"/>
  <c r="D75" i="99"/>
  <c r="C75" i="99"/>
  <c r="D76" i="98"/>
  <c r="C76" i="98"/>
  <c r="E77" i="97"/>
  <c r="G77" i="97"/>
  <c r="A78" i="97"/>
  <c r="B77" i="97"/>
  <c r="F77" i="97"/>
  <c r="G77" i="98"/>
  <c r="A78" i="98"/>
  <c r="B77" i="98"/>
  <c r="E77" i="98"/>
  <c r="F77" i="98"/>
  <c r="C76" i="97"/>
  <c r="D76" i="97"/>
  <c r="D71" i="103"/>
  <c r="C71" i="103"/>
  <c r="C75" i="88"/>
  <c r="D75" i="88"/>
  <c r="F71" i="104"/>
  <c r="B71" i="104"/>
  <c r="G71" i="104"/>
  <c r="A72" i="104"/>
  <c r="E71" i="104"/>
  <c r="D73" i="101"/>
  <c r="C73" i="101"/>
  <c r="A77" i="88"/>
  <c r="B76" i="88"/>
  <c r="F76" i="88"/>
  <c r="E76" i="88"/>
  <c r="G76" i="88"/>
  <c r="E72" i="103"/>
  <c r="B72" i="103"/>
  <c r="F72" i="103"/>
  <c r="A73" i="103"/>
  <c r="G72" i="103"/>
  <c r="A76" i="100"/>
  <c r="B75" i="100"/>
  <c r="G75" i="100"/>
  <c r="F75" i="100"/>
  <c r="E75" i="100"/>
  <c r="C72" i="102"/>
  <c r="D72" i="102"/>
  <c r="D74" i="100"/>
  <c r="C74" i="100"/>
  <c r="B73" i="102"/>
  <c r="A74" i="102"/>
  <c r="F73" i="102"/>
  <c r="E73" i="102"/>
  <c r="G73" i="102"/>
  <c r="C70" i="104"/>
  <c r="D70" i="104"/>
  <c r="A75" i="101"/>
  <c r="B74" i="101"/>
  <c r="F74" i="101"/>
  <c r="E74" i="101"/>
  <c r="G74" i="101"/>
  <c r="C75" i="96" l="1"/>
  <c r="D75" i="96"/>
  <c r="F76" i="96"/>
  <c r="G76" i="96"/>
  <c r="E76" i="96"/>
  <c r="B76" i="96"/>
  <c r="A77" i="96"/>
  <c r="B76" i="95"/>
  <c r="F76" i="95"/>
  <c r="A77" i="95"/>
  <c r="E76" i="95"/>
  <c r="G76" i="95"/>
  <c r="C75" i="95"/>
  <c r="D75" i="95"/>
  <c r="C70" i="121"/>
  <c r="D70" i="121"/>
  <c r="B71" i="121"/>
  <c r="E71" i="121"/>
  <c r="A72" i="121"/>
  <c r="G71" i="121"/>
  <c r="F71" i="121"/>
  <c r="C80" i="120"/>
  <c r="D80" i="120"/>
  <c r="A82" i="120"/>
  <c r="E81" i="120"/>
  <c r="G81" i="120"/>
  <c r="F81" i="120"/>
  <c r="B81" i="120"/>
  <c r="C76" i="99"/>
  <c r="D76" i="99"/>
  <c r="A78" i="99"/>
  <c r="G77" i="99"/>
  <c r="F77" i="99"/>
  <c r="E77" i="99"/>
  <c r="B77" i="99"/>
  <c r="D77" i="98"/>
  <c r="C77" i="98"/>
  <c r="A79" i="98"/>
  <c r="E78" i="98"/>
  <c r="G78" i="98"/>
  <c r="F78" i="98"/>
  <c r="B78" i="98"/>
  <c r="D77" i="97"/>
  <c r="C77" i="97"/>
  <c r="B78" i="97"/>
  <c r="F78" i="97"/>
  <c r="E78" i="97"/>
  <c r="A79" i="97"/>
  <c r="G78" i="97"/>
  <c r="A75" i="102"/>
  <c r="G74" i="102"/>
  <c r="F74" i="102"/>
  <c r="B74" i="102"/>
  <c r="E74" i="102"/>
  <c r="G72" i="104"/>
  <c r="A73" i="104"/>
  <c r="E72" i="104"/>
  <c r="F72" i="104"/>
  <c r="B72" i="104"/>
  <c r="D74" i="101"/>
  <c r="C74" i="101"/>
  <c r="D73" i="102"/>
  <c r="C73" i="102"/>
  <c r="C75" i="100"/>
  <c r="D75" i="100"/>
  <c r="G75" i="101"/>
  <c r="F75" i="101"/>
  <c r="B75" i="101"/>
  <c r="E75" i="101"/>
  <c r="A76" i="101"/>
  <c r="F76" i="100"/>
  <c r="A77" i="100"/>
  <c r="B76" i="100"/>
  <c r="G76" i="100"/>
  <c r="E76" i="100"/>
  <c r="D71" i="104"/>
  <c r="C71" i="104"/>
  <c r="C76" i="88"/>
  <c r="D76" i="88"/>
  <c r="A74" i="103"/>
  <c r="B73" i="103"/>
  <c r="E73" i="103"/>
  <c r="F73" i="103"/>
  <c r="G73" i="103"/>
  <c r="G77" i="88"/>
  <c r="E77" i="88"/>
  <c r="F77" i="88"/>
  <c r="A78" i="88"/>
  <c r="B77" i="88"/>
  <c r="D72" i="103"/>
  <c r="C72" i="103"/>
  <c r="F77" i="96" l="1"/>
  <c r="E77" i="96"/>
  <c r="B77" i="96"/>
  <c r="A78" i="96"/>
  <c r="G77" i="96"/>
  <c r="C76" i="96"/>
  <c r="D76" i="96"/>
  <c r="A78" i="95"/>
  <c r="E77" i="95"/>
  <c r="G77" i="95"/>
  <c r="F77" i="95"/>
  <c r="B77" i="95"/>
  <c r="D76" i="95"/>
  <c r="C76" i="95"/>
  <c r="F72" i="121"/>
  <c r="A73" i="121"/>
  <c r="E72" i="121"/>
  <c r="G72" i="121"/>
  <c r="B72" i="121"/>
  <c r="D71" i="121"/>
  <c r="C71" i="121"/>
  <c r="D81" i="120"/>
  <c r="C81" i="120"/>
  <c r="A83" i="120"/>
  <c r="E82" i="120"/>
  <c r="F82" i="120"/>
  <c r="G82" i="120"/>
  <c r="B82" i="120"/>
  <c r="D77" i="99"/>
  <c r="C77" i="99"/>
  <c r="E78" i="99"/>
  <c r="B78" i="99"/>
  <c r="F78" i="99"/>
  <c r="G78" i="99"/>
  <c r="A79" i="99"/>
  <c r="A80" i="98"/>
  <c r="G79" i="98"/>
  <c r="B79" i="98"/>
  <c r="E79" i="98"/>
  <c r="F79" i="98"/>
  <c r="D78" i="97"/>
  <c r="C78" i="97"/>
  <c r="C78" i="98"/>
  <c r="D78" i="98"/>
  <c r="F79" i="97"/>
  <c r="B79" i="97"/>
  <c r="G79" i="97"/>
  <c r="A80" i="97"/>
  <c r="E79" i="97"/>
  <c r="C77" i="88"/>
  <c r="D77" i="88"/>
  <c r="C73" i="103"/>
  <c r="D73" i="103"/>
  <c r="D76" i="100"/>
  <c r="C76" i="100"/>
  <c r="B78" i="88"/>
  <c r="E78" i="88"/>
  <c r="F78" i="88"/>
  <c r="A79" i="88"/>
  <c r="G78" i="88"/>
  <c r="B74" i="103"/>
  <c r="E74" i="103"/>
  <c r="A75" i="103"/>
  <c r="G74" i="103"/>
  <c r="F74" i="103"/>
  <c r="A78" i="100"/>
  <c r="E77" i="100"/>
  <c r="B77" i="100"/>
  <c r="G77" i="100"/>
  <c r="F77" i="100"/>
  <c r="B73" i="104"/>
  <c r="G73" i="104"/>
  <c r="E73" i="104"/>
  <c r="F73" i="104"/>
  <c r="A74" i="104"/>
  <c r="G76" i="101"/>
  <c r="B76" i="101"/>
  <c r="F76" i="101"/>
  <c r="E76" i="101"/>
  <c r="A77" i="101"/>
  <c r="C74" i="102"/>
  <c r="D74" i="102"/>
  <c r="D75" i="101"/>
  <c r="C75" i="101"/>
  <c r="D72" i="104"/>
  <c r="C72" i="104"/>
  <c r="B75" i="102"/>
  <c r="E75" i="102"/>
  <c r="F75" i="102"/>
  <c r="G75" i="102"/>
  <c r="A76" i="102"/>
  <c r="F78" i="96" l="1"/>
  <c r="A79" i="96"/>
  <c r="B78" i="96"/>
  <c r="E78" i="96"/>
  <c r="G78" i="96"/>
  <c r="C77" i="96"/>
  <c r="D77" i="96"/>
  <c r="C77" i="95"/>
  <c r="D77" i="95"/>
  <c r="G78" i="95"/>
  <c r="E78" i="95"/>
  <c r="A79" i="95"/>
  <c r="F78" i="95"/>
  <c r="B78" i="95"/>
  <c r="D72" i="121"/>
  <c r="C72" i="121"/>
  <c r="B73" i="121"/>
  <c r="A74" i="121"/>
  <c r="G73" i="121"/>
  <c r="E73" i="121"/>
  <c r="F73" i="121"/>
  <c r="D82" i="120"/>
  <c r="C82" i="120"/>
  <c r="A84" i="120"/>
  <c r="E83" i="120"/>
  <c r="G83" i="120"/>
  <c r="B83" i="120"/>
  <c r="F83" i="120"/>
  <c r="B79" i="99"/>
  <c r="G79" i="99"/>
  <c r="F79" i="99"/>
  <c r="E79" i="99"/>
  <c r="A80" i="99"/>
  <c r="D78" i="99"/>
  <c r="C78" i="99"/>
  <c r="C79" i="97"/>
  <c r="D79" i="97"/>
  <c r="E80" i="98"/>
  <c r="A81" i="98"/>
  <c r="B80" i="98"/>
  <c r="G80" i="98"/>
  <c r="F80" i="98"/>
  <c r="D79" i="98"/>
  <c r="C79" i="98"/>
  <c r="A81" i="97"/>
  <c r="E80" i="97"/>
  <c r="G80" i="97"/>
  <c r="F80" i="97"/>
  <c r="B80" i="97"/>
  <c r="E77" i="101"/>
  <c r="A78" i="101"/>
  <c r="G77" i="101"/>
  <c r="F77" i="101"/>
  <c r="B77" i="101"/>
  <c r="D78" i="88"/>
  <c r="C78" i="88"/>
  <c r="C75" i="102"/>
  <c r="D75" i="102"/>
  <c r="C73" i="104"/>
  <c r="D73" i="104"/>
  <c r="B75" i="103"/>
  <c r="A76" i="103"/>
  <c r="G75" i="103"/>
  <c r="E75" i="103"/>
  <c r="F75" i="103"/>
  <c r="C76" i="101"/>
  <c r="D76" i="101"/>
  <c r="D74" i="103"/>
  <c r="C74" i="103"/>
  <c r="D77" i="100"/>
  <c r="C77" i="100"/>
  <c r="B76" i="102"/>
  <c r="G76" i="102"/>
  <c r="E76" i="102"/>
  <c r="A77" i="102"/>
  <c r="F76" i="102"/>
  <c r="B74" i="104"/>
  <c r="G74" i="104"/>
  <c r="E74" i="104"/>
  <c r="A75" i="104"/>
  <c r="F74" i="104"/>
  <c r="F79" i="88"/>
  <c r="E79" i="88"/>
  <c r="B79" i="88"/>
  <c r="G79" i="88"/>
  <c r="A80" i="88"/>
  <c r="B78" i="100"/>
  <c r="A79" i="100"/>
  <c r="G78" i="100"/>
  <c r="F78" i="100"/>
  <c r="E78" i="100"/>
  <c r="E79" i="96" l="1"/>
  <c r="B79" i="96"/>
  <c r="G79" i="96"/>
  <c r="F79" i="96"/>
  <c r="A80" i="96"/>
  <c r="D78" i="96"/>
  <c r="C78" i="96"/>
  <c r="C78" i="95"/>
  <c r="D78" i="95"/>
  <c r="G79" i="95"/>
  <c r="F79" i="95"/>
  <c r="B79" i="95"/>
  <c r="E79" i="95"/>
  <c r="A80" i="95"/>
  <c r="F74" i="121"/>
  <c r="A75" i="121"/>
  <c r="E74" i="121"/>
  <c r="G74" i="121"/>
  <c r="B74" i="121"/>
  <c r="D73" i="121"/>
  <c r="C73" i="121"/>
  <c r="D83" i="120"/>
  <c r="C83" i="120"/>
  <c r="A85" i="120"/>
  <c r="E84" i="120"/>
  <c r="F84" i="120"/>
  <c r="B84" i="120"/>
  <c r="G84" i="120"/>
  <c r="B80" i="99"/>
  <c r="A81" i="99"/>
  <c r="F80" i="99"/>
  <c r="G80" i="99"/>
  <c r="E80" i="99"/>
  <c r="C79" i="99"/>
  <c r="D79" i="99"/>
  <c r="B81" i="97"/>
  <c r="F81" i="97"/>
  <c r="A82" i="97"/>
  <c r="E81" i="97"/>
  <c r="G81" i="97"/>
  <c r="C80" i="98"/>
  <c r="D80" i="98"/>
  <c r="B81" i="98"/>
  <c r="F81" i="98"/>
  <c r="A82" i="98"/>
  <c r="E81" i="98"/>
  <c r="G81" i="98"/>
  <c r="C80" i="97"/>
  <c r="D80" i="97"/>
  <c r="A80" i="100"/>
  <c r="F79" i="100"/>
  <c r="B79" i="100"/>
  <c r="G79" i="100"/>
  <c r="E79" i="100"/>
  <c r="E75" i="104"/>
  <c r="F75" i="104"/>
  <c r="G75" i="104"/>
  <c r="A76" i="104"/>
  <c r="B75" i="104"/>
  <c r="C76" i="102"/>
  <c r="D76" i="102"/>
  <c r="C78" i="100"/>
  <c r="D78" i="100"/>
  <c r="G80" i="88"/>
  <c r="A81" i="88"/>
  <c r="E80" i="88"/>
  <c r="F80" i="88"/>
  <c r="B80" i="88"/>
  <c r="B76" i="103"/>
  <c r="A77" i="103"/>
  <c r="E76" i="103"/>
  <c r="F76" i="103"/>
  <c r="G76" i="103"/>
  <c r="C77" i="101"/>
  <c r="D77" i="101"/>
  <c r="C74" i="104"/>
  <c r="D74" i="104"/>
  <c r="C75" i="103"/>
  <c r="D75" i="103"/>
  <c r="C79" i="88"/>
  <c r="D79" i="88"/>
  <c r="A78" i="102"/>
  <c r="E77" i="102"/>
  <c r="G77" i="102"/>
  <c r="F77" i="102"/>
  <c r="B77" i="102"/>
  <c r="B78" i="101"/>
  <c r="F78" i="101"/>
  <c r="A79" i="101"/>
  <c r="E78" i="101"/>
  <c r="G78" i="101"/>
  <c r="F80" i="96" l="1"/>
  <c r="E80" i="96"/>
  <c r="G80" i="96"/>
  <c r="B80" i="96"/>
  <c r="A81" i="96"/>
  <c r="C79" i="96"/>
  <c r="D79" i="96"/>
  <c r="E80" i="95"/>
  <c r="A81" i="95"/>
  <c r="B80" i="95"/>
  <c r="F80" i="95"/>
  <c r="G80" i="95"/>
  <c r="D79" i="95"/>
  <c r="C79" i="95"/>
  <c r="D74" i="121"/>
  <c r="C74" i="121"/>
  <c r="B75" i="121"/>
  <c r="G75" i="121"/>
  <c r="A76" i="121"/>
  <c r="E75" i="121"/>
  <c r="F75" i="121"/>
  <c r="C84" i="120"/>
  <c r="D84" i="120"/>
  <c r="A86" i="120"/>
  <c r="E85" i="120"/>
  <c r="B85" i="120"/>
  <c r="G85" i="120"/>
  <c r="F85" i="120"/>
  <c r="G81" i="99"/>
  <c r="B81" i="99"/>
  <c r="F81" i="99"/>
  <c r="A82" i="99"/>
  <c r="E81" i="99"/>
  <c r="C80" i="99"/>
  <c r="D80" i="99"/>
  <c r="G82" i="98"/>
  <c r="B82" i="98"/>
  <c r="E82" i="98"/>
  <c r="A83" i="98"/>
  <c r="F82" i="98"/>
  <c r="C81" i="98"/>
  <c r="D81" i="98"/>
  <c r="G82" i="97"/>
  <c r="F82" i="97"/>
  <c r="B82" i="97"/>
  <c r="E82" i="97"/>
  <c r="A83" i="97"/>
  <c r="C81" i="97"/>
  <c r="D81" i="97"/>
  <c r="E79" i="101"/>
  <c r="G79" i="101"/>
  <c r="A80" i="101"/>
  <c r="F79" i="101"/>
  <c r="B79" i="101"/>
  <c r="E81" i="88"/>
  <c r="B81" i="88"/>
  <c r="F81" i="88"/>
  <c r="A82" i="88"/>
  <c r="G81" i="88"/>
  <c r="D78" i="101"/>
  <c r="C78" i="101"/>
  <c r="D77" i="102"/>
  <c r="C77" i="102"/>
  <c r="A78" i="103"/>
  <c r="E77" i="103"/>
  <c r="B77" i="103"/>
  <c r="F77" i="103"/>
  <c r="G77" i="103"/>
  <c r="C76" i="103"/>
  <c r="D76" i="103"/>
  <c r="C80" i="88"/>
  <c r="D80" i="88"/>
  <c r="D79" i="100"/>
  <c r="C79" i="100"/>
  <c r="C75" i="104"/>
  <c r="D75" i="104"/>
  <c r="B78" i="102"/>
  <c r="G78" i="102"/>
  <c r="A79" i="102"/>
  <c r="E78" i="102"/>
  <c r="F78" i="102"/>
  <c r="B76" i="104"/>
  <c r="G76" i="104"/>
  <c r="F76" i="104"/>
  <c r="E76" i="104"/>
  <c r="A77" i="104"/>
  <c r="B80" i="100"/>
  <c r="G80" i="100"/>
  <c r="A81" i="100"/>
  <c r="E80" i="100"/>
  <c r="F80" i="100"/>
  <c r="B81" i="96" l="1"/>
  <c r="G81" i="96"/>
  <c r="E81" i="96"/>
  <c r="F81" i="96"/>
  <c r="A82" i="96"/>
  <c r="C80" i="96"/>
  <c r="D80" i="96"/>
  <c r="D80" i="95"/>
  <c r="C80" i="95"/>
  <c r="G81" i="95"/>
  <c r="F81" i="95"/>
  <c r="B81" i="95"/>
  <c r="A82" i="95"/>
  <c r="E81" i="95"/>
  <c r="F76" i="121"/>
  <c r="A77" i="121"/>
  <c r="E76" i="121"/>
  <c r="G76" i="121"/>
  <c r="B76" i="121"/>
  <c r="D75" i="121"/>
  <c r="C75" i="121"/>
  <c r="D85" i="120"/>
  <c r="C85" i="120"/>
  <c r="A87" i="120"/>
  <c r="E86" i="120"/>
  <c r="F86" i="120"/>
  <c r="G86" i="120"/>
  <c r="B86" i="120"/>
  <c r="B82" i="99"/>
  <c r="F82" i="99"/>
  <c r="E82" i="99"/>
  <c r="G82" i="99"/>
  <c r="A83" i="99"/>
  <c r="D81" i="99"/>
  <c r="C81" i="99"/>
  <c r="A84" i="97"/>
  <c r="F83" i="97"/>
  <c r="B83" i="97"/>
  <c r="E83" i="97"/>
  <c r="G83" i="97"/>
  <c r="E83" i="98"/>
  <c r="F83" i="98"/>
  <c r="B83" i="98"/>
  <c r="G83" i="98"/>
  <c r="A84" i="98"/>
  <c r="D82" i="97"/>
  <c r="C82" i="97"/>
  <c r="D82" i="98"/>
  <c r="C82" i="98"/>
  <c r="E81" i="100"/>
  <c r="B81" i="100"/>
  <c r="G81" i="100"/>
  <c r="A82" i="100"/>
  <c r="F81" i="100"/>
  <c r="G78" i="103"/>
  <c r="A79" i="103"/>
  <c r="B78" i="103"/>
  <c r="E78" i="103"/>
  <c r="F78" i="103"/>
  <c r="D81" i="88"/>
  <c r="C81" i="88"/>
  <c r="D80" i="100"/>
  <c r="C80" i="100"/>
  <c r="A80" i="102"/>
  <c r="G79" i="102"/>
  <c r="E79" i="102"/>
  <c r="F79" i="102"/>
  <c r="B79" i="102"/>
  <c r="A78" i="104"/>
  <c r="F77" i="104"/>
  <c r="E77" i="104"/>
  <c r="G77" i="104"/>
  <c r="B77" i="104"/>
  <c r="C79" i="101"/>
  <c r="D79" i="101"/>
  <c r="C78" i="102"/>
  <c r="D78" i="102"/>
  <c r="G80" i="101"/>
  <c r="F80" i="101"/>
  <c r="E80" i="101"/>
  <c r="A81" i="101"/>
  <c r="B80" i="101"/>
  <c r="D76" i="104"/>
  <c r="C76" i="104"/>
  <c r="C77" i="103"/>
  <c r="D77" i="103"/>
  <c r="E82" i="88"/>
  <c r="B82" i="88"/>
  <c r="G82" i="88"/>
  <c r="A83" i="88"/>
  <c r="F82" i="88"/>
  <c r="E82" i="96" l="1"/>
  <c r="A83" i="96"/>
  <c r="G82" i="96"/>
  <c r="F82" i="96"/>
  <c r="B82" i="96"/>
  <c r="C81" i="96"/>
  <c r="D81" i="96"/>
  <c r="A83" i="95"/>
  <c r="B82" i="95"/>
  <c r="E82" i="95"/>
  <c r="F82" i="95"/>
  <c r="G82" i="95"/>
  <c r="D81" i="95"/>
  <c r="C81" i="95"/>
  <c r="D76" i="121"/>
  <c r="C76" i="121"/>
  <c r="B77" i="121"/>
  <c r="A78" i="121"/>
  <c r="G77" i="121"/>
  <c r="E77" i="121"/>
  <c r="F77" i="121"/>
  <c r="C86" i="120"/>
  <c r="D86" i="120"/>
  <c r="A88" i="120"/>
  <c r="E87" i="120"/>
  <c r="B87" i="120"/>
  <c r="G87" i="120"/>
  <c r="F87" i="120"/>
  <c r="F83" i="99"/>
  <c r="B83" i="99"/>
  <c r="A84" i="99"/>
  <c r="E83" i="99"/>
  <c r="G83" i="99"/>
  <c r="C82" i="99"/>
  <c r="D82" i="99"/>
  <c r="B84" i="97"/>
  <c r="A85" i="97"/>
  <c r="E84" i="97"/>
  <c r="F84" i="97"/>
  <c r="G84" i="97"/>
  <c r="C83" i="98"/>
  <c r="D83" i="98"/>
  <c r="C83" i="97"/>
  <c r="D83" i="97"/>
  <c r="F84" i="98"/>
  <c r="E84" i="98"/>
  <c r="G84" i="98"/>
  <c r="B84" i="98"/>
  <c r="A85" i="98"/>
  <c r="A82" i="101"/>
  <c r="F81" i="101"/>
  <c r="B81" i="101"/>
  <c r="E81" i="101"/>
  <c r="G81" i="101"/>
  <c r="C77" i="104"/>
  <c r="D77" i="104"/>
  <c r="D78" i="103"/>
  <c r="C78" i="103"/>
  <c r="A81" i="102"/>
  <c r="E80" i="102"/>
  <c r="F80" i="102"/>
  <c r="B80" i="102"/>
  <c r="G80" i="102"/>
  <c r="B79" i="103"/>
  <c r="A80" i="103"/>
  <c r="F79" i="103"/>
  <c r="G79" i="103"/>
  <c r="E79" i="103"/>
  <c r="D82" i="88"/>
  <c r="C82" i="88"/>
  <c r="E78" i="104"/>
  <c r="G78" i="104"/>
  <c r="F78" i="104"/>
  <c r="A79" i="104"/>
  <c r="B78" i="104"/>
  <c r="E82" i="100"/>
  <c r="B82" i="100"/>
  <c r="G82" i="100"/>
  <c r="A83" i="100"/>
  <c r="F82" i="100"/>
  <c r="D79" i="102"/>
  <c r="C79" i="102"/>
  <c r="C81" i="100"/>
  <c r="D81" i="100"/>
  <c r="A84" i="88"/>
  <c r="G83" i="88"/>
  <c r="E83" i="88"/>
  <c r="B83" i="88"/>
  <c r="F83" i="88"/>
  <c r="C80" i="101"/>
  <c r="D80" i="101"/>
  <c r="D82" i="96" l="1"/>
  <c r="C82" i="96"/>
  <c r="B83" i="96"/>
  <c r="G83" i="96"/>
  <c r="F83" i="96"/>
  <c r="E83" i="96"/>
  <c r="A84" i="96"/>
  <c r="C82" i="95"/>
  <c r="D82" i="95"/>
  <c r="G83" i="95"/>
  <c r="F83" i="95"/>
  <c r="E83" i="95"/>
  <c r="A84" i="95"/>
  <c r="B83" i="95"/>
  <c r="F78" i="121"/>
  <c r="A79" i="121"/>
  <c r="E78" i="121"/>
  <c r="G78" i="121"/>
  <c r="B78" i="121"/>
  <c r="D77" i="121"/>
  <c r="C77" i="121"/>
  <c r="D87" i="120"/>
  <c r="C87" i="120"/>
  <c r="A89" i="120"/>
  <c r="E88" i="120"/>
  <c r="G88" i="120"/>
  <c r="F88" i="120"/>
  <c r="B88" i="120"/>
  <c r="F84" i="99"/>
  <c r="G84" i="99"/>
  <c r="E84" i="99"/>
  <c r="A85" i="99"/>
  <c r="B84" i="99"/>
  <c r="D83" i="99"/>
  <c r="C83" i="99"/>
  <c r="B85" i="98"/>
  <c r="A86" i="98"/>
  <c r="G85" i="98"/>
  <c r="F85" i="98"/>
  <c r="E85" i="98"/>
  <c r="C84" i="98"/>
  <c r="D84" i="98"/>
  <c r="F85" i="97"/>
  <c r="E85" i="97"/>
  <c r="G85" i="97"/>
  <c r="B85" i="97"/>
  <c r="A86" i="97"/>
  <c r="D84" i="97"/>
  <c r="C84" i="97"/>
  <c r="A81" i="103"/>
  <c r="B80" i="103"/>
  <c r="E80" i="103"/>
  <c r="F80" i="103"/>
  <c r="G80" i="103"/>
  <c r="C83" i="88"/>
  <c r="D83" i="88"/>
  <c r="C79" i="103"/>
  <c r="D79" i="103"/>
  <c r="G83" i="100"/>
  <c r="A84" i="100"/>
  <c r="E83" i="100"/>
  <c r="B83" i="100"/>
  <c r="F83" i="100"/>
  <c r="C80" i="102"/>
  <c r="D80" i="102"/>
  <c r="A85" i="88"/>
  <c r="F84" i="88"/>
  <c r="E84" i="88"/>
  <c r="G84" i="88"/>
  <c r="B84" i="88"/>
  <c r="C82" i="100"/>
  <c r="D82" i="100"/>
  <c r="D81" i="101"/>
  <c r="C81" i="101"/>
  <c r="D78" i="104"/>
  <c r="C78" i="104"/>
  <c r="E81" i="102"/>
  <c r="F81" i="102"/>
  <c r="B81" i="102"/>
  <c r="G81" i="102"/>
  <c r="A82" i="102"/>
  <c r="E79" i="104"/>
  <c r="G79" i="104"/>
  <c r="B79" i="104"/>
  <c r="F79" i="104"/>
  <c r="A80" i="104"/>
  <c r="E82" i="101"/>
  <c r="B82" i="101"/>
  <c r="A83" i="101"/>
  <c r="G82" i="101"/>
  <c r="F82" i="101"/>
  <c r="B84" i="96" l="1"/>
  <c r="E84" i="96"/>
  <c r="F84" i="96"/>
  <c r="A85" i="96"/>
  <c r="G84" i="96"/>
  <c r="D83" i="96"/>
  <c r="C83" i="96"/>
  <c r="D83" i="95"/>
  <c r="C83" i="95"/>
  <c r="E84" i="95"/>
  <c r="B84" i="95"/>
  <c r="A85" i="95"/>
  <c r="G84" i="95"/>
  <c r="F84" i="95"/>
  <c r="C78" i="121"/>
  <c r="D78" i="121"/>
  <c r="B79" i="121"/>
  <c r="A80" i="121"/>
  <c r="E79" i="121"/>
  <c r="G79" i="121"/>
  <c r="F79" i="121"/>
  <c r="C88" i="120"/>
  <c r="D88" i="120"/>
  <c r="A90" i="120"/>
  <c r="E89" i="120"/>
  <c r="G89" i="120"/>
  <c r="F89" i="120"/>
  <c r="B89" i="120"/>
  <c r="C84" i="99"/>
  <c r="D84" i="99"/>
  <c r="G85" i="99"/>
  <c r="A86" i="99"/>
  <c r="B85" i="99"/>
  <c r="E85" i="99"/>
  <c r="F85" i="99"/>
  <c r="C85" i="97"/>
  <c r="D85" i="97"/>
  <c r="A87" i="98"/>
  <c r="E86" i="98"/>
  <c r="G86" i="98"/>
  <c r="F86" i="98"/>
  <c r="B86" i="98"/>
  <c r="C85" i="98"/>
  <c r="D85" i="98"/>
  <c r="F86" i="97"/>
  <c r="B86" i="97"/>
  <c r="G86" i="97"/>
  <c r="E86" i="97"/>
  <c r="A87" i="97"/>
  <c r="G83" i="101"/>
  <c r="E83" i="101"/>
  <c r="A84" i="101"/>
  <c r="F83" i="101"/>
  <c r="B83" i="101"/>
  <c r="A83" i="102"/>
  <c r="B82" i="102"/>
  <c r="G82" i="102"/>
  <c r="E82" i="102"/>
  <c r="F82" i="102"/>
  <c r="C82" i="101"/>
  <c r="D82" i="101"/>
  <c r="C81" i="102"/>
  <c r="D81" i="102"/>
  <c r="F80" i="104"/>
  <c r="B80" i="104"/>
  <c r="G80" i="104"/>
  <c r="E80" i="104"/>
  <c r="A81" i="104"/>
  <c r="C84" i="88"/>
  <c r="D84" i="88"/>
  <c r="C83" i="100"/>
  <c r="D83" i="100"/>
  <c r="D79" i="104"/>
  <c r="C79" i="104"/>
  <c r="B84" i="100"/>
  <c r="A85" i="100"/>
  <c r="E84" i="100"/>
  <c r="F84" i="100"/>
  <c r="G84" i="100"/>
  <c r="C80" i="103"/>
  <c r="D80" i="103"/>
  <c r="G85" i="88"/>
  <c r="E85" i="88"/>
  <c r="F85" i="88"/>
  <c r="A86" i="88"/>
  <c r="B85" i="88"/>
  <c r="A82" i="103"/>
  <c r="E81" i="103"/>
  <c r="F81" i="103"/>
  <c r="G81" i="103"/>
  <c r="B81" i="103"/>
  <c r="F85" i="96" l="1"/>
  <c r="E85" i="96"/>
  <c r="G85" i="96"/>
  <c r="A86" i="96"/>
  <c r="B85" i="96"/>
  <c r="D84" i="96"/>
  <c r="C84" i="96"/>
  <c r="A86" i="95"/>
  <c r="F85" i="95"/>
  <c r="B85" i="95"/>
  <c r="G85" i="95"/>
  <c r="E85" i="95"/>
  <c r="C84" i="95"/>
  <c r="D84" i="95"/>
  <c r="F80" i="121"/>
  <c r="A81" i="121"/>
  <c r="E80" i="121"/>
  <c r="G80" i="121"/>
  <c r="B80" i="121"/>
  <c r="D79" i="121"/>
  <c r="C79" i="121"/>
  <c r="D89" i="120"/>
  <c r="C89" i="120"/>
  <c r="A91" i="120"/>
  <c r="E90" i="120"/>
  <c r="F90" i="120"/>
  <c r="G90" i="120"/>
  <c r="B90" i="120"/>
  <c r="C85" i="99"/>
  <c r="D85" i="99"/>
  <c r="G86" i="99"/>
  <c r="F86" i="99"/>
  <c r="B86" i="99"/>
  <c r="E86" i="99"/>
  <c r="A87" i="99"/>
  <c r="D86" i="97"/>
  <c r="C86" i="97"/>
  <c r="C86" i="98"/>
  <c r="D86" i="98"/>
  <c r="F87" i="97"/>
  <c r="E87" i="97"/>
  <c r="G87" i="97"/>
  <c r="A88" i="97"/>
  <c r="B87" i="97"/>
  <c r="G87" i="98"/>
  <c r="A88" i="98"/>
  <c r="F87" i="98"/>
  <c r="E87" i="98"/>
  <c r="B87" i="98"/>
  <c r="C80" i="104"/>
  <c r="D80" i="104"/>
  <c r="C82" i="102"/>
  <c r="D82" i="102"/>
  <c r="F82" i="103"/>
  <c r="G82" i="103"/>
  <c r="E82" i="103"/>
  <c r="B82" i="103"/>
  <c r="A83" i="103"/>
  <c r="F83" i="102"/>
  <c r="G83" i="102"/>
  <c r="E83" i="102"/>
  <c r="B83" i="102"/>
  <c r="A84" i="102"/>
  <c r="C85" i="88"/>
  <c r="D85" i="88"/>
  <c r="C83" i="101"/>
  <c r="D83" i="101"/>
  <c r="G86" i="88"/>
  <c r="F86" i="88"/>
  <c r="A87" i="88"/>
  <c r="B86" i="88"/>
  <c r="E86" i="88"/>
  <c r="F85" i="100"/>
  <c r="G85" i="100"/>
  <c r="E85" i="100"/>
  <c r="A86" i="100"/>
  <c r="B85" i="100"/>
  <c r="F81" i="104"/>
  <c r="A82" i="104"/>
  <c r="B81" i="104"/>
  <c r="G81" i="104"/>
  <c r="E81" i="104"/>
  <c r="G84" i="101"/>
  <c r="A85" i="101"/>
  <c r="F84" i="101"/>
  <c r="B84" i="101"/>
  <c r="E84" i="101"/>
  <c r="D81" i="103"/>
  <c r="C81" i="103"/>
  <c r="D84" i="100"/>
  <c r="C84" i="100"/>
  <c r="D85" i="96" l="1"/>
  <c r="C85" i="96"/>
  <c r="E86" i="96"/>
  <c r="G86" i="96"/>
  <c r="B86" i="96"/>
  <c r="A87" i="96"/>
  <c r="F86" i="96"/>
  <c r="D85" i="95"/>
  <c r="C85" i="95"/>
  <c r="B86" i="95"/>
  <c r="E86" i="95"/>
  <c r="F86" i="95"/>
  <c r="G86" i="95"/>
  <c r="A87" i="95"/>
  <c r="D80" i="121"/>
  <c r="C80" i="121"/>
  <c r="B81" i="121"/>
  <c r="A82" i="121"/>
  <c r="G81" i="121"/>
  <c r="E81" i="121"/>
  <c r="F81" i="121"/>
  <c r="D90" i="120"/>
  <c r="C90" i="120"/>
  <c r="A92" i="120"/>
  <c r="E91" i="120"/>
  <c r="G91" i="120"/>
  <c r="B91" i="120"/>
  <c r="F91" i="120"/>
  <c r="A88" i="99"/>
  <c r="B87" i="99"/>
  <c r="G87" i="99"/>
  <c r="E87" i="99"/>
  <c r="F87" i="99"/>
  <c r="C86" i="99"/>
  <c r="D86" i="99"/>
  <c r="C87" i="97"/>
  <c r="D87" i="97"/>
  <c r="G88" i="97"/>
  <c r="B88" i="97"/>
  <c r="E88" i="97"/>
  <c r="A89" i="97"/>
  <c r="F88" i="97"/>
  <c r="F88" i="98"/>
  <c r="B88" i="98"/>
  <c r="G88" i="98"/>
  <c r="A89" i="98"/>
  <c r="E88" i="98"/>
  <c r="D87" i="98"/>
  <c r="C87" i="98"/>
  <c r="D82" i="103"/>
  <c r="C82" i="103"/>
  <c r="D81" i="104"/>
  <c r="C81" i="104"/>
  <c r="A83" i="104"/>
  <c r="G82" i="104"/>
  <c r="F82" i="104"/>
  <c r="B82" i="104"/>
  <c r="E82" i="104"/>
  <c r="C86" i="88"/>
  <c r="D86" i="88"/>
  <c r="B84" i="102"/>
  <c r="G84" i="102"/>
  <c r="E84" i="102"/>
  <c r="F84" i="102"/>
  <c r="A85" i="102"/>
  <c r="C84" i="101"/>
  <c r="D84" i="101"/>
  <c r="F87" i="88"/>
  <c r="B87" i="88"/>
  <c r="A88" i="88"/>
  <c r="E87" i="88"/>
  <c r="G87" i="88"/>
  <c r="C83" i="102"/>
  <c r="D83" i="102"/>
  <c r="D85" i="100"/>
  <c r="C85" i="100"/>
  <c r="A86" i="101"/>
  <c r="E85" i="101"/>
  <c r="G85" i="101"/>
  <c r="F85" i="101"/>
  <c r="B85" i="101"/>
  <c r="E86" i="100"/>
  <c r="F86" i="100"/>
  <c r="G86" i="100"/>
  <c r="B86" i="100"/>
  <c r="A87" i="100"/>
  <c r="F83" i="103"/>
  <c r="E83" i="103"/>
  <c r="B83" i="103"/>
  <c r="A84" i="103"/>
  <c r="G83" i="103"/>
  <c r="B87" i="96" l="1"/>
  <c r="G87" i="96"/>
  <c r="A88" i="96"/>
  <c r="E87" i="96"/>
  <c r="F87" i="96"/>
  <c r="C86" i="96"/>
  <c r="D86" i="96"/>
  <c r="B87" i="95"/>
  <c r="E87" i="95"/>
  <c r="F87" i="95"/>
  <c r="G87" i="95"/>
  <c r="A88" i="95"/>
  <c r="D86" i="95"/>
  <c r="C86" i="95"/>
  <c r="F82" i="121"/>
  <c r="A83" i="121"/>
  <c r="E82" i="121"/>
  <c r="G82" i="121"/>
  <c r="B82" i="121"/>
  <c r="D81" i="121"/>
  <c r="C81" i="121"/>
  <c r="D91" i="120"/>
  <c r="C91" i="120"/>
  <c r="A93" i="120"/>
  <c r="E92" i="120"/>
  <c r="F92" i="120"/>
  <c r="B92" i="120"/>
  <c r="G92" i="120"/>
  <c r="D87" i="99"/>
  <c r="C87" i="99"/>
  <c r="F88" i="99"/>
  <c r="G88" i="99"/>
  <c r="E88" i="99"/>
  <c r="B88" i="99"/>
  <c r="A89" i="99"/>
  <c r="D88" i="97"/>
  <c r="C88" i="97"/>
  <c r="E89" i="98"/>
  <c r="F89" i="98"/>
  <c r="A90" i="98"/>
  <c r="B89" i="98"/>
  <c r="G89" i="98"/>
  <c r="F89" i="97"/>
  <c r="A90" i="97"/>
  <c r="E89" i="97"/>
  <c r="G89" i="97"/>
  <c r="B89" i="97"/>
  <c r="D88" i="98"/>
  <c r="C88" i="98"/>
  <c r="D83" i="103"/>
  <c r="C83" i="103"/>
  <c r="D85" i="101"/>
  <c r="C85" i="101"/>
  <c r="B85" i="102"/>
  <c r="E85" i="102"/>
  <c r="G85" i="102"/>
  <c r="F85" i="102"/>
  <c r="A86" i="102"/>
  <c r="D82" i="104"/>
  <c r="C82" i="104"/>
  <c r="F88" i="88"/>
  <c r="E88" i="88"/>
  <c r="G88" i="88"/>
  <c r="B88" i="88"/>
  <c r="A89" i="88"/>
  <c r="G83" i="104"/>
  <c r="F83" i="104"/>
  <c r="A84" i="104"/>
  <c r="E83" i="104"/>
  <c r="B83" i="104"/>
  <c r="C86" i="100"/>
  <c r="D86" i="100"/>
  <c r="B86" i="101"/>
  <c r="G86" i="101"/>
  <c r="A87" i="101"/>
  <c r="F86" i="101"/>
  <c r="E86" i="101"/>
  <c r="D87" i="88"/>
  <c r="C87" i="88"/>
  <c r="D84" i="102"/>
  <c r="C84" i="102"/>
  <c r="F87" i="100"/>
  <c r="G87" i="100"/>
  <c r="B87" i="100"/>
  <c r="A88" i="100"/>
  <c r="E87" i="100"/>
  <c r="A85" i="103"/>
  <c r="B84" i="103"/>
  <c r="E84" i="103"/>
  <c r="F84" i="103"/>
  <c r="G84" i="103"/>
  <c r="G88" i="96" l="1"/>
  <c r="B88" i="96"/>
  <c r="F88" i="96"/>
  <c r="E88" i="96"/>
  <c r="A89" i="96"/>
  <c r="C87" i="96"/>
  <c r="D87" i="96"/>
  <c r="F88" i="95"/>
  <c r="B88" i="95"/>
  <c r="A89" i="95"/>
  <c r="E88" i="95"/>
  <c r="G88" i="95"/>
  <c r="C87" i="95"/>
  <c r="D87" i="95"/>
  <c r="D82" i="121"/>
  <c r="C82" i="121"/>
  <c r="B83" i="121"/>
  <c r="G83" i="121"/>
  <c r="A84" i="121"/>
  <c r="E83" i="121"/>
  <c r="F83" i="121"/>
  <c r="C92" i="120"/>
  <c r="D92" i="120"/>
  <c r="A94" i="120"/>
  <c r="E93" i="120"/>
  <c r="B93" i="120"/>
  <c r="G93" i="120"/>
  <c r="F93" i="120"/>
  <c r="E89" i="99"/>
  <c r="F89" i="99"/>
  <c r="A90" i="99"/>
  <c r="G89" i="99"/>
  <c r="B89" i="99"/>
  <c r="C88" i="99"/>
  <c r="D88" i="99"/>
  <c r="D89" i="97"/>
  <c r="C89" i="97"/>
  <c r="A91" i="97"/>
  <c r="G90" i="97"/>
  <c r="B90" i="97"/>
  <c r="E90" i="97"/>
  <c r="F90" i="97"/>
  <c r="D89" i="98"/>
  <c r="C89" i="98"/>
  <c r="F90" i="98"/>
  <c r="B90" i="98"/>
  <c r="G90" i="98"/>
  <c r="A91" i="98"/>
  <c r="E90" i="98"/>
  <c r="D86" i="101"/>
  <c r="C86" i="101"/>
  <c r="A90" i="88"/>
  <c r="E89" i="88"/>
  <c r="B89" i="88"/>
  <c r="G89" i="88"/>
  <c r="F89" i="88"/>
  <c r="C88" i="88"/>
  <c r="D88" i="88"/>
  <c r="A86" i="103"/>
  <c r="F85" i="103"/>
  <c r="G85" i="103"/>
  <c r="B85" i="103"/>
  <c r="E85" i="103"/>
  <c r="D83" i="104"/>
  <c r="C83" i="104"/>
  <c r="D85" i="102"/>
  <c r="C85" i="102"/>
  <c r="C84" i="103"/>
  <c r="D84" i="103"/>
  <c r="G88" i="100"/>
  <c r="F88" i="100"/>
  <c r="E88" i="100"/>
  <c r="A89" i="100"/>
  <c r="B88" i="100"/>
  <c r="D87" i="100"/>
  <c r="C87" i="100"/>
  <c r="F84" i="104"/>
  <c r="B84" i="104"/>
  <c r="E84" i="104"/>
  <c r="A85" i="104"/>
  <c r="G84" i="104"/>
  <c r="F87" i="101"/>
  <c r="G87" i="101"/>
  <c r="A88" i="101"/>
  <c r="B87" i="101"/>
  <c r="E87" i="101"/>
  <c r="A87" i="102"/>
  <c r="F86" i="102"/>
  <c r="E86" i="102"/>
  <c r="B86" i="102"/>
  <c r="G86" i="102"/>
  <c r="G89" i="96" l="1"/>
  <c r="F89" i="96"/>
  <c r="E89" i="96"/>
  <c r="A90" i="96"/>
  <c r="B89" i="96"/>
  <c r="D88" i="96"/>
  <c r="C88" i="96"/>
  <c r="G89" i="95"/>
  <c r="B89" i="95"/>
  <c r="A90" i="95"/>
  <c r="E89" i="95"/>
  <c r="F89" i="95"/>
  <c r="C88" i="95"/>
  <c r="D88" i="95"/>
  <c r="F84" i="121"/>
  <c r="A85" i="121"/>
  <c r="E84" i="121"/>
  <c r="G84" i="121"/>
  <c r="B84" i="121"/>
  <c r="D83" i="121"/>
  <c r="C83" i="121"/>
  <c r="D93" i="120"/>
  <c r="C93" i="120"/>
  <c r="A95" i="120"/>
  <c r="E94" i="120"/>
  <c r="F94" i="120"/>
  <c r="G94" i="120"/>
  <c r="B94" i="120"/>
  <c r="C89" i="99"/>
  <c r="D89" i="99"/>
  <c r="E90" i="99"/>
  <c r="A91" i="99"/>
  <c r="G90" i="99"/>
  <c r="B90" i="99"/>
  <c r="F90" i="99"/>
  <c r="C90" i="98"/>
  <c r="D90" i="98"/>
  <c r="G91" i="97"/>
  <c r="E91" i="97"/>
  <c r="B91" i="97"/>
  <c r="F91" i="97"/>
  <c r="A92" i="97"/>
  <c r="D90" i="97"/>
  <c r="C90" i="97"/>
  <c r="G91" i="98"/>
  <c r="F91" i="98"/>
  <c r="E91" i="98"/>
  <c r="A92" i="98"/>
  <c r="B91" i="98"/>
  <c r="B89" i="100"/>
  <c r="E89" i="100"/>
  <c r="A90" i="100"/>
  <c r="G89" i="100"/>
  <c r="F89" i="100"/>
  <c r="E85" i="104"/>
  <c r="B85" i="104"/>
  <c r="F85" i="104"/>
  <c r="A86" i="104"/>
  <c r="G85" i="104"/>
  <c r="E87" i="102"/>
  <c r="B87" i="102"/>
  <c r="A88" i="102"/>
  <c r="F87" i="102"/>
  <c r="G87" i="102"/>
  <c r="D84" i="104"/>
  <c r="C84" i="104"/>
  <c r="D85" i="103"/>
  <c r="C85" i="103"/>
  <c r="C89" i="88"/>
  <c r="D89" i="88"/>
  <c r="D87" i="101"/>
  <c r="C87" i="101"/>
  <c r="F88" i="101"/>
  <c r="B88" i="101"/>
  <c r="E88" i="101"/>
  <c r="G88" i="101"/>
  <c r="A89" i="101"/>
  <c r="G90" i="88"/>
  <c r="B90" i="88"/>
  <c r="A91" i="88"/>
  <c r="F90" i="88"/>
  <c r="E90" i="88"/>
  <c r="A87" i="103"/>
  <c r="F86" i="103"/>
  <c r="E86" i="103"/>
  <c r="B86" i="103"/>
  <c r="G86" i="103"/>
  <c r="C86" i="102"/>
  <c r="D86" i="102"/>
  <c r="C88" i="100"/>
  <c r="D88" i="100"/>
  <c r="D89" i="96" l="1"/>
  <c r="C89" i="96"/>
  <c r="A91" i="96"/>
  <c r="E90" i="96"/>
  <c r="F90" i="96"/>
  <c r="B90" i="96"/>
  <c r="G90" i="96"/>
  <c r="B90" i="95"/>
  <c r="A91" i="95"/>
  <c r="G90" i="95"/>
  <c r="E90" i="95"/>
  <c r="F90" i="95"/>
  <c r="C89" i="95"/>
  <c r="D89" i="95"/>
  <c r="C84" i="121"/>
  <c r="D84" i="121"/>
  <c r="B85" i="121"/>
  <c r="E85" i="121"/>
  <c r="A86" i="121"/>
  <c r="G85" i="121"/>
  <c r="F85" i="121"/>
  <c r="C94" i="120"/>
  <c r="D94" i="120"/>
  <c r="A96" i="120"/>
  <c r="E95" i="120"/>
  <c r="B95" i="120"/>
  <c r="G95" i="120"/>
  <c r="F95" i="120"/>
  <c r="D90" i="99"/>
  <c r="C90" i="99"/>
  <c r="B91" i="99"/>
  <c r="G91" i="99"/>
  <c r="F91" i="99"/>
  <c r="E91" i="99"/>
  <c r="A92" i="99"/>
  <c r="D91" i="98"/>
  <c r="C91" i="98"/>
  <c r="A93" i="97"/>
  <c r="B92" i="97"/>
  <c r="F92" i="97"/>
  <c r="E92" i="97"/>
  <c r="G92" i="97"/>
  <c r="G92" i="98"/>
  <c r="F92" i="98"/>
  <c r="B92" i="98"/>
  <c r="E92" i="98"/>
  <c r="A93" i="98"/>
  <c r="D91" i="97"/>
  <c r="C91" i="97"/>
  <c r="B91" i="88"/>
  <c r="G91" i="88"/>
  <c r="F91" i="88"/>
  <c r="E91" i="88"/>
  <c r="A92" i="88"/>
  <c r="D85" i="104"/>
  <c r="C85" i="104"/>
  <c r="C90" i="88"/>
  <c r="D90" i="88"/>
  <c r="D86" i="103"/>
  <c r="C86" i="103"/>
  <c r="E88" i="102"/>
  <c r="F88" i="102"/>
  <c r="A89" i="102"/>
  <c r="B88" i="102"/>
  <c r="G88" i="102"/>
  <c r="F89" i="101"/>
  <c r="A90" i="101"/>
  <c r="E89" i="101"/>
  <c r="G89" i="101"/>
  <c r="B89" i="101"/>
  <c r="D87" i="102"/>
  <c r="C87" i="102"/>
  <c r="A91" i="100"/>
  <c r="B90" i="100"/>
  <c r="E90" i="100"/>
  <c r="G90" i="100"/>
  <c r="F90" i="100"/>
  <c r="G87" i="103"/>
  <c r="B87" i="103"/>
  <c r="E87" i="103"/>
  <c r="A88" i="103"/>
  <c r="F87" i="103"/>
  <c r="D88" i="101"/>
  <c r="C88" i="101"/>
  <c r="B86" i="104"/>
  <c r="G86" i="104"/>
  <c r="A87" i="104"/>
  <c r="F86" i="104"/>
  <c r="E86" i="104"/>
  <c r="D89" i="100"/>
  <c r="C89" i="100"/>
  <c r="D90" i="96" l="1"/>
  <c r="C90" i="96"/>
  <c r="B91" i="96"/>
  <c r="G91" i="96"/>
  <c r="A92" i="96"/>
  <c r="F91" i="96"/>
  <c r="E91" i="96"/>
  <c r="A92" i="95"/>
  <c r="G91" i="95"/>
  <c r="F91" i="95"/>
  <c r="E91" i="95"/>
  <c r="B91" i="95"/>
  <c r="C90" i="95"/>
  <c r="D90" i="95"/>
  <c r="F86" i="121"/>
  <c r="A87" i="121"/>
  <c r="E86" i="121"/>
  <c r="G86" i="121"/>
  <c r="B86" i="121"/>
  <c r="D85" i="121"/>
  <c r="C85" i="121"/>
  <c r="D95" i="120"/>
  <c r="C95" i="120"/>
  <c r="A97" i="120"/>
  <c r="E96" i="120"/>
  <c r="G96" i="120"/>
  <c r="F96" i="120"/>
  <c r="B96" i="120"/>
  <c r="F92" i="99"/>
  <c r="B92" i="99"/>
  <c r="A93" i="99"/>
  <c r="E92" i="99"/>
  <c r="G92" i="99"/>
  <c r="C91" i="99"/>
  <c r="D91" i="99"/>
  <c r="E93" i="98"/>
  <c r="A94" i="98"/>
  <c r="F93" i="98"/>
  <c r="G93" i="98"/>
  <c r="B93" i="98"/>
  <c r="D92" i="97"/>
  <c r="C92" i="97"/>
  <c r="B93" i="97"/>
  <c r="E93" i="97"/>
  <c r="F93" i="97"/>
  <c r="G93" i="97"/>
  <c r="A94" i="97"/>
  <c r="D92" i="98"/>
  <c r="C92" i="98"/>
  <c r="F88" i="103"/>
  <c r="G88" i="103"/>
  <c r="E88" i="103"/>
  <c r="B88" i="103"/>
  <c r="A89" i="103"/>
  <c r="B91" i="100"/>
  <c r="F91" i="100"/>
  <c r="G91" i="100"/>
  <c r="A92" i="100"/>
  <c r="E91" i="100"/>
  <c r="C88" i="102"/>
  <c r="D88" i="102"/>
  <c r="C87" i="103"/>
  <c r="D87" i="103"/>
  <c r="A90" i="102"/>
  <c r="B89" i="102"/>
  <c r="E89" i="102"/>
  <c r="F89" i="102"/>
  <c r="G89" i="102"/>
  <c r="C89" i="101"/>
  <c r="D89" i="101"/>
  <c r="A93" i="88"/>
  <c r="F92" i="88"/>
  <c r="B92" i="88"/>
  <c r="G92" i="88"/>
  <c r="E92" i="88"/>
  <c r="G87" i="104"/>
  <c r="F87" i="104"/>
  <c r="A88" i="104"/>
  <c r="B87" i="104"/>
  <c r="E87" i="104"/>
  <c r="C86" i="104"/>
  <c r="D86" i="104"/>
  <c r="B90" i="101"/>
  <c r="E90" i="101"/>
  <c r="F90" i="101"/>
  <c r="A91" i="101"/>
  <c r="G90" i="101"/>
  <c r="D90" i="100"/>
  <c r="C90" i="100"/>
  <c r="C91" i="88"/>
  <c r="D91" i="88"/>
  <c r="F92" i="96" l="1"/>
  <c r="B92" i="96"/>
  <c r="E92" i="96"/>
  <c r="A93" i="96"/>
  <c r="G92" i="96"/>
  <c r="C91" i="96"/>
  <c r="D91" i="96"/>
  <c r="D91" i="95"/>
  <c r="C91" i="95"/>
  <c r="F92" i="95"/>
  <c r="G92" i="95"/>
  <c r="E92" i="95"/>
  <c r="A93" i="95"/>
  <c r="B92" i="95"/>
  <c r="C86" i="121"/>
  <c r="D86" i="121"/>
  <c r="B87" i="121"/>
  <c r="E87" i="121"/>
  <c r="A88" i="121"/>
  <c r="G87" i="121"/>
  <c r="F87" i="121"/>
  <c r="C96" i="120"/>
  <c r="D96" i="120"/>
  <c r="A98" i="120"/>
  <c r="E97" i="120"/>
  <c r="G97" i="120"/>
  <c r="F97" i="120"/>
  <c r="B97" i="120"/>
  <c r="A94" i="99"/>
  <c r="B93" i="99"/>
  <c r="E93" i="99"/>
  <c r="F93" i="99"/>
  <c r="G93" i="99"/>
  <c r="D92" i="99"/>
  <c r="C92" i="99"/>
  <c r="E94" i="97"/>
  <c r="G94" i="97"/>
  <c r="A95" i="97"/>
  <c r="F94" i="97"/>
  <c r="B94" i="97"/>
  <c r="D93" i="98"/>
  <c r="C93" i="98"/>
  <c r="B94" i="98"/>
  <c r="A95" i="98"/>
  <c r="G94" i="98"/>
  <c r="E94" i="98"/>
  <c r="F94" i="98"/>
  <c r="C93" i="97"/>
  <c r="D93" i="97"/>
  <c r="C92" i="88"/>
  <c r="D92" i="88"/>
  <c r="C89" i="102"/>
  <c r="D89" i="102"/>
  <c r="A91" i="102"/>
  <c r="B90" i="102"/>
  <c r="E90" i="102"/>
  <c r="G90" i="102"/>
  <c r="F90" i="102"/>
  <c r="C87" i="104"/>
  <c r="D87" i="104"/>
  <c r="E93" i="88"/>
  <c r="B93" i="88"/>
  <c r="G93" i="88"/>
  <c r="F93" i="88"/>
  <c r="A94" i="88"/>
  <c r="D91" i="100"/>
  <c r="C91" i="100"/>
  <c r="F88" i="104"/>
  <c r="G88" i="104"/>
  <c r="E88" i="104"/>
  <c r="B88" i="104"/>
  <c r="A89" i="104"/>
  <c r="G89" i="103"/>
  <c r="E89" i="103"/>
  <c r="B89" i="103"/>
  <c r="A90" i="103"/>
  <c r="F89" i="103"/>
  <c r="C88" i="103"/>
  <c r="D88" i="103"/>
  <c r="G91" i="101"/>
  <c r="A92" i="101"/>
  <c r="F91" i="101"/>
  <c r="E91" i="101"/>
  <c r="B91" i="101"/>
  <c r="D90" i="101"/>
  <c r="C90" i="101"/>
  <c r="E92" i="100"/>
  <c r="A93" i="100"/>
  <c r="G92" i="100"/>
  <c r="F92" i="100"/>
  <c r="B92" i="100"/>
  <c r="B93" i="96" l="1"/>
  <c r="E93" i="96"/>
  <c r="G93" i="96"/>
  <c r="A94" i="96"/>
  <c r="F93" i="96"/>
  <c r="C92" i="96"/>
  <c r="D92" i="96"/>
  <c r="D92" i="95"/>
  <c r="C92" i="95"/>
  <c r="B93" i="95"/>
  <c r="E93" i="95"/>
  <c r="G93" i="95"/>
  <c r="A94" i="95"/>
  <c r="F93" i="95"/>
  <c r="F88" i="121"/>
  <c r="A89" i="121"/>
  <c r="E88" i="121"/>
  <c r="G88" i="121"/>
  <c r="B88" i="121"/>
  <c r="D87" i="121"/>
  <c r="C87" i="121"/>
  <c r="D97" i="120"/>
  <c r="C97" i="120"/>
  <c r="A99" i="120"/>
  <c r="E98" i="120"/>
  <c r="F98" i="120"/>
  <c r="B98" i="120"/>
  <c r="G98" i="120"/>
  <c r="C93" i="99"/>
  <c r="D93" i="99"/>
  <c r="A95" i="99"/>
  <c r="B94" i="99"/>
  <c r="G94" i="99"/>
  <c r="F94" i="99"/>
  <c r="E94" i="99"/>
  <c r="B95" i="98"/>
  <c r="A96" i="98"/>
  <c r="G95" i="98"/>
  <c r="F95" i="98"/>
  <c r="E95" i="98"/>
  <c r="D94" i="98"/>
  <c r="C94" i="98"/>
  <c r="A96" i="97"/>
  <c r="G95" i="97"/>
  <c r="B95" i="97"/>
  <c r="F95" i="97"/>
  <c r="E95" i="97"/>
  <c r="C94" i="97"/>
  <c r="D94" i="97"/>
  <c r="F93" i="100"/>
  <c r="E93" i="100"/>
  <c r="B93" i="100"/>
  <c r="G93" i="100"/>
  <c r="A94" i="100"/>
  <c r="A90" i="104"/>
  <c r="B89" i="104"/>
  <c r="G89" i="104"/>
  <c r="E89" i="104"/>
  <c r="F89" i="104"/>
  <c r="E94" i="88"/>
  <c r="F94" i="88"/>
  <c r="G94" i="88"/>
  <c r="B94" i="88"/>
  <c r="A95" i="88"/>
  <c r="D88" i="104"/>
  <c r="C88" i="104"/>
  <c r="C90" i="102"/>
  <c r="D90" i="102"/>
  <c r="D93" i="88"/>
  <c r="C93" i="88"/>
  <c r="B91" i="102"/>
  <c r="A92" i="102"/>
  <c r="G91" i="102"/>
  <c r="F91" i="102"/>
  <c r="E91" i="102"/>
  <c r="E92" i="101"/>
  <c r="F92" i="101"/>
  <c r="B92" i="101"/>
  <c r="A93" i="101"/>
  <c r="G92" i="101"/>
  <c r="C91" i="101"/>
  <c r="D91" i="101"/>
  <c r="G90" i="103"/>
  <c r="B90" i="103"/>
  <c r="F90" i="103"/>
  <c r="A91" i="103"/>
  <c r="E90" i="103"/>
  <c r="C92" i="100"/>
  <c r="D92" i="100"/>
  <c r="D89" i="103"/>
  <c r="C89" i="103"/>
  <c r="G94" i="96" l="1"/>
  <c r="E94" i="96"/>
  <c r="B94" i="96"/>
  <c r="F94" i="96"/>
  <c r="A95" i="96"/>
  <c r="D93" i="96"/>
  <c r="C93" i="96"/>
  <c r="B94" i="95"/>
  <c r="A95" i="95"/>
  <c r="E94" i="95"/>
  <c r="F94" i="95"/>
  <c r="G94" i="95"/>
  <c r="C93" i="95"/>
  <c r="D93" i="95"/>
  <c r="D88" i="121"/>
  <c r="C88" i="121"/>
  <c r="B89" i="121"/>
  <c r="A90" i="121"/>
  <c r="G89" i="121"/>
  <c r="E89" i="121"/>
  <c r="F89" i="121"/>
  <c r="D98" i="120"/>
  <c r="C98" i="120"/>
  <c r="A100" i="120"/>
  <c r="E99" i="120"/>
  <c r="G99" i="120"/>
  <c r="B99" i="120"/>
  <c r="F99" i="120"/>
  <c r="C94" i="99"/>
  <c r="D94" i="99"/>
  <c r="B95" i="99"/>
  <c r="E95" i="99"/>
  <c r="G95" i="99"/>
  <c r="A96" i="99"/>
  <c r="F95" i="99"/>
  <c r="D95" i="97"/>
  <c r="C95" i="97"/>
  <c r="A97" i="97"/>
  <c r="F96" i="97"/>
  <c r="E96" i="97"/>
  <c r="B96" i="97"/>
  <c r="G96" i="97"/>
  <c r="E96" i="98"/>
  <c r="A97" i="98"/>
  <c r="G96" i="98"/>
  <c r="B96" i="98"/>
  <c r="F96" i="98"/>
  <c r="C95" i="98"/>
  <c r="D95" i="98"/>
  <c r="E92" i="102"/>
  <c r="A93" i="102"/>
  <c r="B92" i="102"/>
  <c r="F92" i="102"/>
  <c r="G92" i="102"/>
  <c r="G95" i="88"/>
  <c r="E95" i="88"/>
  <c r="A96" i="88"/>
  <c r="F95" i="88"/>
  <c r="B95" i="88"/>
  <c r="D89" i="104"/>
  <c r="C89" i="104"/>
  <c r="B93" i="101"/>
  <c r="E93" i="101"/>
  <c r="F93" i="101"/>
  <c r="G93" i="101"/>
  <c r="A94" i="101"/>
  <c r="C91" i="102"/>
  <c r="D91" i="102"/>
  <c r="D94" i="88"/>
  <c r="C94" i="88"/>
  <c r="F90" i="104"/>
  <c r="G90" i="104"/>
  <c r="E90" i="104"/>
  <c r="A91" i="104"/>
  <c r="B90" i="104"/>
  <c r="D92" i="101"/>
  <c r="C92" i="101"/>
  <c r="F94" i="100"/>
  <c r="B94" i="100"/>
  <c r="G94" i="100"/>
  <c r="A95" i="100"/>
  <c r="E94" i="100"/>
  <c r="C90" i="103"/>
  <c r="D90" i="103"/>
  <c r="D93" i="100"/>
  <c r="C93" i="100"/>
  <c r="E91" i="103"/>
  <c r="G91" i="103"/>
  <c r="A92" i="103"/>
  <c r="F91" i="103"/>
  <c r="B91" i="103"/>
  <c r="F95" i="96" l="1"/>
  <c r="E95" i="96"/>
  <c r="A96" i="96"/>
  <c r="G95" i="96"/>
  <c r="B95" i="96"/>
  <c r="D94" i="96"/>
  <c r="C94" i="96"/>
  <c r="B95" i="95"/>
  <c r="E95" i="95"/>
  <c r="A96" i="95"/>
  <c r="G95" i="95"/>
  <c r="F95" i="95"/>
  <c r="D94" i="95"/>
  <c r="C94" i="95"/>
  <c r="F90" i="121"/>
  <c r="A91" i="121"/>
  <c r="E90" i="121"/>
  <c r="G90" i="121"/>
  <c r="B90" i="121"/>
  <c r="D89" i="121"/>
  <c r="C89" i="121"/>
  <c r="D99" i="120"/>
  <c r="C99" i="120"/>
  <c r="A101" i="120"/>
  <c r="E100" i="120"/>
  <c r="F100" i="120"/>
  <c r="B100" i="120"/>
  <c r="G100" i="120"/>
  <c r="G96" i="99"/>
  <c r="B96" i="99"/>
  <c r="A97" i="99"/>
  <c r="E96" i="99"/>
  <c r="F96" i="99"/>
  <c r="D95" i="99"/>
  <c r="C95" i="99"/>
  <c r="C96" i="97"/>
  <c r="D96" i="97"/>
  <c r="B97" i="97"/>
  <c r="F97" i="97"/>
  <c r="A98" i="97"/>
  <c r="E97" i="97"/>
  <c r="G97" i="97"/>
  <c r="D96" i="98"/>
  <c r="C96" i="98"/>
  <c r="F97" i="98"/>
  <c r="G97" i="98"/>
  <c r="A98" i="98"/>
  <c r="B97" i="98"/>
  <c r="E97" i="98"/>
  <c r="A93" i="103"/>
  <c r="G92" i="103"/>
  <c r="E92" i="103"/>
  <c r="F92" i="103"/>
  <c r="B92" i="103"/>
  <c r="D94" i="100"/>
  <c r="C94" i="100"/>
  <c r="F95" i="100"/>
  <c r="G95" i="100"/>
  <c r="B95" i="100"/>
  <c r="E95" i="100"/>
  <c r="A96" i="100"/>
  <c r="C93" i="101"/>
  <c r="D93" i="101"/>
  <c r="C92" i="102"/>
  <c r="D92" i="102"/>
  <c r="E96" i="88"/>
  <c r="A97" i="88"/>
  <c r="G96" i="88"/>
  <c r="F96" i="88"/>
  <c r="B96" i="88"/>
  <c r="D91" i="103"/>
  <c r="C91" i="103"/>
  <c r="C90" i="104"/>
  <c r="D90" i="104"/>
  <c r="D95" i="88"/>
  <c r="C95" i="88"/>
  <c r="B93" i="102"/>
  <c r="E93" i="102"/>
  <c r="F93" i="102"/>
  <c r="A94" i="102"/>
  <c r="G93" i="102"/>
  <c r="F91" i="104"/>
  <c r="E91" i="104"/>
  <c r="G91" i="104"/>
  <c r="A92" i="104"/>
  <c r="B91" i="104"/>
  <c r="B94" i="101"/>
  <c r="A95" i="101"/>
  <c r="G94" i="101"/>
  <c r="F94" i="101"/>
  <c r="E94" i="101"/>
  <c r="C95" i="96" l="1"/>
  <c r="D95" i="96"/>
  <c r="G96" i="96"/>
  <c r="A97" i="96"/>
  <c r="B96" i="96"/>
  <c r="E96" i="96"/>
  <c r="F96" i="96"/>
  <c r="F96" i="95"/>
  <c r="E96" i="95"/>
  <c r="B96" i="95"/>
  <c r="A97" i="95"/>
  <c r="G96" i="95"/>
  <c r="D95" i="95"/>
  <c r="C95" i="95"/>
  <c r="D90" i="121"/>
  <c r="C90" i="121"/>
  <c r="B91" i="121"/>
  <c r="G91" i="121"/>
  <c r="A92" i="121"/>
  <c r="E91" i="121"/>
  <c r="F91" i="121"/>
  <c r="C100" i="120"/>
  <c r="D100" i="120"/>
  <c r="A102" i="120"/>
  <c r="E101" i="120"/>
  <c r="B101" i="120"/>
  <c r="G101" i="120"/>
  <c r="F101" i="120"/>
  <c r="B97" i="99"/>
  <c r="E97" i="99"/>
  <c r="A98" i="99"/>
  <c r="F97" i="99"/>
  <c r="G97" i="99"/>
  <c r="C96" i="99"/>
  <c r="D96" i="99"/>
  <c r="A99" i="97"/>
  <c r="E98" i="97"/>
  <c r="G98" i="97"/>
  <c r="F98" i="97"/>
  <c r="B98" i="97"/>
  <c r="D97" i="97"/>
  <c r="C97" i="97"/>
  <c r="C97" i="98"/>
  <c r="D97" i="98"/>
  <c r="G98" i="98"/>
  <c r="A99" i="98"/>
  <c r="B98" i="98"/>
  <c r="F98" i="98"/>
  <c r="E98" i="98"/>
  <c r="B94" i="102"/>
  <c r="A95" i="102"/>
  <c r="G94" i="102"/>
  <c r="E94" i="102"/>
  <c r="F94" i="102"/>
  <c r="D94" i="101"/>
  <c r="C94" i="101"/>
  <c r="D91" i="104"/>
  <c r="C91" i="104"/>
  <c r="C96" i="88"/>
  <c r="D96" i="88"/>
  <c r="C92" i="103"/>
  <c r="D92" i="103"/>
  <c r="F92" i="104"/>
  <c r="B92" i="104"/>
  <c r="G92" i="104"/>
  <c r="E92" i="104"/>
  <c r="A93" i="104"/>
  <c r="C93" i="102"/>
  <c r="D93" i="102"/>
  <c r="E96" i="100"/>
  <c r="F96" i="100"/>
  <c r="A97" i="100"/>
  <c r="B96" i="100"/>
  <c r="G96" i="100"/>
  <c r="G97" i="88"/>
  <c r="A98" i="88"/>
  <c r="F97" i="88"/>
  <c r="E97" i="88"/>
  <c r="B97" i="88"/>
  <c r="D95" i="100"/>
  <c r="C95" i="100"/>
  <c r="G95" i="101"/>
  <c r="B95" i="101"/>
  <c r="A96" i="101"/>
  <c r="F95" i="101"/>
  <c r="E95" i="101"/>
  <c r="F93" i="103"/>
  <c r="G93" i="103"/>
  <c r="A94" i="103"/>
  <c r="B93" i="103"/>
  <c r="E93" i="103"/>
  <c r="C96" i="96" l="1"/>
  <c r="D96" i="96"/>
  <c r="B97" i="96"/>
  <c r="F97" i="96"/>
  <c r="E97" i="96"/>
  <c r="G97" i="96"/>
  <c r="A98" i="96"/>
  <c r="A98" i="95"/>
  <c r="B97" i="95"/>
  <c r="G97" i="95"/>
  <c r="F97" i="95"/>
  <c r="E97" i="95"/>
  <c r="C96" i="95"/>
  <c r="D96" i="95"/>
  <c r="F92" i="121"/>
  <c r="A93" i="121"/>
  <c r="E92" i="121"/>
  <c r="G92" i="121"/>
  <c r="B92" i="121"/>
  <c r="D91" i="121"/>
  <c r="C91" i="121"/>
  <c r="D101" i="120"/>
  <c r="C101" i="120"/>
  <c r="A103" i="120"/>
  <c r="E102" i="120"/>
  <c r="G102" i="120"/>
  <c r="F102" i="120"/>
  <c r="B102" i="120"/>
  <c r="A99" i="99"/>
  <c r="B98" i="99"/>
  <c r="E98" i="99"/>
  <c r="F98" i="99"/>
  <c r="G98" i="99"/>
  <c r="C97" i="99"/>
  <c r="D97" i="99"/>
  <c r="D98" i="97"/>
  <c r="C98" i="97"/>
  <c r="F99" i="97"/>
  <c r="E99" i="97"/>
  <c r="B99" i="97"/>
  <c r="G99" i="97"/>
  <c r="A100" i="97"/>
  <c r="F99" i="98"/>
  <c r="G99" i="98"/>
  <c r="A100" i="98"/>
  <c r="B99" i="98"/>
  <c r="E99" i="98"/>
  <c r="C98" i="98"/>
  <c r="D98" i="98"/>
  <c r="B94" i="103"/>
  <c r="G94" i="103"/>
  <c r="A95" i="103"/>
  <c r="E94" i="103"/>
  <c r="F94" i="103"/>
  <c r="D96" i="100"/>
  <c r="C96" i="100"/>
  <c r="G97" i="100"/>
  <c r="E97" i="100"/>
  <c r="A98" i="100"/>
  <c r="F97" i="100"/>
  <c r="B97" i="100"/>
  <c r="D92" i="104"/>
  <c r="C92" i="104"/>
  <c r="C97" i="88"/>
  <c r="D97" i="88"/>
  <c r="A97" i="101"/>
  <c r="F96" i="101"/>
  <c r="B96" i="101"/>
  <c r="E96" i="101"/>
  <c r="G96" i="101"/>
  <c r="A99" i="88"/>
  <c r="E98" i="88"/>
  <c r="G98" i="88"/>
  <c r="F98" i="88"/>
  <c r="B98" i="88"/>
  <c r="G93" i="104"/>
  <c r="A94" i="104"/>
  <c r="E93" i="104"/>
  <c r="F93" i="104"/>
  <c r="B93" i="104"/>
  <c r="F95" i="102"/>
  <c r="E95" i="102"/>
  <c r="B95" i="102"/>
  <c r="G95" i="102"/>
  <c r="A96" i="102"/>
  <c r="C95" i="101"/>
  <c r="D95" i="101"/>
  <c r="D93" i="103"/>
  <c r="C93" i="103"/>
  <c r="D94" i="102"/>
  <c r="C94" i="102"/>
  <c r="F98" i="96" l="1"/>
  <c r="E98" i="96"/>
  <c r="G98" i="96"/>
  <c r="A99" i="96"/>
  <c r="B98" i="96"/>
  <c r="C97" i="96"/>
  <c r="D97" i="96"/>
  <c r="C97" i="95"/>
  <c r="D97" i="95"/>
  <c r="A99" i="95"/>
  <c r="B98" i="95"/>
  <c r="E98" i="95"/>
  <c r="F98" i="95"/>
  <c r="G98" i="95"/>
  <c r="D92" i="121"/>
  <c r="C92" i="121"/>
  <c r="B93" i="121"/>
  <c r="A94" i="121"/>
  <c r="G93" i="121"/>
  <c r="E93" i="121"/>
  <c r="F93" i="121"/>
  <c r="C102" i="120"/>
  <c r="D102" i="120"/>
  <c r="A104" i="120"/>
  <c r="E103" i="120"/>
  <c r="B103" i="120"/>
  <c r="G103" i="120"/>
  <c r="F103" i="120"/>
  <c r="C98" i="99"/>
  <c r="D98" i="99"/>
  <c r="B99" i="99"/>
  <c r="F99" i="99"/>
  <c r="A100" i="99"/>
  <c r="G99" i="99"/>
  <c r="E99" i="99"/>
  <c r="C99" i="98"/>
  <c r="D99" i="98"/>
  <c r="D99" i="97"/>
  <c r="C99" i="97"/>
  <c r="E100" i="98"/>
  <c r="G100" i="98"/>
  <c r="B100" i="98"/>
  <c r="A101" i="98"/>
  <c r="F100" i="98"/>
  <c r="A101" i="97"/>
  <c r="F100" i="97"/>
  <c r="B100" i="97"/>
  <c r="E100" i="97"/>
  <c r="G100" i="97"/>
  <c r="D93" i="104"/>
  <c r="C93" i="104"/>
  <c r="B99" i="88"/>
  <c r="G99" i="88"/>
  <c r="F99" i="88"/>
  <c r="A100" i="88"/>
  <c r="E99" i="88"/>
  <c r="B96" i="102"/>
  <c r="F96" i="102"/>
  <c r="A97" i="102"/>
  <c r="G96" i="102"/>
  <c r="E96" i="102"/>
  <c r="G94" i="104"/>
  <c r="F94" i="104"/>
  <c r="B94" i="104"/>
  <c r="E94" i="104"/>
  <c r="A95" i="104"/>
  <c r="D97" i="100"/>
  <c r="C97" i="100"/>
  <c r="C96" i="101"/>
  <c r="D96" i="101"/>
  <c r="B95" i="103"/>
  <c r="G95" i="103"/>
  <c r="A96" i="103"/>
  <c r="F95" i="103"/>
  <c r="E95" i="103"/>
  <c r="C95" i="102"/>
  <c r="D95" i="102"/>
  <c r="D98" i="88"/>
  <c r="C98" i="88"/>
  <c r="B98" i="100"/>
  <c r="F98" i="100"/>
  <c r="E98" i="100"/>
  <c r="G98" i="100"/>
  <c r="A99" i="100"/>
  <c r="G97" i="101"/>
  <c r="B97" i="101"/>
  <c r="A98" i="101"/>
  <c r="E97" i="101"/>
  <c r="F97" i="101"/>
  <c r="D94" i="103"/>
  <c r="C94" i="103"/>
  <c r="D98" i="96" l="1"/>
  <c r="C98" i="96"/>
  <c r="G99" i="96"/>
  <c r="A100" i="96"/>
  <c r="B99" i="96"/>
  <c r="F99" i="96"/>
  <c r="E99" i="96"/>
  <c r="C98" i="95"/>
  <c r="D98" i="95"/>
  <c r="B99" i="95"/>
  <c r="G99" i="95"/>
  <c r="F99" i="95"/>
  <c r="A100" i="95"/>
  <c r="E99" i="95"/>
  <c r="F94" i="121"/>
  <c r="A95" i="121"/>
  <c r="E94" i="121"/>
  <c r="G94" i="121"/>
  <c r="B94" i="121"/>
  <c r="D93" i="121"/>
  <c r="C93" i="121"/>
  <c r="D103" i="120"/>
  <c r="C103" i="120"/>
  <c r="E104" i="120"/>
  <c r="G104" i="120"/>
  <c r="F104" i="120"/>
  <c r="B104" i="120"/>
  <c r="E100" i="99"/>
  <c r="A101" i="99"/>
  <c r="G100" i="99"/>
  <c r="F100" i="99"/>
  <c r="B100" i="99"/>
  <c r="C99" i="99"/>
  <c r="D99" i="99"/>
  <c r="B101" i="98"/>
  <c r="G101" i="98"/>
  <c r="A102" i="98"/>
  <c r="E101" i="98"/>
  <c r="F101" i="98"/>
  <c r="D100" i="98"/>
  <c r="C100" i="98"/>
  <c r="D100" i="97"/>
  <c r="C100" i="97"/>
  <c r="E101" i="97"/>
  <c r="A102" i="97"/>
  <c r="F101" i="97"/>
  <c r="B101" i="97"/>
  <c r="G101" i="97"/>
  <c r="E96" i="103"/>
  <c r="F96" i="103"/>
  <c r="B96" i="103"/>
  <c r="G96" i="103"/>
  <c r="A97" i="103"/>
  <c r="D96" i="102"/>
  <c r="C96" i="102"/>
  <c r="D98" i="100"/>
  <c r="C98" i="100"/>
  <c r="D94" i="104"/>
  <c r="C94" i="104"/>
  <c r="F98" i="101"/>
  <c r="E98" i="101"/>
  <c r="B98" i="101"/>
  <c r="G98" i="101"/>
  <c r="A99" i="101"/>
  <c r="D95" i="103"/>
  <c r="C95" i="103"/>
  <c r="G100" i="88"/>
  <c r="B100" i="88"/>
  <c r="F100" i="88"/>
  <c r="A101" i="88"/>
  <c r="E100" i="88"/>
  <c r="C97" i="101"/>
  <c r="D97" i="101"/>
  <c r="C99" i="88"/>
  <c r="D99" i="88"/>
  <c r="F99" i="100"/>
  <c r="E99" i="100"/>
  <c r="A100" i="100"/>
  <c r="B99" i="100"/>
  <c r="G99" i="100"/>
  <c r="B97" i="102"/>
  <c r="G97" i="102"/>
  <c r="F97" i="102"/>
  <c r="E97" i="102"/>
  <c r="A98" i="102"/>
  <c r="B95" i="104"/>
  <c r="E95" i="104"/>
  <c r="G95" i="104"/>
  <c r="F95" i="104"/>
  <c r="A96" i="104"/>
  <c r="D99" i="96" l="1"/>
  <c r="C99" i="96"/>
  <c r="A101" i="96"/>
  <c r="E100" i="96"/>
  <c r="B100" i="96"/>
  <c r="F100" i="96"/>
  <c r="G100" i="96"/>
  <c r="B100" i="95"/>
  <c r="F100" i="95"/>
  <c r="G100" i="95"/>
  <c r="A101" i="95"/>
  <c r="E100" i="95"/>
  <c r="C99" i="95"/>
  <c r="D99" i="95"/>
  <c r="C94" i="121"/>
  <c r="D94" i="121"/>
  <c r="B95" i="121"/>
  <c r="A96" i="121"/>
  <c r="E95" i="121"/>
  <c r="G95" i="121"/>
  <c r="F95" i="121"/>
  <c r="D104" i="120"/>
  <c r="C104" i="120"/>
  <c r="C100" i="99"/>
  <c r="D100" i="99"/>
  <c r="B101" i="99"/>
  <c r="A102" i="99"/>
  <c r="E101" i="99"/>
  <c r="F101" i="99"/>
  <c r="G101" i="99"/>
  <c r="C101" i="97"/>
  <c r="D101" i="97"/>
  <c r="E102" i="98"/>
  <c r="F102" i="98"/>
  <c r="B102" i="98"/>
  <c r="G102" i="98"/>
  <c r="A103" i="98"/>
  <c r="A103" i="97"/>
  <c r="E102" i="97"/>
  <c r="F102" i="97"/>
  <c r="B102" i="97"/>
  <c r="G102" i="97"/>
  <c r="C101" i="98"/>
  <c r="D101" i="98"/>
  <c r="A100" i="101"/>
  <c r="E99" i="101"/>
  <c r="B99" i="101"/>
  <c r="G99" i="101"/>
  <c r="F99" i="101"/>
  <c r="C99" i="100"/>
  <c r="D99" i="100"/>
  <c r="E100" i="100"/>
  <c r="F100" i="100"/>
  <c r="A101" i="100"/>
  <c r="B100" i="100"/>
  <c r="G100" i="100"/>
  <c r="G101" i="88"/>
  <c r="B101" i="88"/>
  <c r="E101" i="88"/>
  <c r="F101" i="88"/>
  <c r="A102" i="88"/>
  <c r="C98" i="101"/>
  <c r="D98" i="101"/>
  <c r="G97" i="103"/>
  <c r="E97" i="103"/>
  <c r="B97" i="103"/>
  <c r="A98" i="103"/>
  <c r="F97" i="103"/>
  <c r="D100" i="88"/>
  <c r="C100" i="88"/>
  <c r="C95" i="104"/>
  <c r="D95" i="104"/>
  <c r="C96" i="103"/>
  <c r="D96" i="103"/>
  <c r="G96" i="104"/>
  <c r="B96" i="104"/>
  <c r="A97" i="104"/>
  <c r="F96" i="104"/>
  <c r="E96" i="104"/>
  <c r="G98" i="102"/>
  <c r="E98" i="102"/>
  <c r="A99" i="102"/>
  <c r="B98" i="102"/>
  <c r="F98" i="102"/>
  <c r="D97" i="102"/>
  <c r="C97" i="102"/>
  <c r="C100" i="96" l="1"/>
  <c r="D100" i="96"/>
  <c r="E101" i="96"/>
  <c r="A102" i="96"/>
  <c r="G101" i="96"/>
  <c r="B101" i="96"/>
  <c r="F101" i="96"/>
  <c r="A102" i="95"/>
  <c r="G101" i="95"/>
  <c r="B101" i="95"/>
  <c r="E101" i="95"/>
  <c r="F101" i="95"/>
  <c r="D100" i="95"/>
  <c r="C100" i="95"/>
  <c r="F96" i="121"/>
  <c r="A97" i="121"/>
  <c r="E96" i="121"/>
  <c r="G96" i="121"/>
  <c r="B96" i="121"/>
  <c r="D95" i="121"/>
  <c r="C95" i="121"/>
  <c r="G102" i="99"/>
  <c r="B102" i="99"/>
  <c r="A103" i="99"/>
  <c r="E102" i="99"/>
  <c r="F102" i="99"/>
  <c r="D101" i="99"/>
  <c r="C101" i="99"/>
  <c r="C102" i="98"/>
  <c r="D102" i="98"/>
  <c r="C102" i="97"/>
  <c r="D102" i="97"/>
  <c r="G103" i="97"/>
  <c r="E103" i="97"/>
  <c r="B103" i="97"/>
  <c r="A104" i="97"/>
  <c r="F103" i="97"/>
  <c r="B103" i="98"/>
  <c r="G103" i="98"/>
  <c r="A104" i="98"/>
  <c r="F103" i="98"/>
  <c r="E103" i="98"/>
  <c r="D96" i="104"/>
  <c r="C96" i="104"/>
  <c r="D98" i="102"/>
  <c r="C98" i="102"/>
  <c r="G98" i="103"/>
  <c r="A99" i="103"/>
  <c r="E98" i="103"/>
  <c r="B98" i="103"/>
  <c r="F98" i="103"/>
  <c r="B99" i="102"/>
  <c r="A100" i="102"/>
  <c r="G99" i="102"/>
  <c r="F99" i="102"/>
  <c r="E99" i="102"/>
  <c r="D97" i="103"/>
  <c r="C97" i="103"/>
  <c r="C101" i="88"/>
  <c r="D101" i="88"/>
  <c r="D100" i="100"/>
  <c r="C100" i="100"/>
  <c r="C99" i="101"/>
  <c r="D99" i="101"/>
  <c r="G101" i="100"/>
  <c r="E101" i="100"/>
  <c r="B101" i="100"/>
  <c r="F101" i="100"/>
  <c r="A102" i="100"/>
  <c r="F97" i="104"/>
  <c r="B97" i="104"/>
  <c r="E97" i="104"/>
  <c r="A98" i="104"/>
  <c r="G97" i="104"/>
  <c r="B102" i="88"/>
  <c r="F102" i="88"/>
  <c r="E102" i="88"/>
  <c r="A103" i="88"/>
  <c r="G102" i="88"/>
  <c r="B100" i="101"/>
  <c r="F100" i="101"/>
  <c r="G100" i="101"/>
  <c r="A101" i="101"/>
  <c r="E100" i="101"/>
  <c r="D101" i="96" l="1"/>
  <c r="C101" i="96"/>
  <c r="A103" i="96"/>
  <c r="B102" i="96"/>
  <c r="E102" i="96"/>
  <c r="G102" i="96"/>
  <c r="F102" i="96"/>
  <c r="D101" i="95"/>
  <c r="C101" i="95"/>
  <c r="F102" i="95"/>
  <c r="E102" i="95"/>
  <c r="G102" i="95"/>
  <c r="B102" i="95"/>
  <c r="A103" i="95"/>
  <c r="D96" i="121"/>
  <c r="C96" i="121"/>
  <c r="B97" i="121"/>
  <c r="A98" i="121"/>
  <c r="G97" i="121"/>
  <c r="E97" i="121"/>
  <c r="F97" i="121"/>
  <c r="B103" i="99"/>
  <c r="E103" i="99"/>
  <c r="G103" i="99"/>
  <c r="F103" i="99"/>
  <c r="A104" i="99"/>
  <c r="C102" i="99"/>
  <c r="D102" i="99"/>
  <c r="F104" i="98"/>
  <c r="G104" i="98"/>
  <c r="B104" i="98"/>
  <c r="E104" i="98"/>
  <c r="F104" i="97"/>
  <c r="B104" i="97"/>
  <c r="G104" i="97"/>
  <c r="E104" i="97"/>
  <c r="D103" i="97"/>
  <c r="C103" i="97"/>
  <c r="D103" i="98"/>
  <c r="C103" i="98"/>
  <c r="D98" i="103"/>
  <c r="C98" i="103"/>
  <c r="E98" i="104"/>
  <c r="F98" i="104"/>
  <c r="A99" i="104"/>
  <c r="G98" i="104"/>
  <c r="B98" i="104"/>
  <c r="D100" i="101"/>
  <c r="C100" i="101"/>
  <c r="F99" i="103"/>
  <c r="G99" i="103"/>
  <c r="E99" i="103"/>
  <c r="A100" i="103"/>
  <c r="B99" i="103"/>
  <c r="C97" i="104"/>
  <c r="D97" i="104"/>
  <c r="B103" i="88"/>
  <c r="A104" i="88"/>
  <c r="E103" i="88"/>
  <c r="G103" i="88"/>
  <c r="F103" i="88"/>
  <c r="E102" i="100"/>
  <c r="G102" i="100"/>
  <c r="F102" i="100"/>
  <c r="B102" i="100"/>
  <c r="A103" i="100"/>
  <c r="E100" i="102"/>
  <c r="B100" i="102"/>
  <c r="F100" i="102"/>
  <c r="G100" i="102"/>
  <c r="A101" i="102"/>
  <c r="C99" i="102"/>
  <c r="D99" i="102"/>
  <c r="E101" i="101"/>
  <c r="A102" i="101"/>
  <c r="F101" i="101"/>
  <c r="B101" i="101"/>
  <c r="G101" i="101"/>
  <c r="C102" i="88"/>
  <c r="D102" i="88"/>
  <c r="D101" i="100"/>
  <c r="C101" i="100"/>
  <c r="D102" i="96" l="1"/>
  <c r="C102" i="96"/>
  <c r="F103" i="96"/>
  <c r="B103" i="96"/>
  <c r="A104" i="96"/>
  <c r="G103" i="96"/>
  <c r="E103" i="96"/>
  <c r="E103" i="95"/>
  <c r="A104" i="95"/>
  <c r="F103" i="95"/>
  <c r="G103" i="95"/>
  <c r="B103" i="95"/>
  <c r="D102" i="95"/>
  <c r="C102" i="95"/>
  <c r="F98" i="121"/>
  <c r="A99" i="121"/>
  <c r="E98" i="121"/>
  <c r="G98" i="121"/>
  <c r="B98" i="121"/>
  <c r="D97" i="121"/>
  <c r="C97" i="121"/>
  <c r="F104" i="99"/>
  <c r="B104" i="99"/>
  <c r="G104" i="99"/>
  <c r="E104" i="99"/>
  <c r="D103" i="99"/>
  <c r="C103" i="99"/>
  <c r="C104" i="98"/>
  <c r="D104" i="98"/>
  <c r="D104" i="97"/>
  <c r="C104" i="97"/>
  <c r="B101" i="102"/>
  <c r="A102" i="102"/>
  <c r="F101" i="102"/>
  <c r="E101" i="102"/>
  <c r="G101" i="102"/>
  <c r="C98" i="104"/>
  <c r="D98" i="104"/>
  <c r="D99" i="103"/>
  <c r="C99" i="103"/>
  <c r="C101" i="101"/>
  <c r="D101" i="101"/>
  <c r="A101" i="103"/>
  <c r="B100" i="103"/>
  <c r="F100" i="103"/>
  <c r="G100" i="103"/>
  <c r="E100" i="103"/>
  <c r="B99" i="104"/>
  <c r="A100" i="104"/>
  <c r="G99" i="104"/>
  <c r="E99" i="104"/>
  <c r="F99" i="104"/>
  <c r="C100" i="102"/>
  <c r="D100" i="102"/>
  <c r="G102" i="101"/>
  <c r="A103" i="101"/>
  <c r="F102" i="101"/>
  <c r="B102" i="101"/>
  <c r="E102" i="101"/>
  <c r="A104" i="100"/>
  <c r="F103" i="100"/>
  <c r="E103" i="100"/>
  <c r="B103" i="100"/>
  <c r="G103" i="100"/>
  <c r="F104" i="88"/>
  <c r="G104" i="88"/>
  <c r="B104" i="88"/>
  <c r="E104" i="88"/>
  <c r="D102" i="100"/>
  <c r="C102" i="100"/>
  <c r="D103" i="88"/>
  <c r="C103" i="88"/>
  <c r="E104" i="96" l="1"/>
  <c r="G104" i="96"/>
  <c r="F104" i="96"/>
  <c r="B104" i="96"/>
  <c r="C103" i="96"/>
  <c r="D103" i="96"/>
  <c r="C103" i="95"/>
  <c r="D103" i="95"/>
  <c r="G104" i="95"/>
  <c r="F104" i="95"/>
  <c r="E104" i="95"/>
  <c r="B104" i="95"/>
  <c r="D98" i="121"/>
  <c r="C98" i="121"/>
  <c r="B99" i="121"/>
  <c r="G99" i="121"/>
  <c r="A100" i="121"/>
  <c r="E99" i="121"/>
  <c r="F99" i="121"/>
  <c r="D104" i="99"/>
  <c r="C104" i="99"/>
  <c r="D103" i="100"/>
  <c r="C103" i="100"/>
  <c r="E104" i="100"/>
  <c r="G104" i="100"/>
  <c r="F104" i="100"/>
  <c r="B104" i="100"/>
  <c r="C100" i="103"/>
  <c r="D100" i="103"/>
  <c r="C104" i="88"/>
  <c r="D104" i="88"/>
  <c r="E101" i="103"/>
  <c r="F101" i="103"/>
  <c r="A102" i="103"/>
  <c r="G101" i="103"/>
  <c r="B101" i="103"/>
  <c r="C102" i="101"/>
  <c r="D102" i="101"/>
  <c r="E100" i="104"/>
  <c r="A101" i="104"/>
  <c r="G100" i="104"/>
  <c r="F100" i="104"/>
  <c r="B100" i="104"/>
  <c r="A103" i="102"/>
  <c r="E102" i="102"/>
  <c r="G102" i="102"/>
  <c r="B102" i="102"/>
  <c r="F102" i="102"/>
  <c r="F103" i="101"/>
  <c r="E103" i="101"/>
  <c r="A104" i="101"/>
  <c r="G103" i="101"/>
  <c r="B103" i="101"/>
  <c r="C99" i="104"/>
  <c r="D99" i="104"/>
  <c r="D101" i="102"/>
  <c r="C101" i="102"/>
  <c r="D104" i="96" l="1"/>
  <c r="C104" i="96"/>
  <c r="D104" i="95"/>
  <c r="C104" i="95"/>
  <c r="F100" i="121"/>
  <c r="A101" i="121"/>
  <c r="E100" i="121"/>
  <c r="G100" i="121"/>
  <c r="B100" i="121"/>
  <c r="D99" i="121"/>
  <c r="C99" i="121"/>
  <c r="C103" i="101"/>
  <c r="D103" i="101"/>
  <c r="G103" i="102"/>
  <c r="F103" i="102"/>
  <c r="A104" i="102"/>
  <c r="B103" i="102"/>
  <c r="E103" i="102"/>
  <c r="C101" i="103"/>
  <c r="D101" i="103"/>
  <c r="B104" i="101"/>
  <c r="E104" i="101"/>
  <c r="F104" i="101"/>
  <c r="G104" i="101"/>
  <c r="D100" i="104"/>
  <c r="C100" i="104"/>
  <c r="D104" i="100"/>
  <c r="C104" i="100"/>
  <c r="B102" i="103"/>
  <c r="G102" i="103"/>
  <c r="E102" i="103"/>
  <c r="A103" i="103"/>
  <c r="F102" i="103"/>
  <c r="E101" i="104"/>
  <c r="F101" i="104"/>
  <c r="B101" i="104"/>
  <c r="G101" i="104"/>
  <c r="A102" i="104"/>
  <c r="D102" i="102"/>
  <c r="C102" i="102"/>
  <c r="C100" i="121" l="1"/>
  <c r="D100" i="121"/>
  <c r="B101" i="121"/>
  <c r="E101" i="121"/>
  <c r="A102" i="121"/>
  <c r="G101" i="121"/>
  <c r="F101" i="121"/>
  <c r="D103" i="102"/>
  <c r="C103" i="102"/>
  <c r="B104" i="102"/>
  <c r="E104" i="102"/>
  <c r="G104" i="102"/>
  <c r="F104" i="102"/>
  <c r="A103" i="104"/>
  <c r="E102" i="104"/>
  <c r="F102" i="104"/>
  <c r="B102" i="104"/>
  <c r="G102" i="104"/>
  <c r="D102" i="103"/>
  <c r="C102" i="103"/>
  <c r="C104" i="101"/>
  <c r="D104" i="101"/>
  <c r="B103" i="103"/>
  <c r="F103" i="103"/>
  <c r="A104" i="103"/>
  <c r="E103" i="103"/>
  <c r="G103" i="103"/>
  <c r="D101" i="104"/>
  <c r="C101" i="104"/>
  <c r="F102" i="121" l="1"/>
  <c r="A103" i="121"/>
  <c r="E102" i="121"/>
  <c r="G102" i="121"/>
  <c r="B102" i="121"/>
  <c r="D101" i="121"/>
  <c r="C101" i="121"/>
  <c r="C103" i="103"/>
  <c r="D103" i="103"/>
  <c r="E103" i="104"/>
  <c r="F103" i="104"/>
  <c r="A104" i="104"/>
  <c r="B103" i="104"/>
  <c r="G103" i="104"/>
  <c r="D104" i="102"/>
  <c r="C104" i="102"/>
  <c r="G104" i="103"/>
  <c r="F104" i="103"/>
  <c r="B104" i="103"/>
  <c r="E104" i="103"/>
  <c r="D102" i="104"/>
  <c r="C102" i="104"/>
  <c r="C102" i="121" l="1"/>
  <c r="D102" i="121"/>
  <c r="B103" i="121"/>
  <c r="E103" i="121"/>
  <c r="A104" i="121"/>
  <c r="G103" i="121"/>
  <c r="F103" i="121"/>
  <c r="B104" i="104"/>
  <c r="G104" i="104"/>
  <c r="F104" i="104"/>
  <c r="E104" i="104"/>
  <c r="D103" i="104"/>
  <c r="C103" i="104"/>
  <c r="D104" i="103"/>
  <c r="C104" i="103"/>
  <c r="F104" i="121" l="1"/>
  <c r="E104" i="121"/>
  <c r="G104" i="121"/>
  <c r="B104" i="121"/>
  <c r="D103" i="121"/>
  <c r="C103" i="121"/>
  <c r="C104" i="104"/>
  <c r="D104" i="104"/>
  <c r="C104" i="121" l="1"/>
  <c r="D104" i="1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3" authorId="0" shapeId="0" xr:uid="{00000000-0006-0000-3400-000001000000}">
      <text>
        <r>
          <rPr>
            <sz val="10"/>
            <color theme="0"/>
            <rFont val="Arial"/>
            <family val="2"/>
          </rPr>
          <t>Heide:</t>
        </r>
        <r>
          <rPr>
            <sz val="10"/>
            <color rgb="FFFF0000"/>
            <rFont val="Arial"/>
            <family val="2"/>
          </rPr>
          <t xml:space="preserve">
</t>
        </r>
        <r>
          <rPr>
            <sz val="10"/>
            <color rgb="FFFF0000"/>
            <rFont val="Arial"/>
            <family val="2"/>
          </rPr>
          <t>vorher Weber</t>
        </r>
      </text>
    </comment>
    <comment ref="C37" authorId="0" shapeId="0" xr:uid="{00000000-0006-0000-3400-000002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Triebel</t>
        </r>
      </text>
    </comment>
    <comment ref="C264" authorId="0" shapeId="0" xr:uid="{00000000-0006-0000-3400-000003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Ott</t>
        </r>
      </text>
    </comment>
    <comment ref="B318" authorId="0" shapeId="0" xr:uid="{00000000-0006-0000-3400-000004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Passnummer aus Schleswick-Holstein, gelber Pass</t>
        </r>
      </text>
    </comment>
    <comment ref="C359" authorId="0" shapeId="0" xr:uid="{00000000-0006-0000-3400-000005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Schulze</t>
        </r>
      </text>
    </comment>
    <comment ref="C430" authorId="0" shapeId="0" xr:uid="{00000000-0006-0000-3400-000006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Mattern</t>
        </r>
      </text>
    </comment>
    <comment ref="C538" authorId="0" shapeId="0" xr:uid="{00000000-0006-0000-3400-000007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Dornheim, geändert am 5.10.22</t>
        </r>
      </text>
    </comment>
    <comment ref="H599" authorId="0" shapeId="0" xr:uid="{00000000-0006-0000-3400-000008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Daten aus Hessen, S2022/23</t>
        </r>
      </text>
    </comment>
    <comment ref="H601" authorId="0" shapeId="0" xr:uid="{00000000-0006-0000-3400-000009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Daten aus Hessen, S2022/23</t>
        </r>
      </text>
    </comment>
    <comment ref="B683" authorId="0" shapeId="0" xr:uid="{00000000-0006-0000-3400-00000A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Passnummer alt</t>
        </r>
      </text>
    </comment>
    <comment ref="H692" authorId="0" shapeId="0" xr:uid="{00000000-0006-0000-3400-00000B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Daten aus NRW/WBU aus S2022/23</t>
        </r>
      </text>
    </comment>
    <comment ref="C741" authorId="0" shapeId="0" xr:uid="{00000000-0006-0000-3400-00000C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<sst xmlns="http://schemas.openxmlformats.org/spreadsheetml/2006/main" count="20896" uniqueCount="2641">
  <si>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</si>
  <si>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</si>
  <si>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</si>
  <si>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</si>
  <si>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</si>
  <si>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</si>
  <si>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</si>
  <si>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</si>
  <si>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</si>
  <si>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</si>
  <si>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</si>
  <si>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</si>
  <si>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</si>
  <si>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</si>
  <si>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</si>
  <si>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</si>
  <si>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</si>
  <si>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</si>
  <si>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</si>
  <si>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</si>
  <si>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</si>
  <si>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</si>
  <si>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</si>
  <si>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</si>
  <si>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</si>
  <si>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</si>
  <si>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</si>
  <si>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</si>
  <si>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</si>
  <si>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</si>
  <si>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</si>
  <si>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</si>
  <si>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</si>
  <si>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</si>
  <si>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</si>
  <si>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</si>
  <si>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</si>
  <si>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</si>
  <si>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</si>
  <si>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</si>
  <si>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</si>
  <si>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</si>
  <si>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</si>
  <si>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</si>
  <si>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</si>
  <si>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</si>
  <si>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</si>
  <si>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</si>
  <si>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</si>
  <si>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</si>
  <si>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</si>
  <si>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</si>
  <si>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</si>
  <si>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</si>
  <si>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</si>
  <si>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</si>
  <si>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</si>
  <si>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</si>
  <si>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</si>
  <si>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</si>
  <si>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</si>
  <si>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</si>
  <si>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</si>
  <si>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</si>
  <si>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</si>
  <si>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</si>
  <si>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</si>
  <si>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</si>
  <si>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</si>
  <si>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</si>
  <si>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</si>
  <si>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</si>
  <si>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</si>
  <si>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</si>
  <si>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</si>
  <si>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</si>
  <si>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</si>
  <si>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</si>
  <si>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</si>
  <si>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</si>
  <si>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</si>
  <si>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</si>
  <si>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</si>
  <si>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</si>
  <si>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</si>
  <si>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</si>
  <si>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</si>
  <si>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</si>
  <si>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</si>
  <si>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</si>
  <si>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</si>
  <si>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</si>
  <si>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</si>
  <si>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</si>
  <si>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</si>
  <si>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</si>
  <si>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</si>
  <si>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</si>
  <si>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</si>
  <si>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</si>
  <si>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</si>
  <si>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</si>
  <si>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</si>
  <si>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</si>
  <si>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</si>
  <si>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</si>
  <si>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</si>
  <si>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</si>
  <si>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</si>
  <si>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</si>
  <si>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</si>
  <si>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</si>
  <si>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</si>
  <si>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</si>
  <si>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</si>
  <si>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</si>
  <si>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</si>
  <si>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</si>
  <si>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</si>
  <si>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</si>
  <si>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</si>
  <si>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</si>
  <si>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</si>
  <si>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</si>
  <si>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</si>
  <si>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</si>
  <si>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</si>
  <si>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</si>
  <si>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</si>
  <si>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</si>
  <si>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</si>
  <si>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</si>
  <si>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</si>
  <si>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</si>
  <si>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</si>
  <si>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</si>
  <si>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</si>
  <si>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</si>
  <si>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</si>
  <si>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</si>
  <si>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</si>
  <si>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</si>
  <si>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</si>
  <si>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</si>
  <si>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</si>
  <si>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</si>
  <si>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</si>
  <si>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</si>
  <si>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</si>
  <si>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</si>
  <si>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</si>
  <si>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</si>
  <si>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</si>
  <si>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</si>
  <si>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</si>
  <si>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</si>
  <si>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</si>
  <si>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</si>
  <si>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</si>
  <si>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</si>
  <si>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</si>
  <si>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</si>
  <si>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</si>
  <si>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</si>
  <si>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</si>
  <si>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</si>
  <si>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</si>
  <si>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</si>
  <si>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</si>
  <si>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</si>
  <si>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</si>
  <si>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</si>
  <si>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</si>
  <si>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</si>
  <si>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</si>
  <si>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</si>
  <si>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</si>
  <si>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</si>
  <si>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</si>
  <si>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</si>
  <si>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</si>
  <si>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</si>
  <si>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</si>
  <si>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</si>
  <si>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</si>
  <si>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</si>
  <si>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</si>
  <si>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</si>
  <si>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</si>
  <si>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</si>
  <si>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</si>
  <si>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</si>
  <si>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</si>
  <si>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</si>
  <si>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</si>
  <si>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</si>
  <si>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</si>
  <si>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</si>
  <si>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</si>
  <si>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</si>
  <si>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</si>
  <si>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</si>
  <si>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</si>
  <si>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</si>
  <si>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</si>
  <si>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</si>
  <si>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</si>
  <si>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</si>
  <si>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</si>
  <si>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</si>
  <si>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</si>
  <si>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</si>
  <si>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</si>
  <si>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</si>
  <si>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</si>
  <si>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</si>
  <si>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</si>
  <si>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</si>
  <si>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</si>
  <si>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</si>
  <si>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</si>
  <si>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</si>
  <si>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</si>
  <si>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</si>
  <si>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</si>
  <si>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</si>
  <si>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</si>
  <si>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</si>
  <si>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</si>
  <si>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</si>
  <si>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</si>
  <si>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</si>
  <si>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</si>
  <si>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</si>
  <si>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</si>
  <si>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</si>
  <si>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</si>
  <si>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</si>
  <si>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</si>
  <si>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</si>
  <si>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</si>
  <si>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</si>
  <si>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</si>
  <si>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</si>
  <si>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</si>
  <si>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</si>
  <si>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</si>
  <si>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</si>
  <si>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</si>
  <si>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</si>
  <si>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</si>
  <si>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</si>
  <si>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</si>
  <si>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</si>
  <si>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</si>
  <si>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</si>
  <si>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</si>
  <si>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</si>
  <si>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</si>
  <si>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</si>
  <si>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</si>
  <si>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</si>
  <si>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</si>
  <si>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</si>
  <si>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Ralf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</si>
  <si>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</si>
  <si>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</si>
  <si>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</si>
  <si>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</si>
  <si>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</si>
  <si>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</si>
  <si>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</si>
  <si>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</si>
  <si>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</si>
  <si>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</si>
  <si>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</si>
  <si>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</si>
  <si>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</si>
  <si>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</si>
  <si>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</si>
  <si>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</si>
  <si>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</si>
  <si>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</si>
  <si>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</si>
  <si>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</si>
  <si>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</si>
  <si>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</si>
  <si>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</si>
  <si>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</si>
  <si>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</si>
  <si>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</si>
  <si>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</si>
  <si>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</si>
  <si>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</si>
  <si>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</si>
  <si>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</si>
  <si>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</si>
  <si>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</si>
  <si>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</si>
  <si>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</si>
  <si>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</si>
  <si>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</si>
  <si>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</si>
  <si>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</si>
  <si>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</si>
  <si>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</si>
  <si>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</si>
  <si>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</si>
  <si>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</si>
  <si>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</si>
  <si>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</si>
  <si>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</si>
  <si>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</si>
  <si>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</si>
  <si>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</si>
  <si>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</si>
  <si>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</si>
  <si>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</si>
  <si>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</si>
  <si>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</si>
  <si>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</si>
  <si>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</si>
  <si>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</si>
  <si>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</si>
  <si>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</si>
  <si>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</si>
  <si>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</si>
  <si>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</si>
  <si>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</si>
  <si>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</si>
  <si>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</si>
  <si>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</si>
  <si>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</si>
  <si>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</si>
  <si>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</si>
  <si>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</si>
  <si>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</si>
  <si>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</si>
  <si>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</si>
  <si>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</si>
  <si>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</si>
  <si>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</si>
  <si>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</si>
  <si>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</si>
  <si>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</si>
  <si>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</si>
  <si>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</si>
  <si>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</si>
  <si>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</si>
  <si>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</si>
  <si>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</si>
  <si>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</si>
  <si>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</si>
  <si>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</si>
  <si>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</si>
  <si>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</si>
  <si>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</si>
  <si>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</si>
  <si>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</si>
  <si>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</si>
  <si>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</si>
  <si>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</si>
  <si>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</si>
  <si>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</si>
  <si>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</si>
  <si>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</si>
  <si>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</si>
  <si>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</si>
  <si>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</si>
  <si>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</si>
  <si>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</si>
  <si>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</si>
  <si>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</si>
  <si>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</si>
  <si>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</si>
  <si>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</si>
  <si>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</si>
  <si>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</si>
  <si>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</si>
  <si>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</si>
  <si>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</si>
  <si>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</si>
  <si>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</si>
  <si>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</si>
  <si>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</si>
  <si>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</si>
  <si>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</si>
  <si>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</si>
  <si>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</si>
  <si>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</si>
  <si>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</si>
  <si>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</si>
  <si>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</si>
  <si>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</si>
  <si>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</si>
  <si>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</si>
  <si>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</si>
  <si>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</si>
  <si>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</si>
  <si>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</si>
  <si>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</si>
  <si>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</si>
  <si>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</si>
  <si>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</si>
  <si>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</si>
  <si>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</si>
  <si>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</si>
  <si>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</si>
  <si>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</si>
  <si>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</si>
  <si>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</si>
  <si>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</si>
  <si>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</si>
  <si>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</si>
  <si>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</si>
  <si>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</si>
  <si>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</si>
  <si>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</si>
  <si>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</si>
  <si>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</si>
  <si>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</si>
  <si>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</si>
  <si>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</si>
  <si>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</si>
  <si>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</si>
  <si>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</si>
  <si>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</si>
  <si>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</si>
  <si>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</si>
  <si>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</si>
  <si>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</si>
  <si>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</si>
  <si>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</si>
  <si>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</si>
  <si>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</si>
  <si>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</si>
  <si>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</si>
  <si>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</si>
  <si>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</si>
  <si>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</si>
  <si>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</si>
  <si>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</si>
  <si>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</si>
  <si>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</si>
  <si>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</si>
  <si>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</si>
  <si>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</si>
  <si>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</si>
  <si>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</si>
  <si>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</si>
  <si>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</si>
  <si>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</si>
  <si>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</si>
  <si>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</si>
  <si>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</si>
  <si>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</si>
  <si>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</si>
  <si>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</si>
  <si>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</si>
  <si>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</si>
  <si>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</si>
  <si>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</si>
  <si>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</si>
  <si>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</si>
  <si>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</si>
  <si>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</si>
  <si>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</si>
  <si>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</si>
  <si>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</si>
  <si>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</si>
  <si>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</si>
  <si>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</si>
  <si>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</si>
  <si>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</si>
  <si>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</si>
  <si>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</si>
  <si>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</si>
  <si>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</si>
  <si>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</si>
  <si>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</si>
  <si>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</si>
  <si>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</si>
  <si>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</si>
  <si>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</si>
  <si>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</si>
  <si>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</si>
  <si>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</si>
  <si>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</si>
  <si>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</si>
  <si>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</si>
  <si>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</si>
  <si>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</si>
  <si>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</si>
  <si>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</si>
  <si>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</si>
  <si>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</si>
  <si>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</si>
  <si>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</si>
  <si>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</si>
  <si>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</si>
  <si>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</si>
  <si>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</si>
  <si>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</si>
  <si>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</si>
  <si>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</si>
  <si>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</si>
  <si>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</si>
  <si>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</si>
  <si>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</si>
  <si>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</si>
  <si>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</si>
  <si>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</si>
  <si>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</si>
  <si>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</si>
  <si>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</si>
  <si>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</si>
  <si>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</si>
  <si>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</si>
  <si>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</si>
  <si>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</si>
  <si>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</si>
  <si>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</si>
  <si>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</si>
  <si>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</si>
  <si>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</si>
  <si>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</si>
  <si>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</si>
  <si>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</si>
  <si>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</si>
  <si>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</si>
  <si>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</si>
  <si>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</si>
  <si>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</si>
  <si>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</si>
  <si>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</si>
  <si>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</si>
  <si>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</si>
  <si>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</si>
  <si>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</si>
  <si>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</si>
  <si>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</si>
  <si>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</si>
  <si>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</si>
  <si>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</si>
  <si>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</si>
  <si>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</si>
  <si>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</si>
  <si>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</si>
  <si>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</si>
  <si>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</si>
  <si>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</si>
  <si>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</si>
  <si>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</si>
  <si>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</si>
  <si>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</si>
  <si>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</si>
  <si>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</si>
  <si>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</si>
  <si>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</si>
  <si>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</si>
  <si>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</si>
  <si>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</si>
  <si>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</si>
  <si>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</si>
  <si>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</si>
  <si>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</si>
  <si>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</si>
  <si>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</si>
  <si>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</si>
  <si>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</si>
  <si>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</si>
  <si>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</si>
  <si>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</si>
  <si>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</si>
  <si>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</si>
  <si>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</si>
  <si>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</si>
  <si>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</si>
  <si>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</si>
  <si>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</si>
  <si>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</si>
  <si>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</si>
  <si>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</si>
  <si>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</si>
  <si>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</si>
  <si>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</si>
  <si>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</si>
  <si>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</si>
  <si>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</si>
  <si>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</si>
  <si>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</si>
  <si>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</si>
  <si>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</si>
  <si>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</si>
  <si>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</si>
  <si>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</si>
  <si>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</si>
  <si>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</si>
  <si>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</si>
  <si>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</si>
  <si>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</si>
  <si>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</si>
  <si>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</si>
  <si>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</si>
  <si>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</si>
  <si>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</si>
  <si>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</si>
  <si>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</si>
  <si>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</si>
  <si>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</si>
  <si>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</si>
  <si>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</si>
  <si>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</si>
  <si>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</si>
  <si>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</si>
  <si>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</si>
  <si>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</si>
  <si>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</si>
  <si>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</si>
  <si>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</si>
  <si>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</si>
  <si>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</si>
  <si>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</si>
  <si>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</si>
  <si>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D 115847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</si>
  <si>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</si>
  <si>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</si>
  <si>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</si>
  <si>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</si>
  <si>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</si>
  <si>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</si>
  <si>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</si>
  <si>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</si>
  <si>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</si>
  <si>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</si>
  <si>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</si>
  <si>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</si>
  <si>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</si>
  <si>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</si>
  <si>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</si>
  <si>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</si>
  <si>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</si>
  <si>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</si>
  <si>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</si>
  <si>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</si>
  <si>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</si>
  <si>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</si>
  <si>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</si>
  <si>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</si>
  <si>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</si>
  <si>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</si>
  <si>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</si>
  <si>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</si>
  <si>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</si>
  <si>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</si>
  <si>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</si>
  <si>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</si>
  <si>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</si>
  <si>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</si>
  <si>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</si>
  <si>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</si>
  <si>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</si>
  <si>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</si>
  <si>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</si>
  <si>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</si>
  <si>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</si>
  <si>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</si>
  <si>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</si>
  <si>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</si>
  <si>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</si>
  <si>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</si>
  <si>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</si>
  <si>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</si>
  <si>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</si>
  <si>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</si>
  <si>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</si>
  <si>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</si>
  <si>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</si>
  <si>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</si>
  <si>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</si>
  <si>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</si>
  <si>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</si>
  <si>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</si>
  <si>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</si>
  <si>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</si>
  <si>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</si>
  <si>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</si>
  <si>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</si>
  <si>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</si>
  <si>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</si>
  <si>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</si>
  <si>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</si>
  <si>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</si>
  <si>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</si>
  <si>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</si>
  <si>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</si>
  <si>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</si>
  <si>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</si>
  <si>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</si>
  <si>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</si>
  <si>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</si>
  <si>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</si>
  <si>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</si>
  <si>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</si>
  <si>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</si>
  <si>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</si>
  <si>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</si>
  <si>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</si>
  <si>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</si>
  <si>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</si>
  <si>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</si>
  <si>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</si>
  <si>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</si>
  <si>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</si>
  <si>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</si>
  <si>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</si>
  <si>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</si>
  <si>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</si>
  <si>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</si>
  <si>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</si>
  <si>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</si>
  <si>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</si>
  <si>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</si>
  <si>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</si>
  <si>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</si>
  <si>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</si>
  <si>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</si>
  <si>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</si>
  <si>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</si>
  <si>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</si>
  <si>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</si>
  <si>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</si>
  <si>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</si>
  <si>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</si>
  <si>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</si>
  <si>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</si>
  <si>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</si>
  <si>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</si>
  <si>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</si>
  <si>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</si>
  <si>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</si>
  <si>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</si>
  <si>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</si>
  <si>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</si>
  <si>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</si>
  <si>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</si>
  <si>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</si>
  <si>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</si>
  <si>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</si>
  <si>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</si>
  <si>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</si>
  <si>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</si>
  <si>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</si>
  <si>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</si>
  <si>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</si>
  <si>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</si>
  <si>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</si>
  <si>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</si>
  <si>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</si>
  <si>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</si>
  <si>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</si>
  <si>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</si>
  <si>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</si>
  <si>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</si>
  <si>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</si>
  <si>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</si>
  <si>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D 118655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</si>
  <si>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</si>
  <si>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</si>
  <si>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</si>
  <si>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</si>
  <si>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</si>
  <si>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</si>
  <si>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</si>
  <si>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</si>
  <si>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</si>
  <si>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</si>
  <si>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</si>
  <si>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</si>
  <si>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</si>
  <si>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</si>
  <si>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</si>
  <si>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</si>
  <si>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</si>
  <si>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</si>
  <si>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</si>
  <si>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</si>
  <si>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</si>
  <si>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</si>
  <si>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</si>
  <si>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</si>
  <si>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</si>
  <si>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</si>
  <si>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</si>
  <si>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</si>
  <si>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</si>
  <si>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</si>
  <si>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</si>
  <si>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</si>
  <si>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</si>
  <si>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</si>
  <si>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</si>
  <si>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</si>
  <si>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</si>
  <si>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</si>
  <si>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</si>
  <si>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</si>
  <si>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</si>
  <si>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</si>
  <si>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</si>
  <si>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</si>
  <si>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</si>
  <si>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</si>
  <si>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</si>
  <si>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</si>
  <si>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</si>
  <si>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</si>
  <si>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</si>
  <si>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</si>
  <si>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</si>
  <si>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</si>
  <si>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</si>
  <si>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</si>
  <si>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</si>
  <si>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</si>
  <si>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</si>
  <si>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</si>
  <si>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</si>
  <si>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</si>
  <si>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</si>
  <si>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</si>
  <si>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</si>
  <si>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</si>
  <si>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</si>
  <si>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</si>
  <si>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</si>
  <si>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</si>
  <si>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</si>
  <si>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</si>
  <si>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</si>
  <si>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</si>
  <si>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</si>
  <si>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</si>
  <si>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</si>
  <si>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</si>
  <si>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</si>
  <si>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</si>
  <si>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</si>
  <si>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</si>
  <si>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</si>
  <si>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</si>
  <si>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</si>
  <si>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</si>
  <si>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</si>
  <si>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</si>
  <si>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</si>
  <si>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</si>
  <si>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</si>
  <si>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</si>
  <si>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</si>
  <si>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</si>
  <si>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</si>
  <si>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</si>
  <si>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</si>
  <si>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</si>
  <si>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</si>
  <si>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</si>
  <si>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</si>
  <si>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</si>
  <si>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</si>
  <si>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</si>
  <si>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</si>
  <si>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</si>
  <si>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</si>
  <si>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</si>
  <si>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</si>
  <si>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</si>
  <si>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</si>
  <si>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</si>
  <si>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</si>
  <si>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</si>
  <si>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</si>
  <si>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</si>
  <si>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</si>
  <si>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</si>
  <si>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</si>
  <si>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</si>
  <si>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</si>
  <si>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</si>
  <si>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</si>
  <si>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</si>
  <si>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</si>
  <si>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</si>
  <si>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</si>
  <si>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</si>
  <si>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</si>
  <si>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</si>
  <si>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</si>
  <si>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</si>
  <si>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</si>
  <si>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</si>
  <si>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</si>
  <si>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</si>
  <si>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</si>
  <si>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</si>
  <si>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</si>
  <si>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</si>
  <si>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</si>
  <si>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</si>
  <si>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</si>
  <si>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</si>
  <si>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</si>
  <si>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</si>
  <si>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</si>
  <si>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</si>
  <si>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</si>
  <si>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</si>
  <si>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</si>
  <si>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</si>
  <si>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</si>
  <si>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</si>
  <si>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</si>
  <si>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</si>
  <si>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</si>
  <si>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</si>
  <si>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</si>
  <si>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</si>
  <si>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</si>
  <si>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</si>
  <si>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</si>
  <si>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</si>
  <si>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</si>
  <si>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</si>
  <si>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</si>
  <si>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</si>
  <si>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</si>
  <si>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</si>
  <si>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</si>
  <si>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</si>
  <si>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</si>
  <si>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</si>
  <si>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</si>
  <si>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</si>
  <si>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</si>
  <si>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</si>
  <si>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</si>
  <si>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</si>
  <si>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</si>
  <si>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</si>
  <si>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</si>
  <si>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</si>
  <si>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</si>
  <si>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</si>
  <si>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</si>
  <si>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</si>
  <si>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</si>
  <si>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</si>
  <si>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</si>
  <si>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</si>
  <si>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</si>
  <si>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</si>
  <si>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</si>
  <si>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</si>
  <si>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</si>
  <si>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</si>
  <si>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</si>
  <si>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</si>
  <si>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</si>
  <si>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</si>
  <si>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</si>
  <si>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</si>
  <si>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</si>
  <si>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</si>
  <si>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</si>
  <si>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</si>
  <si>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</si>
  <si>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</si>
  <si>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</si>
  <si>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</si>
  <si>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</si>
  <si>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</si>
  <si>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</si>
  <si>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</si>
  <si>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</si>
  <si>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</si>
  <si>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</si>
  <si>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</si>
  <si>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</si>
  <si>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</si>
  <si>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</si>
  <si>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</si>
  <si>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</si>
  <si>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</si>
  <si>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</si>
  <si>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</si>
  <si>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</si>
  <si>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</si>
  <si>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</si>
  <si>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</si>
  <si>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</si>
  <si>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</si>
  <si>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</si>
  <si>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</si>
  <si>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</si>
  <si>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</si>
  <si>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</si>
  <si>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</si>
  <si>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</si>
  <si>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</si>
  <si>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</si>
  <si>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</si>
  <si>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</si>
  <si>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</si>
  <si>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</si>
  <si>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</si>
  <si>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</si>
  <si>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</si>
  <si>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</si>
  <si>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</si>
  <si>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</si>
  <si>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</si>
  <si>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</si>
  <si>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</si>
  <si>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</si>
  <si>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</si>
  <si>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</si>
  <si>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</si>
  <si>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</si>
  <si>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</si>
  <si>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</si>
  <si>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</si>
  <si>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</si>
  <si>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</si>
  <si>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</si>
  <si>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</si>
  <si>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</si>
  <si>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</si>
  <si>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</si>
  <si>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</si>
  <si>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</si>
  <si>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</si>
  <si>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</si>
  <si>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</si>
  <si>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</si>
  <si>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</si>
  <si>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</si>
  <si>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</si>
  <si>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</si>
  <si>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</si>
  <si>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</si>
  <si>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</si>
  <si>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</si>
  <si>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</si>
  <si>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</si>
  <si>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</si>
  <si>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</si>
  <si>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</si>
  <si>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</si>
  <si>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</si>
  <si>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</si>
  <si>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</si>
  <si>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</si>
  <si>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</si>
  <si>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</si>
  <si>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</si>
  <si>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</si>
  <si>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</si>
  <si>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</si>
  <si>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</si>
  <si>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</si>
  <si>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</si>
  <si>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</si>
  <si>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</si>
  <si>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</si>
  <si>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</si>
  <si>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</si>
  <si>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</si>
  <si>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</si>
  <si>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</si>
  <si>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</si>
  <si>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</si>
  <si>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</si>
  <si>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</si>
  <si>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</si>
  <si>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</si>
  <si>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</si>
  <si>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</si>
  <si>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</si>
  <si>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</si>
  <si>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</si>
  <si>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</si>
  <si>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</si>
  <si>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</si>
  <si>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</si>
  <si>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</si>
  <si>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</si>
  <si>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</si>
  <si>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</si>
  <si>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</si>
  <si>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</si>
  <si>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</si>
  <si>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</si>
  <si>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</si>
  <si>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</si>
  <si>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</si>
  <si>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</si>
  <si>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</si>
  <si>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</si>
  <si>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</si>
  <si>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</si>
  <si>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</si>
  <si>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</si>
  <si>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</si>
  <si>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</si>
  <si>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</si>
  <si>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</si>
  <si>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</si>
  <si>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</si>
  <si>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</si>
  <si>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</si>
  <si>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</si>
  <si>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</si>
  <si>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</si>
  <si>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</si>
  <si>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</si>
  <si>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</si>
  <si>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</si>
  <si>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</si>
  <si>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</si>
  <si>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</si>
  <si>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</si>
  <si>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</si>
  <si>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</si>
  <si>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</si>
  <si>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</si>
  <si>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</si>
  <si>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</si>
  <si>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</si>
  <si>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</si>
  <si>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</si>
  <si>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</si>
  <si>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</si>
  <si>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</si>
  <si>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</si>
  <si>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</si>
  <si>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</si>
  <si>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</si>
  <si>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</si>
  <si>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</si>
  <si>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</si>
  <si>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</si>
  <si>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</si>
  <si>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</si>
  <si>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</si>
  <si>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</si>
  <si>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</si>
  <si>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</si>
  <si>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</si>
  <si>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</si>
  <si>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</si>
  <si>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</si>
  <si>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</si>
  <si>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</si>
  <si>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</si>
  <si>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</si>
  <si>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</si>
  <si>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</si>
  <si>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</si>
  <si>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</si>
  <si>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</si>
  <si>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</si>
  <si>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</si>
  <si>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</si>
  <si>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</si>
  <si>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</si>
  <si>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</si>
  <si>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</si>
  <si>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</si>
  <si>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</si>
  <si>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</si>
  <si>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</si>
  <si>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</si>
  <si>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</si>
  <si>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</si>
  <si>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</si>
  <si>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</si>
  <si>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</si>
  <si>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</si>
  <si>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</si>
  <si>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</si>
  <si>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</si>
  <si>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</si>
  <si>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</si>
  <si>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</si>
  <si>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</si>
  <si>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</si>
  <si>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</si>
  <si>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</si>
  <si>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</si>
  <si>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</si>
  <si>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</si>
  <si>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</si>
  <si>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</si>
  <si>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</si>
  <si>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</si>
  <si>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</si>
  <si>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</si>
  <si>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</si>
  <si>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</si>
  <si>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</si>
  <si>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</si>
  <si>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</si>
  <si>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</si>
  <si>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</si>
  <si>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</si>
  <si>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</si>
  <si>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</si>
  <si>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</si>
  <si>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</si>
  <si>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</si>
  <si>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</si>
  <si>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</si>
  <si>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</si>
  <si>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</si>
  <si>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</si>
  <si>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</si>
  <si>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</si>
  <si>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</si>
  <si>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</si>
  <si>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</si>
  <si>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</si>
  <si>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</si>
  <si>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</si>
  <si>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</si>
  <si>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</si>
  <si>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</si>
  <si>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</si>
  <si>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</si>
  <si>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</si>
  <si>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</si>
  <si>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</si>
  <si>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</si>
  <si>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</si>
  <si>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</si>
  <si>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</si>
  <si>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</si>
  <si>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</si>
  <si>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</si>
  <si>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</si>
  <si>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</si>
  <si>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</si>
  <si>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</si>
  <si>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</si>
  <si>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</si>
  <si>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</si>
  <si>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</si>
  <si>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</si>
  <si>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</si>
  <si>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</si>
  <si>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</si>
  <si>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</si>
  <si>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</si>
  <si>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</si>
  <si>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</si>
  <si>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</si>
  <si>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</si>
  <si>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</si>
  <si>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</si>
  <si>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</si>
  <si>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</si>
  <si>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</si>
  <si>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</si>
  <si>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</si>
  <si>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</si>
  <si>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</si>
  <si>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</si>
  <si>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</si>
  <si>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</si>
  <si>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</si>
  <si>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</si>
  <si>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</si>
  <si>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</si>
  <si>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</si>
  <si>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</si>
  <si>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</si>
  <si>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</si>
  <si>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</si>
  <si>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</si>
  <si>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</si>
  <si>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</si>
  <si>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</si>
  <si>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</si>
  <si>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</si>
  <si>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</si>
  <si>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</si>
  <si>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</si>
  <si>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</si>
  <si>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</si>
  <si>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</si>
  <si>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</si>
  <si>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</si>
  <si>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</si>
  <si>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</si>
  <si>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</si>
  <si>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</si>
  <si>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</si>
  <si>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</si>
  <si>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</si>
  <si>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</si>
  <si>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</si>
  <si>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</si>
  <si>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</si>
  <si>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</si>
  <si>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</si>
  <si>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</si>
  <si>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</si>
  <si>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</si>
  <si>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</si>
  <si>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</si>
  <si>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</si>
  <si>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</si>
  <si>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</si>
  <si>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</si>
  <si>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</si>
  <si>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</si>
  <si>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</si>
  <si>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</si>
  <si>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</si>
  <si>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</si>
  <si>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</si>
  <si>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</si>
  <si>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</si>
  <si>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</si>
  <si>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</si>
  <si>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</si>
  <si>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</si>
  <si>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</si>
  <si>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</si>
  <si>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</si>
  <si>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</si>
  <si>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</si>
  <si>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</si>
  <si>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</si>
  <si>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</si>
  <si>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</si>
  <si>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</si>
  <si>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</si>
  <si>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</si>
  <si>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</si>
  <si>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</si>
  <si>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</si>
  <si>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</si>
  <si>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</si>
  <si>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</si>
  <si>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</si>
  <si>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</si>
  <si>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</si>
  <si>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</si>
  <si>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</si>
  <si>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</si>
  <si>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</si>
  <si>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</si>
  <si>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</si>
  <si>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</si>
  <si>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</si>
  <si>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</si>
  <si>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</si>
  <si>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</si>
  <si>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</si>
  <si>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</si>
  <si>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</si>
  <si>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</si>
  <si>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</si>
  <si>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</si>
  <si>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</si>
  <si>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</si>
  <si>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</si>
  <si>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</si>
  <si>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</si>
  <si>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</si>
  <si>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</si>
  <si>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</si>
  <si>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</si>
  <si>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</si>
  <si>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</si>
  <si>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</si>
  <si>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</si>
  <si>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</si>
  <si>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</si>
  <si>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</si>
  <si>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</si>
  <si>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</si>
  <si>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</si>
  <si>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</si>
  <si>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</si>
  <si>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</si>
  <si>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</si>
  <si>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</si>
  <si>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</si>
  <si>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</si>
  <si>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</si>
  <si>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</si>
  <si>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</si>
  <si>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</si>
  <si>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</si>
  <si>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</si>
  <si>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</si>
  <si>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</si>
  <si>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</si>
  <si>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</si>
  <si>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</si>
  <si>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</si>
  <si>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</si>
  <si>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</si>
  <si>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</si>
  <si>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</si>
  <si>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</si>
  <si>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</si>
  <si>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</si>
  <si>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</si>
  <si>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</si>
  <si>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</si>
  <si>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</si>
  <si>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</si>
  <si>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</si>
  <si>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</si>
  <si>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</si>
  <si>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</si>
  <si>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</si>
  <si>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</si>
  <si>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</si>
  <si>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</si>
  <si>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</si>
  <si>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</si>
  <si>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</si>
  <si>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</si>
  <si>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</si>
  <si>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</si>
  <si>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</si>
  <si>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</si>
  <si>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</si>
  <si>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</si>
  <si>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</si>
  <si>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</si>
  <si>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</si>
  <si>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</si>
  <si>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</si>
  <si>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</si>
  <si>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</si>
  <si>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</si>
  <si>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</si>
  <si>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</si>
  <si>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</si>
  <si>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</si>
  <si>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</si>
  <si>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</si>
  <si>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</si>
  <si>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</si>
  <si>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</si>
  <si>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</si>
  <si>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</si>
  <si>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</si>
  <si>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</si>
  <si>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</si>
  <si>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</si>
  <si>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</si>
  <si>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</si>
  <si>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</si>
  <si>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</si>
  <si>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</si>
  <si>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</si>
  <si>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</si>
  <si>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</si>
  <si>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</si>
  <si>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</si>
  <si>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</si>
  <si>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</si>
  <si>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</si>
  <si>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</si>
  <si>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</si>
  <si>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</si>
  <si>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</si>
  <si>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</si>
  <si>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</si>
  <si>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</si>
  <si>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</si>
  <si>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</si>
  <si>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</si>
  <si>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</si>
  <si>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</si>
  <si>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</si>
  <si>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</si>
  <si>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</si>
  <si>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</si>
  <si>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</si>
  <si>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</si>
  <si>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</si>
  <si>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</si>
  <si>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</si>
  <si>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</si>
  <si>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</si>
  <si>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</si>
  <si>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</si>
  <si>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</si>
  <si>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</si>
  <si>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</si>
  <si>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</si>
  <si>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</si>
  <si>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</si>
  <si>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</si>
  <si>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</si>
  <si>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</si>
  <si>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</si>
  <si>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</si>
  <si>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</si>
  <si>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</si>
  <si>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</si>
  <si>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</si>
  <si>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</si>
  <si>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</si>
  <si>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</si>
  <si>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</si>
  <si>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</si>
  <si>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</si>
  <si>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</si>
  <si>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</si>
  <si>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</si>
  <si>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</si>
  <si>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</si>
  <si>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</si>
  <si>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</si>
  <si>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</si>
  <si>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</si>
  <si>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</si>
  <si>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</si>
  <si>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</si>
  <si>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</si>
  <si>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</si>
  <si>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</si>
  <si>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</si>
  <si>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</si>
  <si>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</si>
  <si>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</si>
  <si>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</si>
  <si>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</si>
  <si>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</si>
  <si>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</si>
  <si>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</si>
  <si>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</si>
  <si>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</si>
  <si>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</si>
  <si>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</si>
  <si>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</si>
  <si>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</si>
  <si>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</si>
  <si>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</si>
  <si>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</si>
  <si>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</si>
  <si>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</si>
  <si>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</si>
  <si>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</si>
  <si>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</si>
  <si>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</si>
  <si>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</si>
  <si>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</si>
  <si>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</si>
  <si>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</si>
  <si>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</si>
  <si>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</si>
  <si>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</si>
  <si>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</si>
  <si>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</si>
  <si>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</si>
  <si>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</si>
  <si>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</si>
  <si>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</si>
  <si>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</si>
  <si>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</si>
  <si>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</si>
  <si>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</si>
  <si>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</si>
  <si>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</si>
  <si>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</si>
  <si>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</si>
  <si>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</si>
  <si>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</si>
  <si>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</si>
  <si>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</si>
  <si>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</si>
  <si>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</si>
  <si>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</si>
  <si>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</si>
  <si>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</si>
  <si>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</si>
  <si>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</si>
  <si>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</si>
  <si>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</si>
  <si>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</si>
  <si>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</si>
  <si>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</si>
  <si>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</si>
  <si>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</si>
  <si>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</si>
  <si>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</si>
  <si>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</si>
  <si>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</si>
  <si>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</si>
  <si>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</si>
  <si>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</si>
  <si>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</si>
  <si>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</si>
  <si>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</si>
  <si>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</si>
  <si>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</si>
  <si>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</si>
  <si>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</si>
  <si>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</si>
  <si>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</si>
  <si>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</si>
  <si>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</si>
  <si>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</si>
  <si>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</si>
  <si>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</si>
  <si>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</si>
  <si>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</si>
  <si>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</si>
  <si>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</si>
  <si>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</si>
  <si>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</si>
  <si>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</si>
  <si>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</si>
  <si>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</si>
  <si>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</si>
  <si>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</si>
  <si>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</si>
  <si>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</si>
  <si>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</si>
  <si>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</si>
  <si>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</si>
  <si>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</si>
  <si>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</si>
  <si>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</si>
  <si>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</si>
  <si>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</si>
  <si>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</si>
  <si>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</si>
  <si>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</si>
  <si>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</si>
  <si>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</si>
  <si>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</si>
  <si>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</si>
  <si>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</si>
  <si>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</si>
  <si>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</si>
  <si>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</si>
  <si>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</si>
  <si>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</si>
  <si>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</si>
  <si>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</si>
  <si>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</si>
  <si>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</si>
  <si>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</si>
  <si>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</si>
  <si>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</si>
  <si>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</si>
  <si>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</si>
  <si>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</si>
  <si>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</si>
  <si>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</si>
  <si>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</si>
  <si>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</si>
  <si>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</si>
  <si>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</si>
  <si>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</si>
  <si>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</si>
  <si>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</si>
  <si>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</si>
  <si>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</si>
  <si>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</si>
  <si>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</si>
  <si>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</si>
  <si>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</si>
  <si>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</si>
  <si>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</si>
  <si>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</si>
  <si>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</si>
  <si>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</si>
  <si>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</si>
  <si>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</si>
  <si>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</si>
  <si>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</si>
  <si>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</si>
  <si>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</si>
  <si>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</si>
  <si>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</si>
  <si>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</si>
  <si>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</si>
  <si>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</si>
  <si>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</si>
  <si>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</si>
  <si>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</si>
  <si>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</si>
  <si>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</si>
  <si>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</si>
  <si>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</si>
  <si>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</si>
  <si>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</si>
  <si>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</si>
  <si>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</si>
  <si>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</si>
  <si>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</si>
  <si>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</si>
  <si>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</si>
  <si>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</si>
  <si>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</si>
  <si>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</si>
  <si>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</si>
  <si>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</si>
  <si>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</si>
  <si>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</si>
  <si>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</si>
  <si>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</si>
  <si>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</si>
  <si>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</si>
  <si>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</si>
  <si>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</si>
  <si>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</si>
  <si>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</si>
  <si>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</si>
  <si>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</si>
  <si>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</si>
  <si>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</si>
  <si>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</si>
  <si>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</si>
  <si>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</si>
  <si>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</si>
  <si>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</si>
  <si>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</si>
  <si>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</si>
  <si>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</si>
  <si>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</si>
  <si>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</si>
  <si>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</si>
  <si>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</si>
  <si>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</si>
  <si>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</si>
  <si>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</si>
  <si>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</si>
  <si>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</si>
  <si>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</si>
  <si>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</si>
  <si>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</si>
  <si>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</si>
  <si>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</si>
  <si>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</si>
  <si>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</si>
  <si>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</si>
  <si>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</si>
  <si>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</si>
  <si>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</si>
  <si>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</si>
  <si>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</si>
  <si>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</si>
  <si>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</si>
  <si>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</si>
  <si>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</si>
  <si>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</si>
  <si>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</si>
  <si>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</si>
  <si>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</si>
  <si>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</si>
  <si>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</si>
  <si>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</si>
  <si>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</si>
  <si>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</si>
  <si>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</si>
  <si>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</si>
  <si>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</si>
  <si>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</si>
  <si>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</si>
  <si>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</si>
  <si>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</si>
  <si>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</si>
  <si>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</si>
  <si>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</si>
  <si>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</si>
  <si>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</si>
  <si>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</si>
  <si>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</si>
  <si>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</si>
  <si>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</si>
  <si>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</si>
  <si>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</si>
  <si>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</si>
  <si>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</si>
  <si>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</si>
  <si>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</si>
  <si>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</si>
  <si>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Name</t>
  </si>
  <si>
    <t>RL-Nr.</t>
  </si>
  <si>
    <t>Pins</t>
  </si>
  <si>
    <t>Pkt.</t>
  </si>
  <si>
    <t>Team-Nr.</t>
  </si>
  <si>
    <t>Gesamt - Punkte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</si>
  <si>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</si>
  <si>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</si>
  <si>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</si>
  <si>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</si>
  <si>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</si>
  <si>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</si>
  <si>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</si>
  <si>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</si>
  <si>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</si>
  <si>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</si>
  <si>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Startbahn</t>
  </si>
  <si>
    <t>EDV</t>
  </si>
  <si>
    <t>Spiele RL</t>
  </si>
  <si>
    <t>Spiel</t>
  </si>
  <si>
    <t>Serie / Schnitt</t>
  </si>
  <si>
    <t>Spiele</t>
  </si>
  <si>
    <t>Rang</t>
  </si>
  <si>
    <t>Tagesschnitt</t>
  </si>
  <si>
    <t>Platz</t>
  </si>
  <si>
    <t>Team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</si>
  <si>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</si>
  <si>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</si>
  <si>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</si>
  <si>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</si>
  <si>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</si>
  <si>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</si>
  <si>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</si>
  <si>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</si>
  <si>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</si>
  <si>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</si>
  <si>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</si>
  <si>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</si>
  <si>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</si>
  <si>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</si>
  <si>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</si>
  <si>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der Mittagspause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</si>
  <si>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</si>
  <si>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</si>
  <si>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</si>
  <si>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</si>
  <si>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</si>
  <si>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</si>
  <si>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</si>
  <si>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</si>
  <si>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</si>
  <si>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</si>
  <si>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</si>
  <si>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</si>
  <si>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</si>
  <si>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</si>
  <si>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</si>
  <si>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</si>
  <si>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</si>
  <si>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</si>
  <si>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</si>
  <si>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</si>
  <si>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</si>
  <si>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</si>
  <si>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</si>
  <si>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Gesamttabelle</t>
  </si>
  <si>
    <t>Gesamtschnitt</t>
  </si>
  <si>
    <t>Sortiert nach Verein, Club, Nachname</t>
  </si>
  <si>
    <t>D 155251</t>
  </si>
  <si>
    <t>Famà</t>
  </si>
  <si>
    <t>Tindaro</t>
  </si>
  <si>
    <t>D 153900</t>
  </si>
  <si>
    <t>Waldinger</t>
  </si>
  <si>
    <t>D 153890</t>
  </si>
  <si>
    <t>D 155252</t>
  </si>
  <si>
    <t>Santoro</t>
  </si>
  <si>
    <t>Antonio Michele</t>
  </si>
  <si>
    <t>D 155255</t>
  </si>
  <si>
    <t>D 155254</t>
  </si>
  <si>
    <t>Justin</t>
  </si>
  <si>
    <t>D 036001</t>
  </si>
  <si>
    <t>D 153866</t>
  </si>
  <si>
    <t>Eric-Pascal</t>
  </si>
  <si>
    <t>D 153869</t>
  </si>
  <si>
    <t>Gründl</t>
  </si>
  <si>
    <t>Leopold</t>
  </si>
  <si>
    <t>D 148958</t>
  </si>
  <si>
    <t>Jürgens</t>
  </si>
  <si>
    <t>D 153895</t>
  </si>
  <si>
    <t>Eyermann</t>
  </si>
  <si>
    <t>D 153897</t>
  </si>
  <si>
    <t>Kins</t>
  </si>
  <si>
    <t>Reinhard Marko</t>
  </si>
  <si>
    <t>D 153885</t>
  </si>
  <si>
    <t>D 153884</t>
  </si>
  <si>
    <t>D 153894</t>
  </si>
  <si>
    <t>Siebler</t>
  </si>
  <si>
    <t>D 116623</t>
  </si>
  <si>
    <t>Sommer</t>
  </si>
  <si>
    <t>Ramona</t>
  </si>
  <si>
    <t>Jenke</t>
  </si>
  <si>
    <t>D 111145</t>
  </si>
  <si>
    <t>D 153882</t>
  </si>
  <si>
    <t>D 155253</t>
  </si>
  <si>
    <t>Quecke</t>
  </si>
  <si>
    <t>D 153879</t>
  </si>
  <si>
    <t>Wieser</t>
  </si>
  <si>
    <t>D 112187</t>
  </si>
  <si>
    <t>D 112196</t>
  </si>
  <si>
    <t>Elze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</si>
  <si>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</si>
  <si>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</si>
  <si>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</si>
  <si>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</si>
  <si>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</si>
  <si>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</si>
  <si>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</si>
  <si>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</si>
  <si>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</si>
  <si>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</si>
  <si>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Lohse</t>
  </si>
  <si>
    <t>D 070333</t>
  </si>
  <si>
    <t>D 132197</t>
  </si>
  <si>
    <t>Eva-Maria</t>
  </si>
  <si>
    <t>D 079890</t>
  </si>
  <si>
    <t>D 153878</t>
  </si>
  <si>
    <t>Kecic</t>
  </si>
  <si>
    <t>Adin</t>
  </si>
  <si>
    <t>D 153898</t>
  </si>
  <si>
    <t>D 153877</t>
  </si>
  <si>
    <t>Renata</t>
  </si>
  <si>
    <t>D 147305</t>
  </si>
  <si>
    <t>Winternheimer</t>
  </si>
  <si>
    <t>D 153899</t>
  </si>
  <si>
    <t>de la Torre Altena</t>
  </si>
  <si>
    <t>D 153892</t>
  </si>
  <si>
    <t>D 153887</t>
  </si>
  <si>
    <t>D 153891</t>
  </si>
  <si>
    <t>Weissenseel</t>
  </si>
  <si>
    <t>Brunnthal Max Munich</t>
  </si>
  <si>
    <t>Bamberg Bowlinghaus</t>
  </si>
  <si>
    <t>Bayreuth Blu Bowl</t>
  </si>
  <si>
    <t>Dettelbach Extreme Bowlingarena</t>
  </si>
  <si>
    <t>Garmisch Zugspitzbowling</t>
  </si>
  <si>
    <t>Ingolstadt Cosmos Bowling Arena</t>
  </si>
  <si>
    <t>Kempten Big Bowl</t>
  </si>
  <si>
    <t>Landshut LA-Bowling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</si>
  <si>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</si>
  <si>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</si>
  <si>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</si>
  <si>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</si>
  <si>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</si>
  <si>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</si>
  <si>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</si>
  <si>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</si>
  <si>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</si>
  <si>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</si>
  <si>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</si>
  <si>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Friedrichshafen Seaside</t>
  </si>
  <si>
    <t>D 155286</t>
  </si>
  <si>
    <t>Gastinger</t>
  </si>
  <si>
    <t>Sandro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</si>
  <si>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</si>
  <si>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</si>
  <si>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</si>
  <si>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</si>
  <si>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</si>
  <si>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</si>
  <si>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</si>
  <si>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</si>
  <si>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</si>
  <si>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155285</t>
  </si>
  <si>
    <t>Achhammer</t>
  </si>
  <si>
    <t>Klara</t>
  </si>
  <si>
    <t>D 155283</t>
  </si>
  <si>
    <t>Rauscher</t>
  </si>
  <si>
    <t>D 116621</t>
  </si>
  <si>
    <t>Sanderlin</t>
  </si>
  <si>
    <t>D 155282</t>
  </si>
  <si>
    <t>Bianka</t>
  </si>
  <si>
    <t>D 155284</t>
  </si>
  <si>
    <t>Stölzel</t>
  </si>
  <si>
    <t>Celia</t>
  </si>
  <si>
    <t>D 036144</t>
  </si>
  <si>
    <t>D 155268</t>
  </si>
  <si>
    <t>Klam</t>
  </si>
  <si>
    <t>D 155270</t>
  </si>
  <si>
    <t>Benndorf</t>
  </si>
  <si>
    <t>D 155269</t>
  </si>
  <si>
    <t>Rühl</t>
  </si>
  <si>
    <t>D 155271</t>
  </si>
  <si>
    <t>Schweinzer</t>
  </si>
  <si>
    <t>D 155288</t>
  </si>
  <si>
    <t>Holten</t>
  </si>
  <si>
    <t>D 155273</t>
  </si>
  <si>
    <t>Suttles</t>
  </si>
  <si>
    <t>D 155265</t>
  </si>
  <si>
    <t>D 063206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</si>
  <si>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</si>
  <si>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</si>
  <si>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</si>
  <si>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</si>
  <si>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</si>
  <si>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</si>
  <si>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</si>
  <si>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</si>
  <si>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</si>
  <si>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</si>
  <si>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</si>
  <si>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155272</t>
  </si>
  <si>
    <t>Diachenko</t>
  </si>
  <si>
    <t>Alla</t>
  </si>
  <si>
    <t>D 059926</t>
  </si>
  <si>
    <t>Heinel</t>
  </si>
  <si>
    <t>Pfaff</t>
  </si>
  <si>
    <t>D 112600</t>
  </si>
  <si>
    <t>D 046692</t>
  </si>
  <si>
    <t>D 155297</t>
  </si>
  <si>
    <t>Meurer</t>
  </si>
  <si>
    <t>D 080054</t>
  </si>
  <si>
    <t>D 155292</t>
  </si>
  <si>
    <t>D 091078</t>
  </si>
  <si>
    <t>D 155289</t>
  </si>
  <si>
    <t>D 155290</t>
  </si>
  <si>
    <t>D 155293</t>
  </si>
  <si>
    <t>D 029207</t>
  </si>
  <si>
    <t>D 111779</t>
  </si>
  <si>
    <t>D 155298</t>
  </si>
  <si>
    <t>D 062947</t>
  </si>
  <si>
    <t>D 158002</t>
  </si>
  <si>
    <t>Aschenbrenner</t>
  </si>
  <si>
    <t>Domenic</t>
  </si>
  <si>
    <t>D 158003</t>
  </si>
  <si>
    <t>Sturm</t>
  </si>
  <si>
    <t>D 155300</t>
  </si>
  <si>
    <t>Mitev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</si>
  <si>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</si>
  <si>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</si>
  <si>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</si>
  <si>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</si>
  <si>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</si>
  <si>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</si>
  <si>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</si>
  <si>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</si>
  <si>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</si>
  <si>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</si>
  <si>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</si>
  <si>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</si>
  <si>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</si>
  <si>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</si>
  <si>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</si>
  <si>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</si>
  <si>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</si>
  <si>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</si>
  <si>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</si>
  <si>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</si>
  <si>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</si>
  <si>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Saison:</t>
  </si>
  <si>
    <t>Ligaauswertung für</t>
  </si>
  <si>
    <t>Spieltage</t>
  </si>
  <si>
    <t>Spiele / Tag</t>
  </si>
  <si>
    <t>Legende</t>
  </si>
  <si>
    <t>V</t>
  </si>
  <si>
    <t>Verwarnung</t>
  </si>
  <si>
    <t>G</t>
  </si>
  <si>
    <t>Gelbe Karte</t>
  </si>
  <si>
    <t>R</t>
  </si>
  <si>
    <t>Rote Karte</t>
  </si>
  <si>
    <t>Spielerdokumente nicht vollständig</t>
  </si>
  <si>
    <t>S</t>
  </si>
  <si>
    <t>Spieler ist gesperrt</t>
  </si>
  <si>
    <t>Ahndungen bis Spieltag</t>
  </si>
  <si>
    <t>Stellvertreter:</t>
  </si>
  <si>
    <t>1. ST</t>
  </si>
  <si>
    <t>2. ST</t>
  </si>
  <si>
    <t>3. ST</t>
  </si>
  <si>
    <t>4. ST</t>
  </si>
  <si>
    <t>5. ST</t>
  </si>
  <si>
    <t>6. ST</t>
  </si>
  <si>
    <t>Bemerkungen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</si>
  <si>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</si>
  <si>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</si>
  <si>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</si>
  <si>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</si>
  <si>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</si>
  <si>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</si>
  <si>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</si>
  <si>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</si>
  <si>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</si>
  <si>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</si>
  <si>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</si>
  <si>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</si>
  <si>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Wert</t>
  </si>
  <si>
    <t>Für Gesamtabelle</t>
  </si>
  <si>
    <t>Tabelle</t>
  </si>
  <si>
    <t>D 111679</t>
  </si>
  <si>
    <t>Fiedler</t>
  </si>
  <si>
    <t>D 158015</t>
  </si>
  <si>
    <t>Draht</t>
  </si>
  <si>
    <t>D 158016</t>
  </si>
  <si>
    <t>D 158017</t>
  </si>
  <si>
    <t>Laura Maria</t>
  </si>
  <si>
    <t>Gahr</t>
  </si>
  <si>
    <t>D 070493</t>
  </si>
  <si>
    <t>Kurzbez.
Verein</t>
  </si>
  <si>
    <t/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</si>
  <si>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</si>
  <si>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</si>
  <si>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</si>
  <si>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</si>
  <si>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</si>
  <si>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</si>
  <si>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</si>
  <si>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</si>
  <si>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</si>
  <si>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</si>
  <si>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</si>
  <si>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</si>
  <si>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</si>
  <si>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</si>
  <si>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</si>
  <si>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</si>
  <si>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</si>
  <si>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</si>
  <si>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</si>
  <si>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</si>
  <si>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</si>
  <si>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</si>
  <si>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</si>
  <si>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</si>
  <si>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</si>
  <si>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</si>
  <si>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</si>
  <si>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</si>
  <si>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</si>
  <si>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</si>
  <si>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</si>
  <si>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</si>
  <si>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</si>
  <si>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</si>
  <si>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</si>
  <si>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</si>
  <si>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</si>
  <si>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</si>
  <si>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</si>
  <si>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</si>
  <si>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</si>
  <si>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</si>
  <si>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</si>
  <si>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</si>
  <si>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</si>
  <si>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</si>
  <si>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</si>
  <si>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</si>
  <si>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</si>
  <si>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</si>
  <si>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</si>
  <si>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</si>
  <si>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</si>
  <si>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</si>
  <si>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</si>
  <si>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</si>
  <si>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</si>
  <si>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</si>
  <si>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</si>
  <si>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</si>
  <si>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</si>
  <si>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</si>
  <si>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</si>
  <si>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</si>
  <si>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</si>
  <si>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</si>
  <si>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</si>
  <si>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</si>
  <si>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</si>
  <si>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</si>
  <si>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</si>
  <si>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</si>
  <si>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</si>
  <si>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</si>
  <si>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</si>
  <si>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</si>
  <si>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</si>
  <si>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</si>
  <si>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</si>
  <si>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</si>
  <si>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</si>
  <si>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</si>
  <si>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</si>
  <si>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</si>
  <si>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</si>
  <si>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</si>
  <si>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</si>
  <si>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</si>
  <si>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</si>
  <si>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</si>
  <si>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</si>
  <si>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</si>
  <si>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</si>
  <si>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</si>
  <si>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</si>
  <si>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</si>
  <si>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</si>
  <si>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</si>
  <si>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</si>
  <si>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</si>
  <si>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</si>
  <si>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</si>
  <si>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</si>
  <si>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</si>
  <si>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</si>
  <si>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</si>
  <si>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</si>
  <si>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</si>
  <si>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</si>
  <si>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</si>
  <si>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159615</t>
  </si>
  <si>
    <t>Osman</t>
  </si>
  <si>
    <t>D 147680</t>
  </si>
  <si>
    <t>Pescher</t>
  </si>
  <si>
    <t>D 159632</t>
  </si>
  <si>
    <t>Tucker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</si>
  <si>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</si>
  <si>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</si>
  <si>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</si>
  <si>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</si>
  <si>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</si>
  <si>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</si>
  <si>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</si>
  <si>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</si>
  <si>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</si>
  <si>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</si>
  <si>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</si>
  <si>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</si>
  <si>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</si>
  <si>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</si>
  <si>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</si>
  <si>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</si>
  <si>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</si>
  <si>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</si>
  <si>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</si>
  <si>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</si>
  <si>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</si>
  <si>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</si>
  <si>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</si>
  <si>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</si>
  <si>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</si>
  <si>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</si>
  <si>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</si>
  <si>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</si>
  <si>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</si>
  <si>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</si>
  <si>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159626</t>
  </si>
  <si>
    <t>Gökbel</t>
  </si>
  <si>
    <t>Oktay</t>
  </si>
  <si>
    <t>D 159627</t>
  </si>
  <si>
    <t>Jeremias</t>
  </si>
  <si>
    <t>Bad Tölz Flint Bowling</t>
  </si>
  <si>
    <t>Rosenheim In(n) Bowling</t>
  </si>
  <si>
    <t>Bad Tölz 1</t>
  </si>
  <si>
    <t>Highroller Rosenheim 1</t>
  </si>
  <si>
    <t>Highroller Rosenheim 2</t>
  </si>
  <si>
    <t>Berchtesgaden 1</t>
  </si>
  <si>
    <t>D 146937</t>
  </si>
  <si>
    <t>Sophia</t>
  </si>
  <si>
    <t>Handicap</t>
  </si>
  <si>
    <t>Hcp/Spiel</t>
  </si>
  <si>
    <t>auf</t>
  </si>
  <si>
    <r>
      <t xml:space="preserve">Spieler 1 </t>
    </r>
    <r>
      <rPr>
        <b/>
        <sz val="10"/>
        <rFont val="Arial"/>
        <family val="2"/>
      </rPr>
      <t>ohne Handicap</t>
    </r>
  </si>
  <si>
    <r>
      <t xml:space="preserve">Spieler 2 </t>
    </r>
    <r>
      <rPr>
        <b/>
        <sz val="10"/>
        <rFont val="Arial"/>
        <family val="2"/>
      </rPr>
      <t>ohne Handicap</t>
    </r>
  </si>
  <si>
    <r>
      <t xml:space="preserve">Spieler 3 </t>
    </r>
    <r>
      <rPr>
        <b/>
        <sz val="10"/>
        <rFont val="Arial"/>
        <family val="2"/>
      </rPr>
      <t>ohne Handicap</t>
    </r>
  </si>
  <si>
    <t>Pins heute</t>
  </si>
  <si>
    <t>Spiele heute</t>
  </si>
  <si>
    <t>Schnitt RL</t>
  </si>
  <si>
    <t>Schnitt heute</t>
  </si>
  <si>
    <t>Hcp</t>
  </si>
  <si>
    <t>incl. Hcp</t>
  </si>
  <si>
    <t>Spieler 1 incl. Handicap</t>
  </si>
  <si>
    <t>Spieler 2 incl. Handicap</t>
  </si>
  <si>
    <t>Spieler 3 incl. Handicap</t>
  </si>
  <si>
    <t>Gesamt incl. Handicap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</si>
  <si>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</si>
  <si>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</si>
  <si>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</si>
  <si>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</si>
  <si>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</si>
  <si>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</si>
  <si>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</si>
  <si>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</si>
  <si>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</si>
  <si>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</si>
  <si>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</si>
  <si>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</si>
  <si>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</si>
  <si>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</si>
  <si>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</si>
  <si>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</si>
  <si>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</si>
  <si>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</si>
  <si>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</si>
  <si>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</si>
  <si>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</si>
  <si>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</si>
  <si>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</si>
  <si>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</si>
  <si>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</si>
  <si>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</si>
  <si>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</si>
  <si>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</si>
  <si>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</si>
  <si>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</si>
  <si>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</si>
  <si>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</si>
  <si>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</si>
  <si>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</si>
  <si>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</si>
  <si>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</si>
  <si>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</si>
  <si>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</si>
  <si>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</si>
  <si>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</si>
  <si>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</si>
  <si>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</si>
  <si>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</si>
  <si>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</si>
  <si>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</si>
  <si>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</si>
  <si>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</si>
  <si>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</si>
  <si>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</si>
  <si>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144847</t>
  </si>
  <si>
    <t>Strobl</t>
  </si>
  <si>
    <t>Melissa Sophia</t>
  </si>
  <si>
    <t>D 162007</t>
  </si>
  <si>
    <t>Eder</t>
  </si>
  <si>
    <t>Kai-Jürgen</t>
  </si>
  <si>
    <t>D 162023</t>
  </si>
  <si>
    <t>D 105589</t>
  </si>
  <si>
    <t>D 162035</t>
  </si>
  <si>
    <t>D 162010</t>
  </si>
  <si>
    <t>Rangliste nach Spieltag 1 VOR Spieltag 2</t>
  </si>
  <si>
    <t>Rangliste nach Spieltag 2 VOR Spieltag 3</t>
  </si>
  <si>
    <t>Rangliste nach Spieltag 4 VOR Spieltag 5</t>
  </si>
  <si>
    <t>Rangliste nach Spieltag 5 VOR Spieltag 6</t>
  </si>
  <si>
    <t>gibt’s nicht</t>
  </si>
  <si>
    <t>2024/2025</t>
  </si>
  <si>
    <t>Landesliga Jugend</t>
  </si>
  <si>
    <t>Punkteverteilung</t>
  </si>
  <si>
    <t>Bowling Jugend Bayern 1</t>
  </si>
  <si>
    <t>Info: 8-er Ligaschlüssel</t>
  </si>
  <si>
    <t>Spiel 1 - 7 = ST 1+2</t>
  </si>
  <si>
    <t>Spiel 8 - 14 = ST 2+3</t>
  </si>
  <si>
    <t>Sp 10</t>
  </si>
  <si>
    <t>Sp 11</t>
  </si>
  <si>
    <t>Sp 12</t>
  </si>
  <si>
    <t>Sp 13</t>
  </si>
  <si>
    <t>Sp 14</t>
  </si>
  <si>
    <t>Sp 15</t>
  </si>
  <si>
    <t>Sp 16</t>
  </si>
  <si>
    <t>Sp 17</t>
  </si>
  <si>
    <t>Sp 18</t>
  </si>
  <si>
    <t>Sp 19</t>
  </si>
  <si>
    <t>Sp 20</t>
  </si>
  <si>
    <t>Sp 21</t>
  </si>
  <si>
    <t>Sp 22</t>
  </si>
  <si>
    <t>Sp 23</t>
  </si>
  <si>
    <t>Sp 24</t>
  </si>
  <si>
    <t>Sp 25</t>
  </si>
  <si>
    <t>Sp 26</t>
  </si>
  <si>
    <t>Sp 27</t>
  </si>
  <si>
    <t>Sp 28</t>
  </si>
  <si>
    <t>Sp 29</t>
  </si>
  <si>
    <t>Sp 30</t>
  </si>
  <si>
    <t>Spiel 15 - 21 = ST 3+4+5</t>
  </si>
  <si>
    <t>Spiel 22 - 28 = ST 5+6</t>
  </si>
  <si>
    <t>Spiel 29 - 35 = ST 6+7</t>
  </si>
  <si>
    <t>Sp 31</t>
  </si>
  <si>
    <t>Sp 32</t>
  </si>
  <si>
    <t>Sp 33</t>
  </si>
  <si>
    <t>Sp 34</t>
  </si>
  <si>
    <t>Sp 35</t>
  </si>
  <si>
    <r>
      <t>Beste Spieler/in des Tages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ohne Handicap</t>
    </r>
  </si>
  <si>
    <r>
      <t xml:space="preserve">Beste Spieler/in des Tages </t>
    </r>
    <r>
      <rPr>
        <sz val="10"/>
        <rFont val="Arial"/>
        <family val="2"/>
      </rPr>
      <t>ohne Handicap</t>
    </r>
  </si>
  <si>
    <t>Endtabelle</t>
  </si>
  <si>
    <t>Spieltag 7</t>
  </si>
  <si>
    <t>Rangliste nach Spieltag 6 VOR Spieltag 7</t>
  </si>
  <si>
    <t>Übernahme Vorjahr und Anpassungen</t>
  </si>
  <si>
    <t>Sieg Spieler</t>
  </si>
  <si>
    <t>Sieg Team</t>
  </si>
  <si>
    <t>-----</t>
  </si>
  <si>
    <t>Liste der aktiven Mitglieder in der Saison 2024/25</t>
  </si>
  <si>
    <t>Stand vom 01.09.2024</t>
  </si>
  <si>
    <t>D 162972</t>
  </si>
  <si>
    <t>Hug</t>
  </si>
  <si>
    <t>D 146903</t>
  </si>
  <si>
    <t>D 162959</t>
  </si>
  <si>
    <t>D 146906</t>
  </si>
  <si>
    <t>Wohlschlag</t>
  </si>
  <si>
    <t>D 132203</t>
  </si>
  <si>
    <t>Kraft</t>
  </si>
  <si>
    <t>D 162009</t>
  </si>
  <si>
    <t>D 162965</t>
  </si>
  <si>
    <t>Mattes</t>
  </si>
  <si>
    <t>D 162049</t>
  </si>
  <si>
    <t>Rothemund</t>
  </si>
  <si>
    <t>Louis</t>
  </si>
  <si>
    <t>D 162998</t>
  </si>
  <si>
    <t>Wahsner</t>
  </si>
  <si>
    <t>D 162034</t>
  </si>
  <si>
    <t>Kramer</t>
  </si>
  <si>
    <t>D 129048</t>
  </si>
  <si>
    <t>Gertrud</t>
  </si>
  <si>
    <t>D 162983</t>
  </si>
  <si>
    <t>Fischbach</t>
  </si>
  <si>
    <t>D 162046</t>
  </si>
  <si>
    <t>D 162970</t>
  </si>
  <si>
    <t>Cribaro</t>
  </si>
  <si>
    <t>D 162999</t>
  </si>
  <si>
    <t>Helene</t>
  </si>
  <si>
    <t>D 162975</t>
  </si>
  <si>
    <t>D 029362</t>
  </si>
  <si>
    <t>D 146872</t>
  </si>
  <si>
    <t>Düren</t>
  </si>
  <si>
    <t>D 162961</t>
  </si>
  <si>
    <t>Hanf</t>
  </si>
  <si>
    <t>D 162962</t>
  </si>
  <si>
    <t>Krille</t>
  </si>
  <si>
    <t>Annelie</t>
  </si>
  <si>
    <t>D 162994</t>
  </si>
  <si>
    <t>D 148766</t>
  </si>
  <si>
    <t>D 162026</t>
  </si>
  <si>
    <t>Stiaccini</t>
  </si>
  <si>
    <t>D 162025</t>
  </si>
  <si>
    <t>Fabio</t>
  </si>
  <si>
    <t>D 162024</t>
  </si>
  <si>
    <t>Geißler</t>
  </si>
  <si>
    <t>D 162029</t>
  </si>
  <si>
    <t>D 162973</t>
  </si>
  <si>
    <t>Moser</t>
  </si>
  <si>
    <t>D 162978</t>
  </si>
  <si>
    <t>Schreiber</t>
  </si>
  <si>
    <t>D 162045</t>
  </si>
  <si>
    <t>Herrmann</t>
  </si>
  <si>
    <t>D 162974</t>
  </si>
  <si>
    <t>D 146885</t>
  </si>
  <si>
    <t>Engel</t>
  </si>
  <si>
    <t>D 111651</t>
  </si>
  <si>
    <t>D 162033</t>
  </si>
  <si>
    <t>Mally</t>
  </si>
  <si>
    <t>D 162017</t>
  </si>
  <si>
    <t>Sendner</t>
  </si>
  <si>
    <t>D 111995</t>
  </si>
  <si>
    <t>Watkins</t>
  </si>
  <si>
    <t>D 162951</t>
  </si>
  <si>
    <t>Nikoleit</t>
  </si>
  <si>
    <t>D 162995</t>
  </si>
  <si>
    <t>D 162952</t>
  </si>
  <si>
    <t>Prieß</t>
  </si>
  <si>
    <t>D 162982</t>
  </si>
  <si>
    <t>Raj</t>
  </si>
  <si>
    <t>Milan</t>
  </si>
  <si>
    <t>D 162019</t>
  </si>
  <si>
    <t>D 155256</t>
  </si>
  <si>
    <t>Lisa</t>
  </si>
  <si>
    <t>D 162963</t>
  </si>
  <si>
    <t>Kroh</t>
  </si>
  <si>
    <t>D 136275</t>
  </si>
  <si>
    <t>Reynolds</t>
  </si>
  <si>
    <t>D 162964</t>
  </si>
  <si>
    <t>D 162953</t>
  </si>
  <si>
    <t>D 162979</t>
  </si>
  <si>
    <t>Raiko</t>
  </si>
  <si>
    <t>D 162993</t>
  </si>
  <si>
    <t>Legler</t>
  </si>
  <si>
    <t>D 162992</t>
  </si>
  <si>
    <t>Elias</t>
  </si>
  <si>
    <t>D 162957</t>
  </si>
  <si>
    <t>Schildhauer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</si>
  <si>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</si>
  <si>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</si>
  <si>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</si>
  <si>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</si>
  <si>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</si>
  <si>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</si>
  <si>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</si>
  <si>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</si>
  <si>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</si>
  <si>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</si>
  <si>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</si>
  <si>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162044</t>
  </si>
  <si>
    <t>D 162043</t>
  </si>
  <si>
    <t>D 162022</t>
  </si>
  <si>
    <t>BC guteLAUNE</t>
  </si>
  <si>
    <t>D 162980</t>
  </si>
  <si>
    <t>Schimpf</t>
  </si>
  <si>
    <t xml:space="preserve"> </t>
  </si>
  <si>
    <t>D 162032</t>
  </si>
  <si>
    <t>Keraitis</t>
  </si>
  <si>
    <t>Aurimas</t>
  </si>
  <si>
    <t>D 162981</t>
  </si>
  <si>
    <t>D 162015</t>
  </si>
  <si>
    <t>Zach</t>
  </si>
  <si>
    <t>Christopher</t>
  </si>
  <si>
    <t>D 136428</t>
  </si>
  <si>
    <t>Brunnhuber</t>
  </si>
  <si>
    <t>D 162039</t>
  </si>
  <si>
    <t>D 162969</t>
  </si>
  <si>
    <t>Laubach</t>
  </si>
  <si>
    <t>Nina</t>
  </si>
  <si>
    <t>D 162985</t>
  </si>
  <si>
    <t>D 162012</t>
  </si>
  <si>
    <t>D 162011</t>
  </si>
  <si>
    <t>D 162028</t>
  </si>
  <si>
    <t>Pal</t>
  </si>
  <si>
    <t>Abin</t>
  </si>
  <si>
    <t>D 162027</t>
  </si>
  <si>
    <t>Seltmann</t>
  </si>
  <si>
    <t>D 135977</t>
  </si>
  <si>
    <t>Merkel</t>
  </si>
  <si>
    <t>Gina Maria</t>
  </si>
  <si>
    <t>D 001776</t>
  </si>
  <si>
    <t>D 140497</t>
  </si>
  <si>
    <t>Gröger</t>
  </si>
  <si>
    <t>D 162016</t>
  </si>
  <si>
    <t>Kreutzer</t>
  </si>
  <si>
    <t>D 162984</t>
  </si>
  <si>
    <t>Mike</t>
  </si>
  <si>
    <t>D 162036</t>
  </si>
  <si>
    <t>D 163000</t>
  </si>
  <si>
    <t>Witfer</t>
  </si>
  <si>
    <t>D 162986</t>
  </si>
  <si>
    <t>Heiming</t>
  </si>
  <si>
    <t>D 162977</t>
  </si>
  <si>
    <t>Thalea</t>
  </si>
  <si>
    <t>D 162040</t>
  </si>
  <si>
    <t>Hofer</t>
  </si>
  <si>
    <t>D 162030</t>
  </si>
  <si>
    <t>D 162050</t>
  </si>
  <si>
    <t>D 107447</t>
  </si>
  <si>
    <t>D 162971</t>
  </si>
  <si>
    <t>D 105590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</si>
  <si>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</si>
  <si>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</si>
  <si>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</si>
  <si>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</si>
  <si>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</si>
  <si>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</si>
  <si>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</si>
  <si>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</si>
  <si>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</si>
  <si>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</si>
  <si>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162037</t>
  </si>
  <si>
    <t>Ruppert</t>
  </si>
  <si>
    <t>D 162967</t>
  </si>
  <si>
    <t>Sollmann</t>
  </si>
  <si>
    <t>D 107475</t>
  </si>
  <si>
    <t>D 162966</t>
  </si>
  <si>
    <t>D 111165</t>
  </si>
  <si>
    <t>Klinke</t>
  </si>
  <si>
    <t>D 148761</t>
  </si>
  <si>
    <t>Schnase</t>
  </si>
  <si>
    <t>D 098815</t>
  </si>
  <si>
    <t>D 098818</t>
  </si>
  <si>
    <t>D 155267</t>
  </si>
  <si>
    <t>Janina</t>
  </si>
  <si>
    <t>D 112614</t>
  </si>
  <si>
    <t>Feuerlein</t>
  </si>
  <si>
    <t>D 162014</t>
  </si>
  <si>
    <t>D 124817</t>
  </si>
  <si>
    <t>Heider</t>
  </si>
  <si>
    <t>D 162958</t>
  </si>
  <si>
    <t>D 105318</t>
  </si>
  <si>
    <t>D 162997</t>
  </si>
  <si>
    <t>D 162042</t>
  </si>
  <si>
    <t>Hummel</t>
  </si>
  <si>
    <t>D 162002</t>
  </si>
  <si>
    <t>D 162996</t>
  </si>
  <si>
    <t>Wodl</t>
  </si>
  <si>
    <t>D 139203</t>
  </si>
  <si>
    <t>D 111163</t>
  </si>
  <si>
    <t>D 158025</t>
  </si>
  <si>
    <t>D 145466</t>
  </si>
  <si>
    <t>Voigtländer</t>
  </si>
  <si>
    <t>Laszlo</t>
  </si>
  <si>
    <t>D 162956</t>
  </si>
  <si>
    <t>Dudela</t>
  </si>
  <si>
    <t>D 162987</t>
  </si>
  <si>
    <t>Leinemann</t>
  </si>
  <si>
    <t>D 162020</t>
  </si>
  <si>
    <t>D 162021</t>
  </si>
  <si>
    <t>Sewald</t>
  </si>
  <si>
    <t>D 162031</t>
  </si>
  <si>
    <t>Wallace</t>
  </si>
  <si>
    <t>D 162955</t>
  </si>
  <si>
    <t>D 162048</t>
  </si>
  <si>
    <t>Highroller Rosenheim 3</t>
  </si>
  <si>
    <t>BK München 1</t>
  </si>
  <si>
    <t>EMAX 1</t>
  </si>
  <si>
    <t>Ruppert, Raja</t>
  </si>
  <si>
    <t>LA Bowling</t>
  </si>
  <si>
    <t>Ende Spieltag:</t>
  </si>
  <si>
    <t>x</t>
  </si>
  <si>
    <t>Marcel Thiele (BSC Highroller Rosenheim)</t>
  </si>
  <si>
    <t>Berchtesgarden #1 - Nachmeldung Raja Ruppert  (Pass fehlt noch) - EDV Nummer schon vorhanden.</t>
  </si>
  <si>
    <t>AK</t>
  </si>
  <si>
    <t>D 164072</t>
  </si>
  <si>
    <t>m</t>
  </si>
  <si>
    <t>Binder</t>
  </si>
  <si>
    <t>Passnummer</t>
  </si>
  <si>
    <t>m/w</t>
  </si>
  <si>
    <t>Pin</t>
  </si>
  <si>
    <t>Geb Datum</t>
  </si>
  <si>
    <t>Klub</t>
  </si>
  <si>
    <t>Jörg Hantschel, Bavaria Unterföhring</t>
  </si>
  <si>
    <t>Mengel, Marina</t>
  </si>
  <si>
    <t>Klettenheimer, Julius</t>
  </si>
  <si>
    <t>Calik, Ilay</t>
  </si>
  <si>
    <t>Pin im Tunnel 2x ca  10 min.  Bahn 9/10</t>
  </si>
  <si>
    <t>Rothenhˆfer</t>
  </si>
  <si>
    <t>Klettenheimer</t>
  </si>
  <si>
    <t>Julius</t>
  </si>
  <si>
    <t>Kai-J¸rgen</t>
  </si>
  <si>
    <t>M‰urer</t>
  </si>
  <si>
    <t>Bˆhm</t>
  </si>
  <si>
    <t>Prieﬂ</t>
  </si>
  <si>
    <t>Calik</t>
  </si>
  <si>
    <t>Ilay</t>
  </si>
  <si>
    <t>Leyerer</t>
  </si>
  <si>
    <t>Stˆlzel</t>
  </si>
  <si>
    <t>Mengel</t>
  </si>
  <si>
    <t>absolut-sports.com</t>
  </si>
  <si>
    <t>Michael Schäfer, BJB</t>
  </si>
  <si>
    <t>Raja</t>
  </si>
  <si>
    <t>Bahnen 15/16 Spiel 3 System-Reset ca.. 15 Minuten Unterbrechung</t>
  </si>
  <si>
    <t>BK M¸nchen</t>
  </si>
  <si>
    <t>M¸nchner Kegler-Verein e.V.</t>
  </si>
  <si>
    <t>Absolut-sports.com</t>
  </si>
  <si>
    <t>1. BC Bad Tˆlz 78 e.V.</t>
  </si>
  <si>
    <t>BV Unterfˆhring e.V.</t>
  </si>
  <si>
    <t>Altersklasse</t>
  </si>
  <si>
    <t>Weinrich, Lena</t>
  </si>
  <si>
    <t>Wheeldon-Weidner, Barbara BK München</t>
  </si>
  <si>
    <t>Tolle Kinder, alles optimal verlaufen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</si>
</sst>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,##0;\(#,##0\)\ "/>
    <numFmt numFmtId="172" formatCode="_-* #,##0.00\ [$€]_-;\-* #,##0.00\ [$€]_-;_-* &quot;-&quot;??\ [$€]_-;_-@_-"/>
  </numFmts>
  <fonts count="46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  <charset val="1"/>
    </font>
    <font>
      <sz val="9"/>
      <color indexed="81"/>
      <name val="Segoe UI"/>
      <family val="2"/>
      <charset val="1"/>
    </font>
    <font>
      <sz val="14"/>
      <name val="Arial"/>
      <family val="2"/>
    </font>
    <font>
      <b/>
      <sz val="8"/>
      <name val="Arial"/>
      <family val="2"/>
    </font>
    <font>
      <sz val="14"/>
      <name val="Arial"/>
      <family val="2"/>
    </font>
    <font>
      <b/>
      <sz val="12"/>
      <color indexed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i/>
      <sz val="8"/>
      <name val="Arial"/>
      <family val="2"/>
    </font>
    <font>
      <b/>
      <u/>
      <sz val="11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i/>
      <sz val="10"/>
      <name val="Arial"/>
      <family val="2"/>
    </font>
    <font>
      <sz val="9"/>
      <name val="Calibri"/>
      <family val="2"/>
    </font>
    <font>
      <sz val="10"/>
      <color theme="1"/>
      <name val="Calibri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Helvetica Neue"/>
      <family val="2"/>
    </font>
    <font>
      <u/>
      <sz val="10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auto="1"/>
      </left>
      <right/>
      <top/>
      <bottom/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5" fillId="0" borderId="0"/>
    <xf numFmtId="0" fontId="28" fillId="0" borderId="0"/>
    <xf numFmtId="0" fontId="29" fillId="0" borderId="0"/>
    <xf numFmtId="0" fontId="30" fillId="0" borderId="0"/>
    <xf numFmtId="0" fontId="15" fillId="0" borderId="0"/>
    <xf numFmtId="4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1" fillId="0" borderId="0"/>
    <xf numFmtId="0" fontId="45" fillId="0" borderId="0" applyNumberFormat="0" applyFill="0" applyBorder="0" applyAlignment="0" applyProtection="0"/>
  </cellStyleXfs>
  <cellXfs count="471">
    <xf numFmtId="0" fontId="0" fillId="0" borderId="0" xfId="0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166" fontId="0" fillId="0" borderId="5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165" fontId="5" fillId="0" borderId="8" xfId="0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5" fillId="0" borderId="2" xfId="0" applyFont="1" applyBorder="1" applyAlignment="1">
      <alignment vertical="center"/>
    </xf>
    <xf numFmtId="165" fontId="5" fillId="0" borderId="3" xfId="0" applyNumberFormat="1" applyFont="1" applyBorder="1" applyAlignment="1">
      <alignment vertical="center"/>
    </xf>
    <xf numFmtId="166" fontId="2" fillId="0" borderId="10" xfId="0" applyNumberFormat="1" applyFont="1" applyBorder="1" applyAlignment="1">
      <alignment horizontal="center" vertical="center"/>
    </xf>
    <xf numFmtId="0" fontId="14" fillId="0" borderId="0" xfId="0" applyFont="1"/>
    <xf numFmtId="165" fontId="2" fillId="0" borderId="5" xfId="0" applyNumberFormat="1" applyFont="1" applyBorder="1" applyAlignment="1">
      <alignment vertical="center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 wrapText="1"/>
      <protection locked="0"/>
    </xf>
    <xf numFmtId="168" fontId="11" fillId="0" borderId="0" xfId="0" applyNumberFormat="1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right"/>
      <protection locked="0"/>
    </xf>
    <xf numFmtId="2" fontId="11" fillId="0" borderId="0" xfId="0" applyNumberFormat="1" applyFont="1" applyProtection="1">
      <protection locked="0"/>
    </xf>
    <xf numFmtId="0" fontId="0" fillId="0" borderId="12" xfId="0" applyBorder="1"/>
    <xf numFmtId="0" fontId="8" fillId="0" borderId="0" xfId="0" applyFont="1" applyAlignment="1">
      <alignment horizontal="left" vertical="center"/>
    </xf>
    <xf numFmtId="0" fontId="13" fillId="0" borderId="0" xfId="0" applyFont="1" applyAlignment="1">
      <alignment horizontal="right"/>
    </xf>
    <xf numFmtId="165" fontId="13" fillId="0" borderId="0" xfId="0" applyNumberFormat="1" applyFont="1"/>
    <xf numFmtId="0" fontId="4" fillId="0" borderId="13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165" fontId="0" fillId="0" borderId="0" xfId="0" applyNumberFormat="1"/>
    <xf numFmtId="0" fontId="7" fillId="0" borderId="17" xfId="0" applyFont="1" applyBorder="1" applyAlignment="1">
      <alignment vertical="center"/>
    </xf>
    <xf numFmtId="165" fontId="7" fillId="0" borderId="18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2" fillId="0" borderId="1" xfId="0" applyFont="1" applyBorder="1"/>
    <xf numFmtId="165" fontId="3" fillId="0" borderId="20" xfId="0" applyNumberFormat="1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4" fillId="0" borderId="21" xfId="0" applyFont="1" applyBorder="1" applyAlignment="1">
      <alignment vertical="center"/>
    </xf>
    <xf numFmtId="0" fontId="2" fillId="0" borderId="22" xfId="0" applyFont="1" applyBorder="1"/>
    <xf numFmtId="0" fontId="0" fillId="0" borderId="23" xfId="0" applyBorder="1"/>
    <xf numFmtId="0" fontId="12" fillId="0" borderId="0" xfId="0" applyFont="1"/>
    <xf numFmtId="0" fontId="4" fillId="0" borderId="0" xfId="0" applyFont="1" applyAlignment="1">
      <alignment horizontal="center" vertical="center"/>
    </xf>
    <xf numFmtId="0" fontId="5" fillId="0" borderId="0" xfId="0" applyFont="1"/>
    <xf numFmtId="0" fontId="0" fillId="0" borderId="25" xfId="0" applyBorder="1"/>
    <xf numFmtId="0" fontId="2" fillId="0" borderId="1" xfId="0" applyFont="1" applyBorder="1" applyAlignment="1">
      <alignment horizontal="center"/>
    </xf>
    <xf numFmtId="0" fontId="5" fillId="0" borderId="30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" fillId="0" borderId="32" xfId="0" applyFont="1" applyBorder="1" applyAlignment="1">
      <alignment vertical="center"/>
    </xf>
    <xf numFmtId="166" fontId="2" fillId="0" borderId="2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6" fontId="21" fillId="0" borderId="10" xfId="0" applyNumberFormat="1" applyFont="1" applyBorder="1" applyAlignment="1">
      <alignment horizontal="center" vertical="center"/>
    </xf>
    <xf numFmtId="0" fontId="4" fillId="0" borderId="0" xfId="0" applyFont="1"/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5" fillId="0" borderId="33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0" fillId="0" borderId="0" xfId="9" applyFont="1"/>
    <xf numFmtId="0" fontId="7" fillId="0" borderId="0" xfId="0" applyFont="1"/>
    <xf numFmtId="165" fontId="13" fillId="0" borderId="0" xfId="0" applyNumberFormat="1" applyFont="1" applyAlignment="1">
      <alignment vertical="center"/>
    </xf>
    <xf numFmtId="0" fontId="8" fillId="0" borderId="27" xfId="0" applyFont="1" applyBorder="1" applyAlignment="1">
      <alignment vertical="center"/>
    </xf>
    <xf numFmtId="14" fontId="7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/>
    </xf>
    <xf numFmtId="0" fontId="33" fillId="0" borderId="0" xfId="0" applyFont="1" applyAlignment="1" applyProtection="1">
      <alignment horizontal="center" vertical="top"/>
      <protection locked="0"/>
    </xf>
    <xf numFmtId="3" fontId="0" fillId="0" borderId="0" xfId="0" applyNumberFormat="1"/>
    <xf numFmtId="166" fontId="0" fillId="0" borderId="0" xfId="0" applyNumberFormat="1" applyAlignment="1">
      <alignment vertical="center"/>
    </xf>
    <xf numFmtId="166" fontId="2" fillId="0" borderId="0" xfId="0" applyNumberFormat="1" applyFont="1" applyAlignment="1">
      <alignment vertical="center"/>
    </xf>
    <xf numFmtId="166" fontId="0" fillId="0" borderId="34" xfId="0" applyNumberForma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166" fontId="13" fillId="0" borderId="35" xfId="0" applyNumberFormat="1" applyFont="1" applyBorder="1" applyAlignment="1">
      <alignment horizontal="center" vertical="center"/>
    </xf>
    <xf numFmtId="3" fontId="21" fillId="0" borderId="4" xfId="0" applyNumberFormat="1" applyFont="1" applyBorder="1" applyAlignment="1">
      <alignment horizontal="center" vertical="center"/>
    </xf>
    <xf numFmtId="166" fontId="21" fillId="0" borderId="5" xfId="0" applyNumberFormat="1" applyFont="1" applyBorder="1" applyAlignment="1">
      <alignment horizontal="center" vertical="center"/>
    </xf>
    <xf numFmtId="0" fontId="2" fillId="0" borderId="33" xfId="0" applyFont="1" applyBorder="1" applyAlignment="1">
      <alignment horizontal="center"/>
    </xf>
    <xf numFmtId="0" fontId="0" fillId="0" borderId="0" xfId="0" applyAlignment="1">
      <alignment horizontal="left"/>
    </xf>
    <xf numFmtId="0" fontId="34" fillId="0" borderId="0" xfId="0" applyFont="1" applyAlignment="1">
      <alignment horizontal="left"/>
    </xf>
    <xf numFmtId="0" fontId="2" fillId="0" borderId="0" xfId="0" applyFont="1"/>
    <xf numFmtId="165" fontId="13" fillId="0" borderId="0" xfId="5" applyNumberFormat="1" applyFont="1" applyAlignment="1">
      <alignment vertical="center"/>
    </xf>
    <xf numFmtId="0" fontId="5" fillId="0" borderId="0" xfId="5"/>
    <xf numFmtId="0" fontId="14" fillId="0" borderId="0" xfId="5" applyFont="1" applyAlignment="1">
      <alignment vertical="center"/>
    </xf>
    <xf numFmtId="0" fontId="9" fillId="0" borderId="0" xfId="5" applyFont="1"/>
    <xf numFmtId="3" fontId="9" fillId="0" borderId="0" xfId="5" applyNumberFormat="1" applyFont="1"/>
    <xf numFmtId="4" fontId="5" fillId="0" borderId="0" xfId="5" applyNumberFormat="1"/>
    <xf numFmtId="0" fontId="13" fillId="0" borderId="0" xfId="5" applyFont="1" applyAlignment="1">
      <alignment horizontal="left" vertical="center"/>
    </xf>
    <xf numFmtId="0" fontId="8" fillId="0" borderId="0" xfId="5" applyFont="1" applyAlignment="1">
      <alignment horizontal="left" vertical="center"/>
    </xf>
    <xf numFmtId="3" fontId="8" fillId="0" borderId="0" xfId="5" applyNumberFormat="1" applyFont="1"/>
    <xf numFmtId="0" fontId="8" fillId="0" borderId="0" xfId="5" applyFont="1"/>
    <xf numFmtId="3" fontId="5" fillId="0" borderId="0" xfId="5" applyNumberFormat="1"/>
    <xf numFmtId="0" fontId="5" fillId="0" borderId="0" xfId="5" applyAlignment="1">
      <alignment horizontal="right"/>
    </xf>
    <xf numFmtId="3" fontId="5" fillId="0" borderId="0" xfId="5" applyNumberFormat="1" applyAlignment="1">
      <alignment horizontal="right"/>
    </xf>
    <xf numFmtId="4" fontId="5" fillId="0" borderId="0" xfId="5" applyNumberFormat="1" applyAlignment="1">
      <alignment horizontal="right"/>
    </xf>
    <xf numFmtId="0" fontId="13" fillId="0" borderId="36" xfId="0" applyFont="1" applyBorder="1" applyAlignment="1">
      <alignment vertical="center" wrapText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37" xfId="0" applyBorder="1"/>
    <xf numFmtId="0" fontId="0" fillId="0" borderId="19" xfId="0" applyBorder="1"/>
    <xf numFmtId="0" fontId="0" fillId="0" borderId="38" xfId="0" applyBorder="1"/>
    <xf numFmtId="0" fontId="0" fillId="0" borderId="0" xfId="0" applyAlignment="1">
      <alignment horizontal="right"/>
    </xf>
    <xf numFmtId="0" fontId="0" fillId="0" borderId="24" xfId="0" applyBorder="1"/>
    <xf numFmtId="0" fontId="0" fillId="0" borderId="26" xfId="0" applyBorder="1"/>
    <xf numFmtId="0" fontId="0" fillId="0" borderId="27" xfId="0" applyBorder="1"/>
    <xf numFmtId="0" fontId="0" fillId="0" borderId="29" xfId="0" applyBorder="1"/>
    <xf numFmtId="0" fontId="0" fillId="0" borderId="14" xfId="0" applyBorder="1" applyAlignment="1">
      <alignment vertical="center"/>
    </xf>
    <xf numFmtId="0" fontId="0" fillId="0" borderId="35" xfId="0" applyBorder="1" applyAlignment="1">
      <alignment vertical="center"/>
    </xf>
    <xf numFmtId="0" fontId="2" fillId="0" borderId="25" xfId="0" applyFont="1" applyBorder="1"/>
    <xf numFmtId="20" fontId="16" fillId="0" borderId="39" xfId="0" applyNumberFormat="1" applyFont="1" applyBorder="1" applyAlignment="1" applyProtection="1">
      <alignment horizontal="center"/>
      <protection locked="0"/>
    </xf>
    <xf numFmtId="0" fontId="16" fillId="0" borderId="0" xfId="0" applyFont="1"/>
    <xf numFmtId="0" fontId="4" fillId="0" borderId="26" xfId="0" applyFont="1" applyBorder="1"/>
    <xf numFmtId="0" fontId="10" fillId="0" borderId="0" xfId="0" applyFont="1" applyAlignment="1">
      <alignment horizontal="left"/>
    </xf>
    <xf numFmtId="0" fontId="2" fillId="0" borderId="1" xfId="0" applyFont="1" applyBorder="1" applyAlignment="1" applyProtection="1">
      <alignment horizontal="center"/>
      <protection locked="0"/>
    </xf>
    <xf numFmtId="0" fontId="0" fillId="0" borderId="40" xfId="0" applyBorder="1" applyAlignment="1">
      <alignment horizontal="center"/>
    </xf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33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0" fillId="0" borderId="41" xfId="0" applyBorder="1"/>
    <xf numFmtId="0" fontId="16" fillId="0" borderId="37" xfId="0" applyFont="1" applyBorder="1"/>
    <xf numFmtId="0" fontId="6" fillId="0" borderId="19" xfId="0" applyFont="1" applyBorder="1"/>
    <xf numFmtId="20" fontId="16" fillId="0" borderId="39" xfId="0" applyNumberFormat="1" applyFont="1" applyBorder="1" applyProtection="1">
      <protection locked="0"/>
    </xf>
    <xf numFmtId="0" fontId="16" fillId="0" borderId="19" xfId="0" applyFont="1" applyBorder="1"/>
    <xf numFmtId="0" fontId="6" fillId="0" borderId="0" xfId="0" applyFont="1"/>
    <xf numFmtId="0" fontId="6" fillId="0" borderId="38" xfId="0" applyFont="1" applyBorder="1"/>
    <xf numFmtId="0" fontId="4" fillId="0" borderId="25" xfId="0" applyFont="1" applyBorder="1"/>
    <xf numFmtId="49" fontId="0" fillId="0" borderId="0" xfId="0" applyNumberFormat="1" applyAlignment="1">
      <alignment horizontal="left"/>
    </xf>
    <xf numFmtId="0" fontId="10" fillId="0" borderId="0" xfId="0" applyFont="1"/>
    <xf numFmtId="0" fontId="16" fillId="0" borderId="25" xfId="0" applyFont="1" applyBorder="1"/>
    <xf numFmtId="0" fontId="0" fillId="0" borderId="13" xfId="0" applyBorder="1"/>
    <xf numFmtId="0" fontId="12" fillId="0" borderId="25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0" fontId="12" fillId="0" borderId="0" xfId="0" applyFont="1" applyProtection="1">
      <protection locked="0"/>
    </xf>
    <xf numFmtId="0" fontId="14" fillId="0" borderId="0" xfId="0" applyFont="1" applyAlignment="1">
      <alignment vertical="center"/>
    </xf>
    <xf numFmtId="0" fontId="9" fillId="0" borderId="0" xfId="0" applyFont="1"/>
    <xf numFmtId="0" fontId="8" fillId="0" borderId="12" xfId="0" applyFont="1" applyBorder="1" applyAlignment="1">
      <alignment horizontal="center" vertical="center"/>
    </xf>
    <xf numFmtId="3" fontId="13" fillId="0" borderId="4" xfId="0" applyNumberFormat="1" applyFont="1" applyBorder="1" applyAlignment="1">
      <alignment horizontal="center" vertical="center"/>
    </xf>
    <xf numFmtId="169" fontId="13" fillId="0" borderId="5" xfId="0" applyNumberFormat="1" applyFont="1" applyBorder="1" applyAlignment="1">
      <alignment horizontal="center" vertical="center"/>
    </xf>
    <xf numFmtId="169" fontId="13" fillId="0" borderId="35" xfId="0" applyNumberFormat="1" applyFont="1" applyBorder="1" applyAlignment="1">
      <alignment horizontal="center" vertical="center"/>
    </xf>
    <xf numFmtId="169" fontId="13" fillId="0" borderId="13" xfId="0" applyNumberFormat="1" applyFont="1" applyBorder="1" applyAlignment="1">
      <alignment horizontal="center"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8" fillId="0" borderId="0" xfId="0" applyFont="1"/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0" fontId="2" fillId="0" borderId="18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42" xfId="0" applyFont="1" applyBorder="1" applyAlignment="1">
      <alignment horizontal="right"/>
    </xf>
    <xf numFmtId="0" fontId="2" fillId="0" borderId="17" xfId="0" applyFont="1" applyBorder="1" applyAlignment="1">
      <alignment horizontal="right"/>
    </xf>
    <xf numFmtId="0" fontId="21" fillId="0" borderId="4" xfId="0" applyFont="1" applyBorder="1" applyAlignment="1">
      <alignment horizontal="center" vertical="center"/>
    </xf>
    <xf numFmtId="14" fontId="7" fillId="0" borderId="27" xfId="0" applyNumberFormat="1" applyFont="1" applyBorder="1" applyAlignment="1">
      <alignment vertical="center"/>
    </xf>
    <xf numFmtId="0" fontId="4" fillId="0" borderId="27" xfId="0" applyFont="1" applyBorder="1" applyAlignment="1">
      <alignment vertical="center"/>
    </xf>
    <xf numFmtId="166" fontId="25" fillId="0" borderId="40" xfId="0" applyNumberFormat="1" applyFont="1" applyBorder="1" applyAlignment="1">
      <alignment horizontal="center"/>
    </xf>
    <xf numFmtId="3" fontId="25" fillId="0" borderId="0" xfId="0" applyNumberFormat="1" applyFont="1" applyAlignment="1">
      <alignment horizontal="center"/>
    </xf>
    <xf numFmtId="0" fontId="25" fillId="0" borderId="11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40" xfId="0" applyFont="1" applyBorder="1" applyAlignment="1">
      <alignment horizontal="center"/>
    </xf>
    <xf numFmtId="165" fontId="25" fillId="0" borderId="0" xfId="0" applyNumberFormat="1" applyFont="1" applyAlignment="1">
      <alignment horizontal="center"/>
    </xf>
    <xf numFmtId="0" fontId="13" fillId="0" borderId="4" xfId="0" applyFont="1" applyBorder="1" applyAlignment="1">
      <alignment horizontal="center" vertical="center"/>
    </xf>
    <xf numFmtId="170" fontId="19" fillId="0" borderId="5" xfId="3" applyNumberFormat="1" applyFont="1" applyBorder="1" applyAlignment="1">
      <alignment horizontal="center" vertical="center"/>
    </xf>
    <xf numFmtId="166" fontId="19" fillId="0" borderId="5" xfId="0" applyNumberFormat="1" applyFont="1" applyBorder="1" applyAlignment="1">
      <alignment horizontal="center" vertical="center"/>
    </xf>
    <xf numFmtId="166" fontId="19" fillId="0" borderId="10" xfId="0" applyNumberFormat="1" applyFont="1" applyBorder="1" applyAlignment="1">
      <alignment horizontal="center" vertical="center"/>
    </xf>
    <xf numFmtId="14" fontId="26" fillId="0" borderId="0" xfId="0" applyNumberFormat="1" applyFont="1" applyAlignment="1" applyProtection="1">
      <alignment horizontal="left" vertical="top" wrapText="1"/>
      <protection hidden="1"/>
    </xf>
    <xf numFmtId="0" fontId="26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33" fillId="0" borderId="0" xfId="0" applyFont="1"/>
    <xf numFmtId="0" fontId="35" fillId="0" borderId="0" xfId="0" applyFont="1"/>
    <xf numFmtId="0" fontId="36" fillId="0" borderId="0" xfId="0" applyFont="1" applyAlignment="1">
      <alignment horizontal="center"/>
    </xf>
    <xf numFmtId="0" fontId="36" fillId="0" borderId="0" xfId="0" applyFont="1"/>
    <xf numFmtId="0" fontId="36" fillId="0" borderId="0" xfId="0" applyFont="1" applyAlignment="1">
      <alignment horizontal="left"/>
    </xf>
    <xf numFmtId="165" fontId="10" fillId="0" borderId="0" xfId="9" applyNumberFormat="1" applyFont="1"/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center"/>
    </xf>
    <xf numFmtId="0" fontId="23" fillId="0" borderId="0" xfId="7" applyFont="1"/>
    <xf numFmtId="0" fontId="23" fillId="0" borderId="0" xfId="7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165" fontId="2" fillId="0" borderId="13" xfId="0" applyNumberFormat="1" applyFont="1" applyBorder="1" applyAlignment="1">
      <alignment vertical="center"/>
    </xf>
    <xf numFmtId="0" fontId="5" fillId="0" borderId="39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165" fontId="7" fillId="0" borderId="39" xfId="0" applyNumberFormat="1" applyFont="1" applyBorder="1" applyAlignment="1">
      <alignment vertical="center"/>
    </xf>
    <xf numFmtId="0" fontId="5" fillId="0" borderId="43" xfId="0" applyFont="1" applyBorder="1" applyAlignment="1">
      <alignment vertical="center"/>
    </xf>
    <xf numFmtId="0" fontId="2" fillId="0" borderId="43" xfId="0" applyFont="1" applyBorder="1" applyAlignment="1">
      <alignment vertical="center"/>
    </xf>
    <xf numFmtId="0" fontId="5" fillId="0" borderId="15" xfId="0" applyFont="1" applyBorder="1" applyAlignment="1">
      <alignment horizontal="right" vertical="center"/>
    </xf>
    <xf numFmtId="166" fontId="0" fillId="0" borderId="44" xfId="0" applyNumberFormat="1" applyBorder="1" applyAlignment="1">
      <alignment vertical="center"/>
    </xf>
    <xf numFmtId="166" fontId="0" fillId="0" borderId="45" xfId="0" applyNumberFormat="1" applyBorder="1" applyAlignment="1">
      <alignment vertical="center"/>
    </xf>
    <xf numFmtId="166" fontId="0" fillId="0" borderId="46" xfId="0" applyNumberFormat="1" applyBorder="1" applyAlignment="1">
      <alignment vertical="center"/>
    </xf>
    <xf numFmtId="0" fontId="0" fillId="0" borderId="47" xfId="0" applyBorder="1" applyAlignment="1">
      <alignment horizontal="center" vertical="center"/>
    </xf>
    <xf numFmtId="0" fontId="5" fillId="0" borderId="18" xfId="0" applyFont="1" applyBorder="1" applyAlignment="1" applyProtection="1">
      <alignment horizontal="center" vertical="center"/>
      <protection locked="0"/>
    </xf>
    <xf numFmtId="165" fontId="7" fillId="0" borderId="21" xfId="0" applyNumberFormat="1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165" fontId="2" fillId="0" borderId="48" xfId="0" applyNumberFormat="1" applyFont="1" applyBorder="1" applyAlignment="1">
      <alignment vertical="center"/>
    </xf>
    <xf numFmtId="0" fontId="2" fillId="0" borderId="39" xfId="0" applyFont="1" applyBorder="1" applyAlignment="1">
      <alignment horizontal="right"/>
    </xf>
    <xf numFmtId="171" fontId="0" fillId="0" borderId="49" xfId="0" applyNumberFormat="1" applyBorder="1" applyAlignment="1" applyProtection="1">
      <alignment horizontal="center" vertical="center"/>
      <protection locked="0"/>
    </xf>
    <xf numFmtId="171" fontId="0" fillId="0" borderId="15" xfId="0" applyNumberFormat="1" applyBorder="1" applyAlignment="1" applyProtection="1">
      <alignment horizontal="center" vertical="center"/>
      <protection locked="0"/>
    </xf>
    <xf numFmtId="0" fontId="5" fillId="0" borderId="50" xfId="0" applyFont="1" applyBorder="1" applyAlignment="1">
      <alignment horizontal="center" vertical="center"/>
    </xf>
    <xf numFmtId="171" fontId="0" fillId="0" borderId="47" xfId="0" applyNumberFormat="1" applyBorder="1" applyAlignment="1" applyProtection="1">
      <alignment horizontal="center" vertical="center"/>
      <protection locked="0"/>
    </xf>
    <xf numFmtId="171" fontId="5" fillId="0" borderId="48" xfId="0" applyNumberFormat="1" applyFont="1" applyBorder="1" applyAlignment="1">
      <alignment horizontal="center" vertical="center"/>
    </xf>
    <xf numFmtId="171" fontId="5" fillId="0" borderId="36" xfId="0" applyNumberFormat="1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0" fillId="0" borderId="48" xfId="0" applyNumberForma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165" fontId="5" fillId="0" borderId="52" xfId="0" applyNumberFormat="1" applyFont="1" applyBorder="1" applyAlignment="1" applyProtection="1">
      <alignment horizontal="center" vertical="center"/>
      <protection locked="0"/>
    </xf>
    <xf numFmtId="165" fontId="5" fillId="0" borderId="16" xfId="0" applyNumberFormat="1" applyFont="1" applyBorder="1" applyAlignment="1" applyProtection="1">
      <alignment horizontal="center" vertical="center"/>
      <protection locked="0"/>
    </xf>
    <xf numFmtId="165" fontId="5" fillId="0" borderId="53" xfId="0" applyNumberFormat="1" applyFont="1" applyBorder="1" applyAlignment="1" applyProtection="1">
      <alignment horizontal="center" vertical="center"/>
      <protection locked="0"/>
    </xf>
    <xf numFmtId="165" fontId="5" fillId="0" borderId="18" xfId="0" applyNumberFormat="1" applyFont="1" applyBorder="1" applyAlignment="1" applyProtection="1">
      <alignment horizontal="center" vertical="center"/>
      <protection locked="0"/>
    </xf>
    <xf numFmtId="165" fontId="5" fillId="0" borderId="50" xfId="0" applyNumberFormat="1" applyFont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left" vertical="center"/>
    </xf>
    <xf numFmtId="0" fontId="5" fillId="0" borderId="18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71" fontId="0" fillId="0" borderId="54" xfId="0" applyNumberFormat="1" applyBorder="1" applyAlignment="1">
      <alignment horizontal="center" vertical="center"/>
    </xf>
    <xf numFmtId="171" fontId="0" fillId="0" borderId="16" xfId="0" applyNumberFormat="1" applyBorder="1" applyAlignment="1">
      <alignment horizontal="center" vertical="center"/>
    </xf>
    <xf numFmtId="171" fontId="0" fillId="0" borderId="50" xfId="0" applyNumberFormat="1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7" fillId="0" borderId="0" xfId="0" applyFont="1"/>
    <xf numFmtId="166" fontId="2" fillId="0" borderId="19" xfId="0" applyNumberFormat="1" applyFont="1" applyBorder="1" applyAlignment="1">
      <alignment horizontal="center" vertical="center"/>
    </xf>
    <xf numFmtId="167" fontId="37" fillId="0" borderId="0" xfId="0" applyNumberFormat="1" applyFont="1"/>
    <xf numFmtId="0" fontId="37" fillId="0" borderId="0" xfId="0" applyFont="1"/>
    <xf numFmtId="2" fontId="37" fillId="0" borderId="0" xfId="0" applyNumberFormat="1" applyFont="1"/>
    <xf numFmtId="14" fontId="37" fillId="0" borderId="0" xfId="0" applyNumberFormat="1" applyFont="1"/>
    <xf numFmtId="0" fontId="38" fillId="0" borderId="0" xfId="0" applyFont="1"/>
    <xf numFmtId="167" fontId="27" fillId="0" borderId="0" xfId="0" applyNumberFormat="1" applyFont="1"/>
    <xf numFmtId="2" fontId="27" fillId="0" borderId="0" xfId="0" applyNumberFormat="1" applyFont="1"/>
    <xf numFmtId="14" fontId="27" fillId="0" borderId="0" xfId="0" applyNumberFormat="1" applyFont="1"/>
    <xf numFmtId="0" fontId="22" fillId="0" borderId="0" xfId="0" applyFont="1" applyAlignment="1">
      <alignment horizontal="right" vertical="center"/>
    </xf>
    <xf numFmtId="0" fontId="0" fillId="0" borderId="47" xfId="0" applyBorder="1" applyAlignment="1">
      <alignment horizontal="center"/>
    </xf>
    <xf numFmtId="170" fontId="19" fillId="0" borderId="10" xfId="3" applyNumberFormat="1" applyFont="1" applyBorder="1" applyAlignment="1">
      <alignment horizontal="center" vertical="center"/>
    </xf>
    <xf numFmtId="14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14" fontId="0" fillId="0" borderId="0" xfId="0" applyNumberFormat="1" applyAlignment="1" applyProtection="1">
      <alignment horizontal="center"/>
      <protection locked="0"/>
    </xf>
    <xf numFmtId="0" fontId="32" fillId="0" borderId="0" xfId="0" applyFont="1" applyProtection="1">
      <protection locked="0"/>
    </xf>
    <xf numFmtId="0" fontId="32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vertical="center"/>
    </xf>
    <xf numFmtId="0" fontId="0" fillId="0" borderId="24" xfId="0" applyBorder="1" applyAlignment="1">
      <alignment horizontal="center" vertical="center"/>
    </xf>
    <xf numFmtId="0" fontId="31" fillId="0" borderId="24" xfId="0" applyFont="1" applyBorder="1" applyAlignment="1">
      <alignment horizontal="right"/>
    </xf>
    <xf numFmtId="0" fontId="20" fillId="0" borderId="25" xfId="0" applyFont="1" applyBorder="1" applyAlignment="1">
      <alignment horizontal="right"/>
    </xf>
    <xf numFmtId="0" fontId="20" fillId="0" borderId="0" xfId="0" applyFont="1" applyAlignment="1">
      <alignment horizontal="right"/>
    </xf>
    <xf numFmtId="0" fontId="0" fillId="0" borderId="11" xfId="0" applyBorder="1"/>
    <xf numFmtId="0" fontId="32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3" xfId="0" applyBorder="1"/>
    <xf numFmtId="0" fontId="0" fillId="0" borderId="28" xfId="0" applyBorder="1"/>
    <xf numFmtId="0" fontId="0" fillId="0" borderId="29" xfId="0" applyBorder="1" applyAlignment="1">
      <alignment horizontal="center"/>
    </xf>
    <xf numFmtId="0" fontId="39" fillId="0" borderId="0" xfId="0" applyFont="1" applyAlignment="1">
      <alignment horizontal="center"/>
    </xf>
    <xf numFmtId="0" fontId="32" fillId="0" borderId="0" xfId="0" applyFont="1" applyAlignment="1" applyProtection="1">
      <alignment horizontal="left"/>
      <protection locked="0"/>
    </xf>
    <xf numFmtId="9" fontId="32" fillId="0" borderId="0" xfId="0" applyNumberFormat="1" applyFont="1" applyAlignment="1" applyProtection="1">
      <alignment horizontal="center"/>
      <protection locked="0"/>
    </xf>
    <xf numFmtId="167" fontId="24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 textRotation="90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/>
    <xf numFmtId="0" fontId="24" fillId="0" borderId="0" xfId="0" applyFont="1" applyAlignment="1" applyProtection="1">
      <alignment horizontal="center" wrapText="1"/>
      <protection locked="0"/>
    </xf>
    <xf numFmtId="49" fontId="23" fillId="0" borderId="0" xfId="0" applyNumberFormat="1" applyFont="1"/>
    <xf numFmtId="0" fontId="23" fillId="0" borderId="0" xfId="5" applyFont="1"/>
    <xf numFmtId="0" fontId="23" fillId="0" borderId="0" xfId="5" applyFont="1" applyAlignment="1">
      <alignment horizontal="center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/>
    <xf numFmtId="0" fontId="42" fillId="0" borderId="0" xfId="6" applyFont="1" applyAlignment="1">
      <alignment horizontal="center"/>
    </xf>
    <xf numFmtId="0" fontId="42" fillId="0" borderId="0" xfId="0" applyFont="1" applyAlignment="1">
      <alignment horizontal="center" textRotation="90"/>
    </xf>
    <xf numFmtId="49" fontId="42" fillId="0" borderId="0" xfId="0" applyNumberFormat="1" applyFont="1"/>
    <xf numFmtId="0" fontId="42" fillId="0" borderId="0" xfId="7" applyFont="1"/>
    <xf numFmtId="0" fontId="42" fillId="0" borderId="0" xfId="7" applyFont="1" applyAlignment="1">
      <alignment horizontal="center"/>
    </xf>
    <xf numFmtId="0" fontId="42" fillId="0" borderId="0" xfId="8" applyFont="1"/>
    <xf numFmtId="0" fontId="42" fillId="0" borderId="0" xfId="8" applyFont="1" applyAlignment="1">
      <alignment horizontal="center"/>
    </xf>
    <xf numFmtId="49" fontId="42" fillId="0" borderId="0" xfId="0" applyNumberFormat="1" applyFont="1" applyAlignment="1">
      <alignment horizontal="left"/>
    </xf>
    <xf numFmtId="0" fontId="42" fillId="0" borderId="0" xfId="0" applyFont="1" applyAlignment="1" applyProtection="1">
      <alignment horizontal="center"/>
      <protection locked="0"/>
    </xf>
    <xf numFmtId="167" fontId="42" fillId="0" borderId="0" xfId="7" applyNumberFormat="1" applyFont="1" applyAlignment="1">
      <alignment horizontal="left"/>
    </xf>
    <xf numFmtId="0" fontId="42" fillId="0" borderId="0" xfId="7" applyFont="1" applyAlignment="1">
      <alignment horizontal="left"/>
    </xf>
    <xf numFmtId="49" fontId="42" fillId="0" borderId="0" xfId="0" applyNumberFormat="1" applyFont="1" applyAlignment="1">
      <alignment horizontal="center"/>
    </xf>
    <xf numFmtId="0" fontId="42" fillId="0" borderId="0" xfId="5" applyFont="1"/>
    <xf numFmtId="0" fontId="42" fillId="0" borderId="0" xfId="5" applyFont="1" applyAlignment="1">
      <alignment horizontal="center"/>
    </xf>
    <xf numFmtId="0" fontId="42" fillId="0" borderId="0" xfId="0" applyFont="1" applyAlignment="1" applyProtection="1">
      <alignment horizontal="center" vertical="center"/>
      <protection locked="0"/>
    </xf>
    <xf numFmtId="0" fontId="40" fillId="0" borderId="0" xfId="12" applyFont="1"/>
    <xf numFmtId="0" fontId="40" fillId="0" borderId="0" xfId="12" applyFont="1" applyAlignment="1">
      <alignment horizontal="center"/>
    </xf>
    <xf numFmtId="167" fontId="43" fillId="0" borderId="0" xfId="0" applyNumberFormat="1" applyFont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applyFont="1"/>
    <xf numFmtId="0" fontId="43" fillId="0" borderId="0" xfId="0" applyFont="1" applyAlignment="1">
      <alignment horizontal="center"/>
    </xf>
    <xf numFmtId="0" fontId="43" fillId="0" borderId="0" xfId="7" applyFont="1" applyAlignment="1">
      <alignment horizontal="center"/>
    </xf>
    <xf numFmtId="0" fontId="43" fillId="0" borderId="0" xfId="6" applyFont="1"/>
    <xf numFmtId="0" fontId="43" fillId="0" borderId="0" xfId="6" applyFont="1" applyAlignment="1">
      <alignment horizontal="center"/>
    </xf>
    <xf numFmtId="0" fontId="43" fillId="0" borderId="0" xfId="7" applyFont="1"/>
    <xf numFmtId="0" fontId="43" fillId="0" borderId="0" xfId="8" applyFont="1"/>
    <xf numFmtId="167" fontId="23" fillId="0" borderId="0" xfId="0" applyNumberFormat="1" applyFont="1"/>
    <xf numFmtId="2" fontId="23" fillId="0" borderId="0" xfId="0" applyNumberFormat="1" applyFont="1"/>
    <xf numFmtId="14" fontId="23" fillId="0" borderId="0" xfId="0" applyNumberFormat="1" applyFont="1"/>
    <xf numFmtId="20" fontId="16" fillId="0" borderId="19" xfId="0" applyNumberFormat="1" applyFont="1" applyBorder="1" applyProtection="1">
      <protection locked="0"/>
    </xf>
    <xf numFmtId="0" fontId="16" fillId="0" borderId="39" xfId="0" applyFont="1" applyBorder="1"/>
    <xf numFmtId="0" fontId="16" fillId="0" borderId="39" xfId="0" applyFont="1" applyBorder="1" applyProtection="1">
      <protection locked="0"/>
    </xf>
    <xf numFmtId="0" fontId="1" fillId="0" borderId="0" xfId="0" applyFont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44" fillId="0" borderId="0" xfId="0" applyFont="1"/>
    <xf numFmtId="0" fontId="45" fillId="0" borderId="0" xfId="13"/>
    <xf numFmtId="0" fontId="35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0" fontId="2" fillId="0" borderId="2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14" fontId="5" fillId="0" borderId="49" xfId="0" applyNumberFormat="1" applyFont="1" applyBorder="1" applyAlignment="1">
      <alignment horizontal="center" vertical="center"/>
    </xf>
    <xf numFmtId="14" fontId="5" fillId="0" borderId="19" xfId="0" applyNumberFormat="1" applyFont="1" applyBorder="1" applyAlignment="1">
      <alignment horizontal="center" vertical="center"/>
    </xf>
    <xf numFmtId="14" fontId="5" fillId="0" borderId="38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0" quotePrefix="1" applyFont="1" applyAlignment="1">
      <alignment horizontal="left"/>
    </xf>
    <xf numFmtId="0" fontId="6" fillId="0" borderId="0" xfId="0" applyFont="1" applyAlignment="1">
      <alignment horizontal="left"/>
    </xf>
    <xf numFmtId="0" fontId="1" fillId="0" borderId="12" xfId="0" applyFont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10" fillId="0" borderId="15" xfId="0" applyFont="1" applyBorder="1" applyAlignment="1" applyProtection="1">
      <alignment horizontal="left" vertical="top" wrapText="1"/>
      <protection locked="0"/>
    </xf>
    <xf numFmtId="0" fontId="10" fillId="0" borderId="43" xfId="0" applyFont="1" applyBorder="1" applyAlignment="1" applyProtection="1">
      <alignment horizontal="left" vertical="top" wrapText="1"/>
      <protection locked="0"/>
    </xf>
    <xf numFmtId="0" fontId="10" fillId="0" borderId="16" xfId="0" applyFont="1" applyBorder="1" applyAlignment="1" applyProtection="1">
      <alignment horizontal="left" vertical="top" wrapText="1"/>
      <protection locked="0"/>
    </xf>
    <xf numFmtId="0" fontId="10" fillId="0" borderId="15" xfId="11" applyNumberFormat="1" applyFont="1" applyBorder="1" applyAlignment="1" applyProtection="1">
      <alignment horizontal="left" vertical="top" wrapText="1"/>
      <protection locked="0"/>
    </xf>
    <xf numFmtId="0" fontId="10" fillId="0" borderId="43" xfId="11" applyNumberFormat="1" applyFont="1" applyBorder="1" applyAlignment="1" applyProtection="1">
      <alignment horizontal="left" vertical="top" wrapText="1"/>
      <protection locked="0"/>
    </xf>
    <xf numFmtId="0" fontId="10" fillId="0" borderId="16" xfId="11" applyNumberFormat="1" applyFont="1" applyBorder="1" applyAlignment="1" applyProtection="1">
      <alignment horizontal="left" vertical="top" wrapText="1"/>
      <protection locked="0"/>
    </xf>
    <xf numFmtId="0" fontId="4" fillId="0" borderId="13" xfId="0" applyFont="1" applyBorder="1" applyAlignment="1">
      <alignment horizontal="center" vertical="center"/>
    </xf>
    <xf numFmtId="0" fontId="16" fillId="0" borderId="19" xfId="0" applyFont="1" applyBorder="1" applyAlignment="1">
      <alignment horizontal="right"/>
    </xf>
    <xf numFmtId="0" fontId="12" fillId="0" borderId="43" xfId="0" applyFont="1" applyBorder="1" applyAlignment="1" applyProtection="1">
      <alignment horizontal="left" vertical="top" wrapText="1"/>
      <protection locked="0"/>
    </xf>
    <xf numFmtId="0" fontId="12" fillId="0" borderId="16" xfId="0" applyFont="1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left"/>
      <protection locked="0"/>
    </xf>
    <xf numFmtId="0" fontId="9" fillId="0" borderId="0" xfId="0" applyFont="1" applyAlignment="1">
      <alignment horizontal="center"/>
    </xf>
    <xf numFmtId="0" fontId="12" fillId="0" borderId="27" xfId="0" applyFont="1" applyBorder="1" applyAlignment="1">
      <alignment horizontal="left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14" fontId="0" fillId="0" borderId="15" xfId="0" applyNumberFormat="1" applyBorder="1" applyAlignment="1">
      <alignment horizontal="left"/>
    </xf>
    <xf numFmtId="14" fontId="0" fillId="0" borderId="43" xfId="0" applyNumberFormat="1" applyBorder="1" applyAlignment="1">
      <alignment horizontal="left"/>
    </xf>
    <xf numFmtId="14" fontId="0" fillId="0" borderId="16" xfId="0" applyNumberFormat="1" applyBorder="1" applyAlignment="1">
      <alignment horizontal="left"/>
    </xf>
    <xf numFmtId="0" fontId="0" fillId="0" borderId="15" xfId="0" applyBorder="1" applyAlignment="1" applyProtection="1">
      <alignment horizontal="left"/>
      <protection locked="0"/>
    </xf>
    <xf numFmtId="0" fontId="0" fillId="0" borderId="43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5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16" xfId="0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0" fillId="0" borderId="44" xfId="0" applyNumberFormat="1" applyBorder="1" applyAlignment="1">
      <alignment horizontal="center" vertical="center"/>
    </xf>
    <xf numFmtId="166" fontId="0" fillId="0" borderId="45" xfId="0" applyNumberFormat="1" applyBorder="1" applyAlignment="1">
      <alignment horizontal="center" vertical="center"/>
    </xf>
    <xf numFmtId="166" fontId="0" fillId="0" borderId="46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 textRotation="90"/>
    </xf>
    <xf numFmtId="0" fontId="0" fillId="0" borderId="55" xfId="0" applyBorder="1" applyAlignment="1">
      <alignment horizontal="center" vertical="center" textRotation="90"/>
    </xf>
    <xf numFmtId="0" fontId="0" fillId="0" borderId="51" xfId="0" applyBorder="1" applyAlignment="1">
      <alignment horizontal="center" vertical="center" textRotation="90"/>
    </xf>
    <xf numFmtId="14" fontId="7" fillId="0" borderId="0" xfId="0" applyNumberFormat="1" applyFon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0" borderId="11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7" fillId="0" borderId="14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35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43" xfId="0" applyFon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1" fontId="0" fillId="0" borderId="43" xfId="0" applyNumberFormat="1" applyBorder="1" applyAlignment="1">
      <alignment horizontal="center" vertical="center"/>
    </xf>
    <xf numFmtId="1" fontId="0" fillId="0" borderId="16" xfId="0" applyNumberFormat="1" applyBorder="1" applyAlignment="1">
      <alignment horizontal="center" vertical="center"/>
    </xf>
    <xf numFmtId="0" fontId="4" fillId="0" borderId="0" xfId="0" applyFont="1" applyAlignment="1">
      <alignment horizontal="left"/>
    </xf>
    <xf numFmtId="166" fontId="0" fillId="0" borderId="56" xfId="0" applyNumberFormat="1" applyBorder="1" applyAlignment="1">
      <alignment horizontal="center" vertical="center"/>
    </xf>
    <xf numFmtId="166" fontId="0" fillId="0" borderId="57" xfId="0" applyNumberFormat="1" applyBorder="1" applyAlignment="1">
      <alignment horizontal="center" vertical="center"/>
    </xf>
    <xf numFmtId="166" fontId="0" fillId="0" borderId="58" xfId="0" applyNumberForma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5" fillId="0" borderId="43" xfId="0" applyNumberFormat="1" applyFont="1" applyBorder="1" applyAlignment="1">
      <alignment horizontal="center" vertical="center"/>
    </xf>
    <xf numFmtId="1" fontId="5" fillId="0" borderId="16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3" fontId="0" fillId="0" borderId="0" xfId="0" applyNumberFormat="1" applyAlignment="1">
      <alignment horizontal="left"/>
    </xf>
    <xf numFmtId="0" fontId="7" fillId="0" borderId="0" xfId="0" applyFont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7" xfId="0" applyBorder="1" applyAlignment="1">
      <alignment horizontal="center"/>
    </xf>
    <xf numFmtId="0" fontId="0" fillId="0" borderId="21" xfId="0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5" fillId="0" borderId="12" xfId="0" applyFont="1" applyBorder="1" applyAlignment="1" applyProtection="1">
      <alignment horizontal="left"/>
      <protection locked="0"/>
    </xf>
    <xf numFmtId="0" fontId="5" fillId="0" borderId="6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0" fillId="0" borderId="42" xfId="0" applyBorder="1" applyAlignment="1">
      <alignment horizontal="center"/>
    </xf>
    <xf numFmtId="0" fontId="1" fillId="0" borderId="30" xfId="0" applyFont="1" applyBorder="1" applyAlignment="1">
      <alignment vertical="center"/>
    </xf>
  </cellXfs>
  <cellStyles count="14">
    <cellStyle name="Euro" xfId="1" xr:uid="{00000000-0005-0000-0000-000000000000}"/>
    <cellStyle name="Euro 2" xfId="2" xr:uid="{00000000-0005-0000-0000-000001000000}"/>
    <cellStyle name="Komma 2" xfId="3" xr:uid="{00000000-0005-0000-0000-000002000000}"/>
    <cellStyle name="Link" xfId="13" builtinId="8"/>
    <cellStyle name="Normal_Sheet1" xfId="4" xr:uid="{00000000-0005-0000-0000-000004000000}"/>
    <cellStyle name="Standard" xfId="0" builtinId="0"/>
    <cellStyle name="Standard 2" xfId="5" xr:uid="{00000000-0005-0000-0000-000006000000}"/>
    <cellStyle name="Standard 2 3" xfId="6" xr:uid="{00000000-0005-0000-0000-000007000000}"/>
    <cellStyle name="Standard 5" xfId="7" xr:uid="{00000000-0005-0000-0000-000008000000}"/>
    <cellStyle name="Standard 7" xfId="8" xr:uid="{00000000-0005-0000-0000-000009000000}"/>
    <cellStyle name="Standard 8" xfId="12" xr:uid="{00000000-0005-0000-0000-00000A000000}"/>
    <cellStyle name="Standard_BM Jugend Do 2008" xfId="9" xr:uid="{00000000-0005-0000-0000-00000B000000}"/>
    <cellStyle name="Währung 2" xfId="10" xr:uid="{00000000-0005-0000-0000-00000C000000}"/>
    <cellStyle name="Währung 2 2" xfId="11" xr:uid="{00000000-0005-0000-0000-00000D000000}"/>
  </cellStyles>
  <dxfs count="469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34.v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://absolut-sports.com/" TargetMode="External"/><Relationship Id="rId2" Type="http://schemas.openxmlformats.org/officeDocument/2006/relationships/hyperlink" Target="http://absolut-sports.com/" TargetMode="External"/><Relationship Id="rId1" Type="http://schemas.openxmlformats.org/officeDocument/2006/relationships/hyperlink" Target="http://absolut-sports.com/" TargetMode="External"/><Relationship Id="rId5" Type="http://schemas.openxmlformats.org/officeDocument/2006/relationships/printerSettings" Target="../printerSettings/printerSettings56.bin"/><Relationship Id="rId4" Type="http://schemas.openxmlformats.org/officeDocument/2006/relationships/hyperlink" Target="http://absolut-sports.com/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://absolut-sports.com/" TargetMode="External"/><Relationship Id="rId7" Type="http://schemas.openxmlformats.org/officeDocument/2006/relationships/printerSettings" Target="../printerSettings/printerSettings57.bin"/><Relationship Id="rId2" Type="http://schemas.openxmlformats.org/officeDocument/2006/relationships/hyperlink" Target="http://absolut-sports.com/" TargetMode="External"/><Relationship Id="rId1" Type="http://schemas.openxmlformats.org/officeDocument/2006/relationships/hyperlink" Target="http://absolut-sports.com/" TargetMode="External"/><Relationship Id="rId6" Type="http://schemas.openxmlformats.org/officeDocument/2006/relationships/hyperlink" Target="http://absolut-sports.com/" TargetMode="External"/><Relationship Id="rId5" Type="http://schemas.openxmlformats.org/officeDocument/2006/relationships/hyperlink" Target="http://absolut-sports.com/" TargetMode="External"/><Relationship Id="rId4" Type="http://schemas.openxmlformats.org/officeDocument/2006/relationships/hyperlink" Target="http://absolut-sports.com/" TargetMode="Externa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2"/>
  <sheetViews>
    <sheetView showGridLines="0" zoomScaleNormal="100" zoomScaleSheetLayoutView="100" workbookViewId="0">
      <selection activeCell="A2" sqref="A2:XFD2"/>
    </sheetView>
  </sheetViews>
  <sheetFormatPr baseColWidth="10" defaultRowHeight="13.8"/>
  <cols>
    <col min="1" max="1" width="11.33203125" style="178" bestFit="1" customWidth="1"/>
    <col min="2" max="2" width="17.21875" style="179" customWidth="1"/>
    <col min="3" max="3" width="111.6640625" style="179" customWidth="1"/>
  </cols>
  <sheetData>
    <row r="1" spans="1:3">
      <c r="A1" s="176" t="s">
        <v>1825</v>
      </c>
      <c r="B1" s="177" t="s">
        <v>2092</v>
      </c>
      <c r="C1" s="177" t="str">
        <f>"letzte Prüfung / Änderung "&amp;TEXT(MAX(A:A),"TT.MM.JJJJ")</f>
        <v>letzte Prüfung / Änderung 14.09.2024</v>
      </c>
    </row>
    <row r="2" spans="1:3" hidden="1">
      <c r="A2" s="178">
        <v>45549</v>
      </c>
      <c r="C2" s="179" t="s">
        <v>2384</v>
      </c>
    </row>
  </sheetData>
  <sheetProtection password="D714" sheet="1" objects="1" scenarios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7"/>
  <sheetViews>
    <sheetView showGridLines="0" zoomScaleNormal="100" workbookViewId="0">
      <selection activeCell="C48" sqref="C48:T48"/>
    </sheetView>
  </sheetViews>
  <sheetFormatPr baseColWidth="10" defaultColWidth="0" defaultRowHeight="13.2"/>
  <cols>
    <col min="1" max="1" width="1.21875" customWidth="1"/>
    <col min="2" max="2" width="3.44140625" customWidth="1"/>
    <col min="3" max="3" width="10.664062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21875" customWidth="1"/>
    <col min="9" max="9" width="2.21875" customWidth="1"/>
    <col min="10" max="10" width="3.21875" customWidth="1"/>
    <col min="11" max="11" width="0.6640625" customWidth="1"/>
    <col min="12" max="12" width="9.33203125" customWidth="1"/>
    <col min="13" max="13" width="2.21875" customWidth="1"/>
    <col min="14" max="14" width="3.21875" customWidth="1"/>
    <col min="15" max="15" width="0.6640625" customWidth="1"/>
    <col min="16" max="16" width="11.21875" customWidth="1"/>
    <col min="17" max="17" width="2.21875" customWidth="1"/>
    <col min="18" max="18" width="3.21875" customWidth="1"/>
    <col min="19" max="19" width="0.6640625" customWidth="1"/>
    <col min="20" max="20" width="11.6640625" customWidth="1"/>
    <col min="21" max="21" width="2.21875" customWidth="1"/>
    <col min="22" max="22" width="1" customWidth="1"/>
    <col min="23" max="16384" width="9.21875" hidden="1"/>
  </cols>
  <sheetData>
    <row r="1" spans="2:21" ht="3.75" customHeight="1"/>
    <row r="2" spans="2:21" ht="24.6">
      <c r="B2" s="378" t="s">
        <v>1824</v>
      </c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</row>
    <row r="3" spans="2:21" ht="11.25" customHeight="1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>
      <c r="P4" s="106"/>
      <c r="Q4" s="379"/>
      <c r="R4" s="379"/>
      <c r="S4" s="379"/>
      <c r="T4" s="379"/>
      <c r="U4" s="379"/>
    </row>
    <row r="5" spans="2:21" ht="11.25" customHeight="1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>
      <c r="B6" s="56"/>
      <c r="C6" s="110" t="s">
        <v>1788</v>
      </c>
      <c r="D6" s="110"/>
      <c r="E6" s="380">
        <f>+Spielzettel2!N2</f>
        <v>2</v>
      </c>
      <c r="F6" s="381"/>
      <c r="P6" s="110" t="s">
        <v>1825</v>
      </c>
      <c r="Q6" s="382">
        <f>+Spielzettel2!M1</f>
        <v>45717</v>
      </c>
      <c r="R6" s="383">
        <v>0</v>
      </c>
      <c r="S6" s="383">
        <v>0</v>
      </c>
      <c r="T6" s="384">
        <v>0</v>
      </c>
      <c r="U6" s="111"/>
    </row>
    <row r="7" spans="2:21">
      <c r="B7" s="56"/>
      <c r="C7" s="110"/>
      <c r="D7" s="110"/>
      <c r="U7" s="111"/>
    </row>
    <row r="8" spans="2:21">
      <c r="B8" s="56"/>
      <c r="C8" s="110" t="s">
        <v>1826</v>
      </c>
      <c r="D8" s="110"/>
      <c r="E8" s="388" t="str">
        <f>+Spielzettel2!E2</f>
        <v>Unterföhring Dreambowl Palace</v>
      </c>
      <c r="F8" s="389"/>
      <c r="G8" s="389"/>
      <c r="H8" s="389">
        <v>0</v>
      </c>
      <c r="I8" s="389"/>
      <c r="J8" s="390"/>
      <c r="N8" s="110" t="s">
        <v>1827</v>
      </c>
      <c r="P8" s="388" t="str">
        <f>+Spielzettel2!E1</f>
        <v>Landesliga Jugend</v>
      </c>
      <c r="Q8" s="389"/>
      <c r="R8" s="389"/>
      <c r="S8" s="389"/>
      <c r="T8" s="390"/>
      <c r="U8" s="111"/>
    </row>
    <row r="9" spans="2:21" ht="11.25" customHeight="1" thickBot="1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3.8" thickBot="1"/>
    <row r="11" spans="2:21" s="2" customFormat="1" ht="30" customHeight="1" thickBot="1">
      <c r="B11" s="115"/>
      <c r="C11" s="372" t="s">
        <v>1828</v>
      </c>
      <c r="D11" s="372"/>
      <c r="E11" s="372"/>
      <c r="F11" s="372"/>
      <c r="G11" s="372"/>
      <c r="H11" s="372"/>
      <c r="I11" s="372"/>
      <c r="J11" s="372"/>
      <c r="K11" s="372"/>
      <c r="L11" s="372"/>
      <c r="M11" s="372"/>
      <c r="N11" s="372"/>
      <c r="O11" s="372"/>
      <c r="P11" s="372"/>
      <c r="Q11" s="372"/>
      <c r="R11" s="372"/>
      <c r="S11" s="372"/>
      <c r="T11" s="372"/>
      <c r="U11" s="116"/>
    </row>
    <row r="12" spans="2:21" ht="21.75" customHeight="1">
      <c r="B12" s="117"/>
      <c r="C12" s="373" t="s">
        <v>1829</v>
      </c>
      <c r="D12" s="373"/>
      <c r="E12" s="373"/>
      <c r="F12" s="373"/>
      <c r="G12" s="373"/>
      <c r="H12" s="373"/>
      <c r="I12" s="373"/>
      <c r="J12" s="373"/>
      <c r="L12" s="118"/>
      <c r="M12" s="119" t="s">
        <v>1830</v>
      </c>
      <c r="P12" s="89"/>
      <c r="U12" s="111"/>
    </row>
    <row r="13" spans="2:21" ht="6.75" customHeight="1" thickBot="1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>
      <c r="B14" s="56"/>
      <c r="U14" s="111"/>
    </row>
    <row r="15" spans="2:21">
      <c r="B15" s="56"/>
      <c r="C15" s="121" t="s">
        <v>1831</v>
      </c>
      <c r="D15" s="121"/>
      <c r="F15" s="122" t="s">
        <v>2599</v>
      </c>
      <c r="G15" s="123"/>
      <c r="H15" t="s">
        <v>1832</v>
      </c>
      <c r="J15" s="122"/>
      <c r="L15" t="s">
        <v>1833</v>
      </c>
      <c r="U15" s="111"/>
    </row>
    <row r="16" spans="2:21">
      <c r="B16" s="56"/>
      <c r="C16" s="121"/>
      <c r="D16" s="121"/>
      <c r="F16" s="7"/>
      <c r="J16" s="86"/>
      <c r="U16" s="111"/>
    </row>
    <row r="17" spans="2:21">
      <c r="B17" s="56"/>
      <c r="C17" s="121" t="s">
        <v>1834</v>
      </c>
      <c r="D17" s="121"/>
      <c r="F17" s="122" t="s">
        <v>2599</v>
      </c>
      <c r="G17" s="123"/>
      <c r="H17" t="s">
        <v>1832</v>
      </c>
      <c r="J17" s="122"/>
      <c r="L17" t="s">
        <v>1833</v>
      </c>
      <c r="U17" s="111"/>
    </row>
    <row r="18" spans="2:21" ht="18.75" customHeight="1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4.950000000000003" customHeight="1">
      <c r="B19" s="56"/>
      <c r="C19" s="366"/>
      <c r="D19" s="367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4"/>
      <c r="T19" s="375"/>
      <c r="U19" s="111"/>
    </row>
    <row r="20" spans="2:21" ht="12.75" customHeight="1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>
      <c r="B21" s="56"/>
      <c r="C21" s="121" t="s">
        <v>1836</v>
      </c>
      <c r="D21" s="121"/>
      <c r="U21" s="111"/>
    </row>
    <row r="22" spans="2:21">
      <c r="B22" s="56"/>
      <c r="C22" s="121" t="s">
        <v>1837</v>
      </c>
      <c r="D22" s="121"/>
      <c r="F22" s="122" t="s">
        <v>2599</v>
      </c>
      <c r="H22" t="s">
        <v>1832</v>
      </c>
      <c r="J22" s="122"/>
      <c r="L22" t="s">
        <v>1833</v>
      </c>
      <c r="U22" s="111"/>
    </row>
    <row r="23" spans="2:21" ht="18.75" customHeight="1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4.950000000000003" customHeight="1">
      <c r="B24" s="56"/>
      <c r="C24" s="366"/>
      <c r="D24" s="367"/>
      <c r="E24" s="367"/>
      <c r="F24" s="367"/>
      <c r="G24" s="367"/>
      <c r="H24" s="367"/>
      <c r="I24" s="367"/>
      <c r="J24" s="367"/>
      <c r="K24" s="367"/>
      <c r="L24" s="367"/>
      <c r="M24" s="367"/>
      <c r="N24" s="367"/>
      <c r="O24" s="367"/>
      <c r="P24" s="367"/>
      <c r="Q24" s="367"/>
      <c r="R24" s="367"/>
      <c r="S24" s="367"/>
      <c r="T24" s="368"/>
      <c r="U24" s="111"/>
    </row>
    <row r="25" spans="2:21" ht="12.75" hidden="1" customHeight="1">
      <c r="B25" s="56"/>
      <c r="C25" s="127"/>
      <c r="D25" s="127"/>
      <c r="U25" s="111"/>
    </row>
    <row r="26" spans="2:21" ht="13.5" hidden="1" customHeight="1">
      <c r="B26" s="56"/>
      <c r="C26" s="121" t="s">
        <v>1838</v>
      </c>
      <c r="D26" s="121"/>
      <c r="U26" s="111"/>
    </row>
    <row r="27" spans="2:21" hidden="1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4.950000000000003" hidden="1" customHeight="1">
      <c r="B29" s="56"/>
      <c r="C29" s="366"/>
      <c r="D29" s="367"/>
      <c r="E29" s="367"/>
      <c r="F29" s="367"/>
      <c r="G29" s="367"/>
      <c r="H29" s="367"/>
      <c r="I29" s="367"/>
      <c r="J29" s="367"/>
      <c r="K29" s="367"/>
      <c r="L29" s="367"/>
      <c r="M29" s="367"/>
      <c r="N29" s="367"/>
      <c r="O29" s="367"/>
      <c r="P29" s="367"/>
      <c r="Q29" s="367"/>
      <c r="R29" s="367"/>
      <c r="S29" s="367"/>
      <c r="T29" s="368"/>
      <c r="U29" s="111"/>
    </row>
    <row r="30" spans="2:21" ht="12.75" customHeight="1" thickBot="1">
      <c r="B30" s="56"/>
      <c r="C30" s="127"/>
      <c r="D30" s="127"/>
      <c r="P30" s="128"/>
      <c r="U30" s="111"/>
    </row>
    <row r="31" spans="2:21" s="133" customFormat="1" ht="21.75" customHeight="1">
      <c r="B31" s="129" t="s">
        <v>1840</v>
      </c>
      <c r="C31" s="130"/>
      <c r="D31" s="130"/>
      <c r="E31" s="130"/>
      <c r="F31" s="130"/>
      <c r="G31" s="130"/>
      <c r="H31" s="131">
        <v>0.5</v>
      </c>
      <c r="I31" s="130"/>
      <c r="J31" s="132" t="s">
        <v>1841</v>
      </c>
      <c r="K31" s="132"/>
      <c r="L31" s="131">
        <v>0.51388888888888884</v>
      </c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>
      <c r="B33" s="135"/>
      <c r="U33" s="111"/>
    </row>
    <row r="34" spans="2:21">
      <c r="B34" s="56"/>
      <c r="C34" s="121" t="s">
        <v>1842</v>
      </c>
      <c r="D34" s="121"/>
      <c r="F34" s="122" t="s">
        <v>2599</v>
      </c>
      <c r="H34" t="s">
        <v>1832</v>
      </c>
      <c r="J34" s="122"/>
      <c r="L34" t="s">
        <v>1833</v>
      </c>
      <c r="U34" s="111"/>
    </row>
    <row r="35" spans="2:21" ht="17.25" customHeight="1">
      <c r="B35" s="56"/>
      <c r="C35" s="121" t="s">
        <v>1843</v>
      </c>
      <c r="D35" s="121"/>
      <c r="F35" s="376">
        <v>2</v>
      </c>
      <c r="G35" s="376"/>
      <c r="H35" s="121"/>
      <c r="U35" s="111"/>
    </row>
    <row r="36" spans="2:21" ht="17.25" customHeight="1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4.950000000000003" customHeight="1">
      <c r="B37" s="56"/>
      <c r="C37" s="366" t="s">
        <v>2615</v>
      </c>
      <c r="D37" s="367"/>
      <c r="E37" s="367"/>
      <c r="F37" s="367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8"/>
      <c r="U37" s="111"/>
    </row>
    <row r="38" spans="2:21">
      <c r="B38" s="56"/>
      <c r="C38" s="127"/>
      <c r="D38" s="127"/>
      <c r="U38" s="111"/>
    </row>
    <row r="39" spans="2:21" ht="6.75" customHeight="1">
      <c r="B39" s="56"/>
      <c r="C39" s="127"/>
      <c r="D39" s="127"/>
      <c r="U39" s="111"/>
    </row>
    <row r="40" spans="2:21">
      <c r="B40" s="56"/>
      <c r="C40" s="121" t="s">
        <v>1845</v>
      </c>
      <c r="D40" s="121"/>
      <c r="F40" s="122" t="s">
        <v>2599</v>
      </c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>
      <c r="B41" s="56"/>
      <c r="C41" s="137" t="s">
        <v>1849</v>
      </c>
      <c r="D41" s="137"/>
      <c r="F41" s="377"/>
      <c r="G41" s="377"/>
      <c r="H41" s="377"/>
      <c r="U41" s="111"/>
    </row>
    <row r="42" spans="2:21" ht="11.25" customHeight="1" thickBot="1">
      <c r="B42" s="56"/>
      <c r="U42" s="111"/>
    </row>
    <row r="43" spans="2:21" s="133" customFormat="1" ht="21.75" customHeight="1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>
        <v>0.5625</v>
      </c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>
      <c r="B45" s="135"/>
      <c r="U45" s="111"/>
    </row>
    <row r="46" spans="2:21" ht="13.8">
      <c r="B46" s="138" t="s">
        <v>1850</v>
      </c>
      <c r="U46" s="111"/>
    </row>
    <row r="47" spans="2:21" ht="9" customHeight="1">
      <c r="B47" s="56"/>
      <c r="U47" s="111"/>
    </row>
    <row r="48" spans="2:21" ht="80.25" customHeight="1">
      <c r="B48" s="56"/>
      <c r="C48" s="366"/>
      <c r="D48" s="367"/>
      <c r="E48" s="367"/>
      <c r="F48" s="367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8"/>
      <c r="U48" s="111"/>
    </row>
    <row r="49" spans="2:21" ht="11.25" customHeight="1" thickBot="1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3.8" thickBot="1"/>
    <row r="51" spans="2:21" s="2" customFormat="1" ht="30" customHeight="1" thickBot="1">
      <c r="B51" s="115"/>
      <c r="C51" s="372" t="s">
        <v>1851</v>
      </c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O51" s="372"/>
      <c r="P51" s="372"/>
      <c r="Q51" s="372"/>
      <c r="R51" s="372"/>
      <c r="S51" s="372"/>
      <c r="T51" s="372"/>
      <c r="U51" s="116"/>
    </row>
    <row r="52" spans="2:21" ht="9" customHeight="1">
      <c r="B52" s="56"/>
      <c r="U52" s="111"/>
    </row>
    <row r="53" spans="2:21" ht="13.8">
      <c r="B53" s="138"/>
      <c r="C53" s="89" t="s">
        <v>1852</v>
      </c>
      <c r="D53" s="89"/>
      <c r="U53" s="111"/>
    </row>
    <row r="54" spans="2:21" ht="9" customHeight="1">
      <c r="B54" s="56"/>
      <c r="U54" s="111"/>
    </row>
    <row r="55" spans="2:21" ht="36.75" customHeight="1">
      <c r="B55" s="56"/>
      <c r="C55" s="366"/>
      <c r="D55" s="367"/>
      <c r="E55" s="367"/>
      <c r="F55" s="367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8"/>
      <c r="U55" s="111"/>
    </row>
    <row r="56" spans="2:21" ht="12.75" customHeight="1">
      <c r="B56" s="56"/>
      <c r="C56" s="127"/>
      <c r="D56" s="127"/>
      <c r="U56" s="111"/>
    </row>
    <row r="57" spans="2:21" ht="12.75" customHeight="1">
      <c r="B57" s="138"/>
      <c r="C57" s="89" t="s">
        <v>1853</v>
      </c>
      <c r="D57" s="89"/>
      <c r="U57" s="111"/>
    </row>
    <row r="58" spans="2:21" ht="6.75" customHeight="1">
      <c r="B58" s="56"/>
      <c r="U58" s="111"/>
    </row>
    <row r="59" spans="2:21" ht="36.75" customHeight="1">
      <c r="B59" s="56"/>
      <c r="C59" s="366"/>
      <c r="D59" s="367"/>
      <c r="E59" s="367"/>
      <c r="F59" s="367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8"/>
      <c r="U59" s="111"/>
    </row>
    <row r="60" spans="2:21" ht="12.75" customHeight="1">
      <c r="B60" s="56"/>
      <c r="C60" s="127"/>
      <c r="D60" s="127"/>
      <c r="U60" s="111"/>
    </row>
    <row r="61" spans="2:21" ht="12.75" customHeight="1">
      <c r="B61" s="138"/>
      <c r="C61" s="89" t="s">
        <v>1854</v>
      </c>
      <c r="D61" s="89"/>
      <c r="U61" s="111"/>
    </row>
    <row r="62" spans="2:21" ht="6.75" customHeight="1">
      <c r="B62" s="56"/>
      <c r="U62" s="111"/>
    </row>
    <row r="63" spans="2:21" ht="36.75" customHeight="1">
      <c r="B63" s="56"/>
      <c r="C63" s="366"/>
      <c r="D63" s="367"/>
      <c r="E63" s="367"/>
      <c r="F63" s="367"/>
      <c r="G63" s="367"/>
      <c r="H63" s="367"/>
      <c r="I63" s="36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8"/>
      <c r="U63" s="111"/>
    </row>
    <row r="64" spans="2:21" ht="11.25" customHeight="1">
      <c r="B64" s="56"/>
      <c r="C64" s="127"/>
      <c r="D64" s="127"/>
      <c r="U64" s="111"/>
    </row>
    <row r="65" spans="1:21" ht="13.5" customHeight="1">
      <c r="B65" s="138"/>
      <c r="C65" s="89" t="s">
        <v>1855</v>
      </c>
      <c r="D65" s="89"/>
      <c r="U65" s="111"/>
    </row>
    <row r="66" spans="1:21" ht="6.75" customHeight="1">
      <c r="B66" s="56"/>
      <c r="U66" s="111"/>
    </row>
    <row r="67" spans="1:21" ht="36.75" customHeight="1">
      <c r="B67" s="56"/>
      <c r="C67" s="366"/>
      <c r="D67" s="367"/>
      <c r="E67" s="367"/>
      <c r="F67" s="367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8"/>
      <c r="U67" s="111"/>
    </row>
    <row r="68" spans="1:21" ht="11.25" customHeight="1">
      <c r="B68" s="56"/>
      <c r="C68" s="127"/>
      <c r="D68" s="127"/>
      <c r="U68" s="111"/>
    </row>
    <row r="69" spans="1:21" ht="13.8">
      <c r="B69" s="138"/>
      <c r="C69" s="89" t="s">
        <v>1856</v>
      </c>
      <c r="D69" s="89"/>
      <c r="U69" s="111"/>
    </row>
    <row r="70" spans="1:21" ht="6" customHeight="1">
      <c r="B70" s="56"/>
      <c r="U70" s="111"/>
    </row>
    <row r="71" spans="1:21" ht="36.75" customHeight="1">
      <c r="B71" s="56"/>
      <c r="C71" s="366"/>
      <c r="D71" s="367"/>
      <c r="E71" s="367"/>
      <c r="F71" s="367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8"/>
      <c r="U71" s="111"/>
    </row>
    <row r="72" spans="1:21" ht="12.75" customHeight="1">
      <c r="B72" s="56"/>
      <c r="C72" s="127"/>
      <c r="D72" s="127"/>
      <c r="U72" s="111"/>
    </row>
    <row r="73" spans="1:21" ht="12.75" customHeight="1">
      <c r="B73" s="138"/>
      <c r="C73" s="89" t="s">
        <v>1857</v>
      </c>
      <c r="D73" s="89"/>
      <c r="U73" s="111"/>
    </row>
    <row r="74" spans="1:21" ht="6.75" customHeight="1">
      <c r="B74" s="56"/>
      <c r="U74" s="111"/>
    </row>
    <row r="75" spans="1:21" ht="36.75" customHeight="1">
      <c r="B75" s="56"/>
      <c r="C75" s="366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8"/>
      <c r="U75" s="111"/>
    </row>
    <row r="76" spans="1:21" ht="11.25" customHeight="1" thickBot="1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>
      <c r="B78" s="135"/>
      <c r="U78" s="111"/>
    </row>
    <row r="79" spans="1:21" s="53" customFormat="1" ht="18" customHeight="1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>
      <c r="B80" s="56"/>
      <c r="P80" s="53"/>
      <c r="Q80" s="53"/>
      <c r="U80" s="111"/>
    </row>
    <row r="81" spans="2:21" ht="6" customHeight="1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4.950000000000003" customHeight="1">
      <c r="B82" s="56"/>
      <c r="C82" s="369"/>
      <c r="D82" s="370"/>
      <c r="E82" s="370"/>
      <c r="F82" s="370"/>
      <c r="G82" s="370"/>
      <c r="H82" s="370"/>
      <c r="I82" s="37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1"/>
      <c r="U82" s="111"/>
    </row>
    <row r="83" spans="2:21" ht="11.25" customHeight="1" thickBot="1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/>
    <row r="85" spans="2:21" ht="17.25" customHeight="1"/>
    <row r="86" spans="2:21">
      <c r="B86" s="89" t="s">
        <v>1862</v>
      </c>
      <c r="D86" s="364" t="s">
        <v>2611</v>
      </c>
      <c r="E86" s="365"/>
      <c r="F86" s="365"/>
      <c r="G86" s="365"/>
      <c r="H86" s="365"/>
      <c r="I86" s="365"/>
      <c r="J86" s="365"/>
      <c r="K86" s="365"/>
      <c r="L86" s="365"/>
      <c r="M86" s="365"/>
      <c r="P86" s="365"/>
      <c r="Q86" s="365"/>
      <c r="R86" s="365"/>
      <c r="S86" s="365"/>
      <c r="T86" s="365"/>
      <c r="U86" s="365"/>
    </row>
    <row r="87" spans="2:21">
      <c r="C87" s="143"/>
      <c r="D87" s="53" t="s">
        <v>1860</v>
      </c>
      <c r="P87" s="144" t="s">
        <v>1861</v>
      </c>
    </row>
  </sheetData>
  <sheetProtection algorithmName="SHA-512" hashValue="5BCrlOEL7qg9rqIP2J5eDisrRg0GB+jQM2coa8ROo8+u43ewAJIaK5rNu19S69nBXpmfme6r4gbR59Ll50xEEw==" saltValue="5Hu9aqaaVLxsO+S1z8tmKw==" spinCount="100000" sheet="1" selectLockedCells="1"/>
  <mergeCells count="25"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AD200"/>
  <sheetViews>
    <sheetView showGridLines="0" view="pageBreakPreview" zoomScaleNormal="100" zoomScaleSheetLayoutView="100" workbookViewId="0">
      <pane ySplit="2" topLeftCell="A3" activePane="bottomLeft" state="frozen"/>
      <selection activeCell="C48" sqref="C48:T48"/>
      <selection pane="bottomLeft" activeCell="C48" sqref="C48:T48"/>
    </sheetView>
  </sheetViews>
  <sheetFormatPr baseColWidth="10" defaultRowHeight="13.2"/>
  <cols>
    <col min="1" max="1" width="4.44140625" customWidth="1"/>
    <col min="2" max="2" width="20.6640625" customWidth="1"/>
    <col min="3" max="3" width="8.6640625" customWidth="1"/>
    <col min="4" max="4" width="7.4414062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4414062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6">
        <f>Schlüssel!$AG$1</f>
        <v>45717</v>
      </c>
      <c r="N1" s="406"/>
      <c r="O1" s="406"/>
      <c r="AD1" s="76" t="s">
        <v>1814</v>
      </c>
    </row>
    <row r="2" spans="1:30" ht="17.25" customHeight="1" thickBot="1">
      <c r="A2" s="53"/>
      <c r="B2" s="54">
        <v>1</v>
      </c>
      <c r="C2" s="35" t="s">
        <v>1787</v>
      </c>
      <c r="D2" s="35"/>
      <c r="E2" s="72" t="str">
        <f>Schlüssel!$W$2</f>
        <v>Unterföhring Dreambowl Palace</v>
      </c>
      <c r="G2" s="66"/>
      <c r="H2" s="66"/>
      <c r="I2" s="66"/>
      <c r="J2" s="66"/>
      <c r="L2" s="66"/>
      <c r="M2" s="34" t="s">
        <v>1785</v>
      </c>
      <c r="N2" s="38">
        <v>2</v>
      </c>
      <c r="O2" s="33"/>
      <c r="AD2" s="77">
        <v>9</v>
      </c>
    </row>
    <row r="3" spans="1:30" ht="15.75" customHeight="1" thickBot="1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3.8" thickBot="1">
      <c r="A4" s="6"/>
      <c r="B4" s="7"/>
      <c r="C4" s="43"/>
      <c r="D4" s="43"/>
      <c r="E4" s="47" t="s">
        <v>10</v>
      </c>
      <c r="F4" s="7">
        <f>VLOOKUP(B2,Schlüssel!$A$5:$DZ$12,33)</f>
        <v>14</v>
      </c>
      <c r="G4" s="51" t="s">
        <v>10</v>
      </c>
      <c r="H4" s="7">
        <f>VLOOKUP(B2,Schlüssel!$A$5:$DZ$12,34)</f>
        <v>12</v>
      </c>
      <c r="I4" s="51" t="s">
        <v>10</v>
      </c>
      <c r="J4" s="7">
        <f>VLOOKUP(B2,Schlüssel!$A$5:$DZ$12,35)</f>
        <v>11</v>
      </c>
      <c r="K4" s="51" t="s">
        <v>10</v>
      </c>
      <c r="L4" s="7">
        <f>VLOOKUP(B2,Schlüssel!$A$5:$DZ$12,36)</f>
        <v>13</v>
      </c>
      <c r="M4" s="51" t="s">
        <v>10</v>
      </c>
      <c r="N4" s="57">
        <f>VLOOKUP(B2,Schlüssel!$A$5:$DZ$12,37)</f>
        <v>9</v>
      </c>
    </row>
    <row r="5" spans="1:30" ht="20.25" customHeight="1">
      <c r="B5" s="44" t="s">
        <v>1</v>
      </c>
      <c r="C5" s="45"/>
      <c r="D5" s="45"/>
      <c r="E5" s="407" t="s">
        <v>1793</v>
      </c>
      <c r="F5" s="408"/>
      <c r="G5" s="407" t="s">
        <v>1794</v>
      </c>
      <c r="H5" s="408"/>
      <c r="I5" s="407" t="s">
        <v>1795</v>
      </c>
      <c r="J5" s="408"/>
      <c r="K5" s="407" t="s">
        <v>1796</v>
      </c>
      <c r="L5" s="408"/>
      <c r="M5" s="407" t="s">
        <v>1797</v>
      </c>
      <c r="N5" s="408"/>
      <c r="O5" s="409" t="s">
        <v>1792</v>
      </c>
      <c r="P5" s="410"/>
    </row>
    <row r="6" spans="1:30" ht="15" customHeight="1" thickBot="1">
      <c r="B6" s="9" t="s">
        <v>1798</v>
      </c>
      <c r="C6" s="48" t="s">
        <v>1799</v>
      </c>
      <c r="D6" s="48" t="s">
        <v>2264</v>
      </c>
      <c r="E6" s="49" t="s">
        <v>1800</v>
      </c>
      <c r="F6" s="49" t="s">
        <v>1801</v>
      </c>
      <c r="G6" s="49" t="s">
        <v>1800</v>
      </c>
      <c r="H6" s="49" t="s">
        <v>1801</v>
      </c>
      <c r="I6" s="49" t="s">
        <v>1800</v>
      </c>
      <c r="J6" s="49" t="s">
        <v>1801</v>
      </c>
      <c r="K6" s="49" t="s">
        <v>1800</v>
      </c>
      <c r="L6" s="49" t="s">
        <v>1801</v>
      </c>
      <c r="M6" s="49" t="s">
        <v>1800</v>
      </c>
      <c r="N6" s="49" t="s">
        <v>1801</v>
      </c>
      <c r="O6" s="49" t="s">
        <v>1800</v>
      </c>
      <c r="P6" s="10" t="s">
        <v>1801</v>
      </c>
    </row>
    <row r="7" spans="1:30" ht="16.95" customHeight="1">
      <c r="A7" s="403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14"/>
      <c r="F7" s="400"/>
      <c r="G7" s="14"/>
      <c r="H7" s="400"/>
      <c r="I7" s="14"/>
      <c r="J7" s="400"/>
      <c r="K7" s="14"/>
      <c r="L7" s="400"/>
      <c r="M7" s="14"/>
      <c r="N7" s="400"/>
      <c r="O7" s="14"/>
      <c r="P7" s="400"/>
    </row>
    <row r="8" spans="1:30" ht="16.95" customHeight="1">
      <c r="A8" s="404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15"/>
      <c r="F8" s="401"/>
      <c r="G8" s="15"/>
      <c r="H8" s="401"/>
      <c r="I8" s="15"/>
      <c r="J8" s="401"/>
      <c r="K8" s="15"/>
      <c r="L8" s="401"/>
      <c r="M8" s="15"/>
      <c r="N8" s="401"/>
      <c r="O8" s="15"/>
      <c r="P8" s="401"/>
    </row>
    <row r="9" spans="1:30" ht="16.95" customHeight="1" thickBot="1">
      <c r="A9" s="405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9"/>
      <c r="F9" s="402"/>
      <c r="G9" s="9"/>
      <c r="H9" s="402"/>
      <c r="I9" s="9"/>
      <c r="J9" s="402"/>
      <c r="K9" s="9"/>
      <c r="L9" s="402"/>
      <c r="M9" s="9"/>
      <c r="N9" s="402"/>
      <c r="O9" s="9"/>
      <c r="P9" s="402"/>
    </row>
    <row r="10" spans="1:30" ht="16.95" customHeight="1">
      <c r="A10" s="403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14"/>
      <c r="F10" s="400"/>
      <c r="G10" s="14"/>
      <c r="H10" s="400"/>
      <c r="I10" s="14"/>
      <c r="J10" s="400"/>
      <c r="K10" s="14"/>
      <c r="L10" s="400"/>
      <c r="M10" s="14"/>
      <c r="N10" s="400"/>
      <c r="O10" s="14"/>
      <c r="P10" s="400"/>
    </row>
    <row r="11" spans="1:30" ht="16.95" customHeight="1">
      <c r="A11" s="404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15"/>
      <c r="F11" s="401"/>
      <c r="G11" s="15"/>
      <c r="H11" s="401"/>
      <c r="I11" s="15"/>
      <c r="J11" s="401"/>
      <c r="K11" s="15"/>
      <c r="L11" s="401"/>
      <c r="M11" s="15"/>
      <c r="N11" s="401"/>
      <c r="O11" s="15"/>
      <c r="P11" s="401"/>
    </row>
    <row r="12" spans="1:30" ht="16.95" customHeight="1" thickBot="1">
      <c r="A12" s="405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9"/>
      <c r="F12" s="402"/>
      <c r="G12" s="9"/>
      <c r="H12" s="402"/>
      <c r="I12" s="9"/>
      <c r="J12" s="402"/>
      <c r="K12" s="9"/>
      <c r="L12" s="402"/>
      <c r="M12" s="9"/>
      <c r="N12" s="402"/>
      <c r="O12" s="9"/>
      <c r="P12" s="402"/>
    </row>
    <row r="13" spans="1:30" ht="16.95" customHeight="1">
      <c r="A13" s="403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14"/>
      <c r="F13" s="400"/>
      <c r="G13" s="14"/>
      <c r="H13" s="400"/>
      <c r="I13" s="14"/>
      <c r="J13" s="400"/>
      <c r="K13" s="14"/>
      <c r="L13" s="400"/>
      <c r="M13" s="14"/>
      <c r="N13" s="400"/>
      <c r="O13" s="14"/>
      <c r="P13" s="400"/>
    </row>
    <row r="14" spans="1:30" ht="16.95" customHeight="1">
      <c r="A14" s="404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15"/>
      <c r="F14" s="401"/>
      <c r="G14" s="15"/>
      <c r="H14" s="401"/>
      <c r="I14" s="15"/>
      <c r="J14" s="401"/>
      <c r="K14" s="15"/>
      <c r="L14" s="401"/>
      <c r="M14" s="15"/>
      <c r="N14" s="401"/>
      <c r="O14" s="15"/>
      <c r="P14" s="401"/>
    </row>
    <row r="15" spans="1:30" ht="16.95" customHeight="1" thickBot="1">
      <c r="A15" s="405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9"/>
      <c r="F15" s="402"/>
      <c r="G15" s="9"/>
      <c r="H15" s="402"/>
      <c r="I15" s="9"/>
      <c r="J15" s="402"/>
      <c r="K15" s="9"/>
      <c r="L15" s="402"/>
      <c r="M15" s="9"/>
      <c r="N15" s="402"/>
      <c r="O15" s="9"/>
      <c r="P15" s="402"/>
    </row>
    <row r="16" spans="1:30" ht="27.75" customHeight="1" thickBot="1">
      <c r="B16" s="11"/>
      <c r="C16" s="25"/>
      <c r="D16" s="204"/>
      <c r="E16" s="16"/>
      <c r="F16" s="12"/>
      <c r="G16" s="16"/>
      <c r="H16" s="12"/>
      <c r="I16" s="16"/>
      <c r="J16" s="12"/>
      <c r="K16" s="16"/>
      <c r="L16" s="12"/>
      <c r="M16" s="16"/>
      <c r="N16" s="12"/>
      <c r="O16" s="16"/>
      <c r="P16" s="12"/>
    </row>
    <row r="17" spans="1:30" ht="24" customHeight="1" thickBot="1">
      <c r="B17" s="8"/>
      <c r="C17" s="1"/>
      <c r="D17" s="1"/>
      <c r="E17" s="1"/>
      <c r="F17" s="23"/>
      <c r="G17" s="1"/>
      <c r="H17" s="23"/>
      <c r="I17" s="1"/>
      <c r="J17" s="23"/>
      <c r="K17" s="1"/>
      <c r="L17" s="23"/>
      <c r="M17" s="1"/>
      <c r="N17" s="23"/>
      <c r="O17" s="1"/>
      <c r="P17" s="23"/>
    </row>
    <row r="18" spans="1:30" ht="11.25" customHeight="1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>
      <c r="B19" s="13" t="s">
        <v>1790</v>
      </c>
      <c r="C19" s="5" t="s">
        <v>1791</v>
      </c>
      <c r="D19" s="42"/>
      <c r="E19" s="398">
        <f>VLOOKUP(B2,Schlüssel!$A$5:$DZ$12,23)</f>
        <v>4</v>
      </c>
      <c r="F19" s="398"/>
      <c r="G19" s="398">
        <f>VLOOKUP(B2,Schlüssel!$A$5:$DZ$12,24)</f>
        <v>6</v>
      </c>
      <c r="H19" s="398"/>
      <c r="I19" s="398">
        <f>VLOOKUP(B2,Schlüssel!$A$5:$DZ$12,25)</f>
        <v>3</v>
      </c>
      <c r="J19" s="398"/>
      <c r="K19" s="398">
        <f>VLOOKUP(B2,Schlüssel!$A$5:$DZ$12,26)</f>
        <v>8</v>
      </c>
      <c r="L19" s="398"/>
      <c r="M19" s="398">
        <f>VLOOKUP(B2,Schlüssel!$A$5:$DZ$12,27)</f>
        <v>5</v>
      </c>
      <c r="N19" s="398"/>
      <c r="O19" s="399"/>
      <c r="P19" s="399"/>
    </row>
    <row r="20" spans="1:30" ht="28.5" customHeight="1">
      <c r="B20" s="4"/>
      <c r="C20" s="1"/>
      <c r="D20" s="1"/>
      <c r="E20" s="395" t="str">
        <f>VLOOKUP(E19,Schlüssel!$A$5:$K$12,2)</f>
        <v>Highroller Rosenheim 3</v>
      </c>
      <c r="F20" s="396"/>
      <c r="G20" s="395" t="str">
        <f>VLOOKUP(G19,Schlüssel!$A$5:$K$12,2)</f>
        <v>Bowling Jugend Bayern 1</v>
      </c>
      <c r="H20" s="396"/>
      <c r="I20" s="395" t="str">
        <f>VLOOKUP(I19,Schlüssel!$A$5:$K$12,2)</f>
        <v>Highroller Rosenheim 2</v>
      </c>
      <c r="J20" s="396"/>
      <c r="K20" s="395" t="str">
        <f>VLOOKUP(K19,Schlüssel!$A$5:$K$12,2)</f>
        <v>EMAX 1</v>
      </c>
      <c r="L20" s="396"/>
      <c r="M20" s="395" t="str">
        <f>VLOOKUP(M19,Schlüssel!$A$5:$K$12,2)</f>
        <v>Berchtesgaden 1</v>
      </c>
      <c r="N20" s="396"/>
      <c r="O20" s="397"/>
      <c r="P20" s="397"/>
    </row>
    <row r="21" spans="1:30" ht="12" customHeight="1">
      <c r="B21" s="4"/>
      <c r="C21" s="1"/>
      <c r="D21" s="1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53"/>
      <c r="P21" s="353"/>
    </row>
    <row r="22" spans="1:30" ht="16.2" customHeight="1">
      <c r="B22" s="39" t="s">
        <v>0</v>
      </c>
      <c r="C22" s="40"/>
      <c r="D22" s="40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3"/>
      <c r="P22" s="393"/>
    </row>
    <row r="23" spans="1:30" ht="16.2" customHeight="1">
      <c r="B23" s="39" t="s">
        <v>2</v>
      </c>
      <c r="C23" s="40"/>
      <c r="D23" s="40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3"/>
      <c r="P23" s="393"/>
    </row>
    <row r="24" spans="1:30" ht="16.2" customHeight="1">
      <c r="B24" s="39" t="s">
        <v>3</v>
      </c>
      <c r="C24" s="40"/>
      <c r="D24" s="40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3"/>
      <c r="P24" s="393"/>
    </row>
    <row r="25" spans="1:30" ht="16.2" customHeight="1">
      <c r="B25" s="41" t="s">
        <v>1792</v>
      </c>
      <c r="C25" s="42"/>
      <c r="D25" s="42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41"/>
      <c r="P25" s="341"/>
    </row>
    <row r="26" spans="1:30" ht="21" customHeight="1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6">
        <f>Schlüssel!$AG$1</f>
        <v>45717</v>
      </c>
      <c r="N26" s="406"/>
      <c r="O26" s="406"/>
      <c r="AD26" s="76"/>
    </row>
    <row r="27" spans="1:30" ht="17.25" customHeight="1" thickBot="1">
      <c r="A27" s="53"/>
      <c r="B27" s="54">
        <f>+B2+1</f>
        <v>2</v>
      </c>
      <c r="C27" s="35" t="s">
        <v>1787</v>
      </c>
      <c r="D27" s="35"/>
      <c r="E27" s="72" t="str">
        <f>Schlüssel!$W$2</f>
        <v>Unterföhring Dreambowl Palace</v>
      </c>
      <c r="G27" s="66"/>
      <c r="H27" s="66"/>
      <c r="I27" s="66"/>
      <c r="J27" s="66"/>
      <c r="L27" s="66"/>
      <c r="M27" s="34" t="s">
        <v>1785</v>
      </c>
      <c r="N27" s="38">
        <v>2</v>
      </c>
      <c r="O27" s="33"/>
      <c r="AD27" s="77"/>
    </row>
    <row r="28" spans="1:30" ht="15.75" customHeight="1" thickBot="1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3.8" thickBot="1">
      <c r="A29" s="6"/>
      <c r="B29" s="7"/>
      <c r="C29" s="43"/>
      <c r="D29" s="43"/>
      <c r="E29" s="47" t="s">
        <v>10</v>
      </c>
      <c r="F29" s="7">
        <f>VLOOKUP(B27,Schlüssel!$A$5:$DZ$12,33)</f>
        <v>9</v>
      </c>
      <c r="G29" s="51" t="s">
        <v>10</v>
      </c>
      <c r="H29" s="7">
        <f>VLOOKUP(B27,Schlüssel!$A$5:$DZ$12,34)</f>
        <v>14</v>
      </c>
      <c r="I29" s="51" t="s">
        <v>10</v>
      </c>
      <c r="J29" s="7">
        <f>VLOOKUP(B27,Schlüssel!$A$5:$DZ$12,35)</f>
        <v>9</v>
      </c>
      <c r="K29" s="51" t="s">
        <v>10</v>
      </c>
      <c r="L29" s="7">
        <f>VLOOKUP(B27,Schlüssel!$A$5:$DZ$12,36)</f>
        <v>11</v>
      </c>
      <c r="M29" s="51" t="s">
        <v>10</v>
      </c>
      <c r="N29" s="57">
        <f>VLOOKUP(B27,Schlüssel!$A$5:$DZ$12,37)</f>
        <v>14</v>
      </c>
    </row>
    <row r="30" spans="1:30" ht="20.25" customHeight="1">
      <c r="B30" s="44" t="s">
        <v>1</v>
      </c>
      <c r="C30" s="45"/>
      <c r="D30" s="45"/>
      <c r="E30" s="407" t="s">
        <v>1793</v>
      </c>
      <c r="F30" s="408"/>
      <c r="G30" s="407" t="s">
        <v>1794</v>
      </c>
      <c r="H30" s="408"/>
      <c r="I30" s="407" t="s">
        <v>1795</v>
      </c>
      <c r="J30" s="408"/>
      <c r="K30" s="407" t="s">
        <v>1796</v>
      </c>
      <c r="L30" s="408"/>
      <c r="M30" s="407" t="s">
        <v>1797</v>
      </c>
      <c r="N30" s="408"/>
      <c r="O30" s="409" t="s">
        <v>1792</v>
      </c>
      <c r="P30" s="410"/>
    </row>
    <row r="31" spans="1:30" ht="15" customHeight="1" thickBot="1">
      <c r="B31" s="9" t="s">
        <v>1798</v>
      </c>
      <c r="C31" s="48" t="s">
        <v>1799</v>
      </c>
      <c r="D31" s="48" t="s">
        <v>2264</v>
      </c>
      <c r="E31" s="49" t="s">
        <v>1800</v>
      </c>
      <c r="F31" s="49" t="s">
        <v>1801</v>
      </c>
      <c r="G31" s="49" t="s">
        <v>1800</v>
      </c>
      <c r="H31" s="49" t="s">
        <v>1801</v>
      </c>
      <c r="I31" s="49" t="s">
        <v>1800</v>
      </c>
      <c r="J31" s="49" t="s">
        <v>1801</v>
      </c>
      <c r="K31" s="49" t="s">
        <v>1800</v>
      </c>
      <c r="L31" s="49" t="s">
        <v>1801</v>
      </c>
      <c r="M31" s="49" t="s">
        <v>1800</v>
      </c>
      <c r="N31" s="49" t="s">
        <v>1801</v>
      </c>
      <c r="O31" s="49" t="s">
        <v>1800</v>
      </c>
      <c r="P31" s="10" t="s">
        <v>1801</v>
      </c>
    </row>
    <row r="32" spans="1:30" ht="16.95" customHeight="1">
      <c r="A32" s="403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14"/>
      <c r="F32" s="400"/>
      <c r="G32" s="14"/>
      <c r="H32" s="400"/>
      <c r="I32" s="14"/>
      <c r="J32" s="400"/>
      <c r="K32" s="14"/>
      <c r="L32" s="400"/>
      <c r="M32" s="14"/>
      <c r="N32" s="400"/>
      <c r="O32" s="14"/>
      <c r="P32" s="400"/>
    </row>
    <row r="33" spans="1:16" ht="16.95" customHeight="1">
      <c r="A33" s="404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15"/>
      <c r="F33" s="401"/>
      <c r="G33" s="15"/>
      <c r="H33" s="401"/>
      <c r="I33" s="15"/>
      <c r="J33" s="401"/>
      <c r="K33" s="15"/>
      <c r="L33" s="401"/>
      <c r="M33" s="15"/>
      <c r="N33" s="401"/>
      <c r="O33" s="15"/>
      <c r="P33" s="401"/>
    </row>
    <row r="34" spans="1:16" ht="16.95" customHeight="1" thickBot="1">
      <c r="A34" s="405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9"/>
      <c r="F34" s="402"/>
      <c r="G34" s="9"/>
      <c r="H34" s="402"/>
      <c r="I34" s="9"/>
      <c r="J34" s="402"/>
      <c r="K34" s="9"/>
      <c r="L34" s="402"/>
      <c r="M34" s="9"/>
      <c r="N34" s="402"/>
      <c r="O34" s="9"/>
      <c r="P34" s="402"/>
    </row>
    <row r="35" spans="1:16" ht="16.95" customHeight="1">
      <c r="A35" s="403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14"/>
      <c r="F35" s="400"/>
      <c r="G35" s="14"/>
      <c r="H35" s="400"/>
      <c r="I35" s="14"/>
      <c r="J35" s="400"/>
      <c r="K35" s="14"/>
      <c r="L35" s="400"/>
      <c r="M35" s="14"/>
      <c r="N35" s="400"/>
      <c r="O35" s="14"/>
      <c r="P35" s="400"/>
    </row>
    <row r="36" spans="1:16" ht="16.95" customHeight="1">
      <c r="A36" s="404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15"/>
      <c r="F36" s="401"/>
      <c r="G36" s="15"/>
      <c r="H36" s="401"/>
      <c r="I36" s="15"/>
      <c r="J36" s="401"/>
      <c r="K36" s="15"/>
      <c r="L36" s="401"/>
      <c r="M36" s="15"/>
      <c r="N36" s="401"/>
      <c r="O36" s="15"/>
      <c r="P36" s="401"/>
    </row>
    <row r="37" spans="1:16" ht="16.95" customHeight="1" thickBot="1">
      <c r="A37" s="405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9"/>
      <c r="F37" s="402"/>
      <c r="G37" s="9"/>
      <c r="H37" s="402"/>
      <c r="I37" s="9"/>
      <c r="J37" s="402"/>
      <c r="K37" s="9"/>
      <c r="L37" s="402"/>
      <c r="M37" s="9"/>
      <c r="N37" s="402"/>
      <c r="O37" s="9"/>
      <c r="P37" s="402"/>
    </row>
    <row r="38" spans="1:16" ht="16.95" customHeight="1">
      <c r="A38" s="403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14"/>
      <c r="F38" s="400"/>
      <c r="G38" s="14"/>
      <c r="H38" s="400"/>
      <c r="I38" s="14"/>
      <c r="J38" s="400"/>
      <c r="K38" s="14"/>
      <c r="L38" s="400"/>
      <c r="M38" s="14"/>
      <c r="N38" s="400"/>
      <c r="O38" s="14"/>
      <c r="P38" s="400"/>
    </row>
    <row r="39" spans="1:16" ht="16.95" customHeight="1">
      <c r="A39" s="404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15"/>
      <c r="F39" s="401"/>
      <c r="G39" s="15"/>
      <c r="H39" s="401"/>
      <c r="I39" s="15"/>
      <c r="J39" s="401"/>
      <c r="K39" s="15"/>
      <c r="L39" s="401"/>
      <c r="M39" s="15"/>
      <c r="N39" s="401"/>
      <c r="O39" s="15"/>
      <c r="P39" s="401"/>
    </row>
    <row r="40" spans="1:16" ht="16.95" customHeight="1" thickBot="1">
      <c r="A40" s="405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9"/>
      <c r="F40" s="402"/>
      <c r="G40" s="9"/>
      <c r="H40" s="402"/>
      <c r="I40" s="9"/>
      <c r="J40" s="402"/>
      <c r="K40" s="9"/>
      <c r="L40" s="402"/>
      <c r="M40" s="9"/>
      <c r="N40" s="402"/>
      <c r="O40" s="9"/>
      <c r="P40" s="402"/>
    </row>
    <row r="41" spans="1:16" ht="27.75" customHeight="1" thickBot="1">
      <c r="B41" s="11"/>
      <c r="C41" s="25"/>
      <c r="D41" s="204"/>
      <c r="E41" s="16"/>
      <c r="F41" s="12"/>
      <c r="G41" s="16"/>
      <c r="H41" s="12"/>
      <c r="I41" s="16"/>
      <c r="J41" s="12"/>
      <c r="K41" s="16"/>
      <c r="L41" s="12"/>
      <c r="M41" s="16"/>
      <c r="N41" s="12"/>
      <c r="O41" s="16"/>
      <c r="P41" s="12"/>
    </row>
    <row r="42" spans="1:16" ht="24" customHeight="1" thickBot="1">
      <c r="B42" s="8"/>
      <c r="C42" s="1"/>
      <c r="D42" s="1"/>
      <c r="E42" s="1"/>
      <c r="F42" s="23"/>
      <c r="G42" s="1"/>
      <c r="H42" s="23"/>
      <c r="I42" s="1"/>
      <c r="J42" s="23"/>
      <c r="K42" s="1"/>
      <c r="L42" s="23"/>
      <c r="M42" s="1"/>
      <c r="N42" s="23"/>
      <c r="O42" s="1"/>
      <c r="P42" s="23"/>
    </row>
    <row r="43" spans="1:16" ht="11.25" customHeight="1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>
      <c r="B44" s="13" t="s">
        <v>1790</v>
      </c>
      <c r="C44" s="5" t="s">
        <v>1791</v>
      </c>
      <c r="D44" s="42"/>
      <c r="E44" s="398">
        <f>VLOOKUP(B27,Schlüssel!$A$5:$DZ$12,23)</f>
        <v>3</v>
      </c>
      <c r="F44" s="398"/>
      <c r="G44" s="398">
        <f>VLOOKUP(B27,Schlüssel!$A$5:$DZ$12,24)</f>
        <v>8</v>
      </c>
      <c r="H44" s="398"/>
      <c r="I44" s="398">
        <f>VLOOKUP(B27,Schlüssel!$A$5:$DZ$12,25)</f>
        <v>4</v>
      </c>
      <c r="J44" s="398"/>
      <c r="K44" s="398">
        <f>VLOOKUP(B27,Schlüssel!$A$5:$DZ$12,26)</f>
        <v>6</v>
      </c>
      <c r="L44" s="398"/>
      <c r="M44" s="398">
        <f>VLOOKUP(B27,Schlüssel!$A$5:$DZ$12,27)</f>
        <v>7</v>
      </c>
      <c r="N44" s="398"/>
      <c r="O44" s="399"/>
      <c r="P44" s="399"/>
    </row>
    <row r="45" spans="1:16" ht="28.5" customHeight="1">
      <c r="B45" s="4"/>
      <c r="C45" s="1"/>
      <c r="D45" s="1"/>
      <c r="E45" s="395" t="str">
        <f>VLOOKUP(E44,Schlüssel!$A$5:$K$12,2)</f>
        <v>Highroller Rosenheim 2</v>
      </c>
      <c r="F45" s="396"/>
      <c r="G45" s="395" t="str">
        <f>VLOOKUP(G44,Schlüssel!$A$5:$K$12,2)</f>
        <v>EMAX 1</v>
      </c>
      <c r="H45" s="396"/>
      <c r="I45" s="395" t="str">
        <f>VLOOKUP(I44,Schlüssel!$A$5:$K$12,2)</f>
        <v>Highroller Rosenheim 3</v>
      </c>
      <c r="J45" s="396"/>
      <c r="K45" s="395" t="str">
        <f>VLOOKUP(K44,Schlüssel!$A$5:$K$12,2)</f>
        <v>Bowling Jugend Bayern 1</v>
      </c>
      <c r="L45" s="396"/>
      <c r="M45" s="395" t="str">
        <f>VLOOKUP(M44,Schlüssel!$A$5:$K$12,2)</f>
        <v>BK München 1</v>
      </c>
      <c r="N45" s="396"/>
      <c r="O45" s="397"/>
      <c r="P45" s="397"/>
    </row>
    <row r="46" spans="1:16" ht="12" customHeight="1">
      <c r="B46" s="4"/>
      <c r="C46" s="1"/>
      <c r="D46" s="1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53"/>
      <c r="P46" s="353"/>
    </row>
    <row r="47" spans="1:16" ht="16.2" customHeight="1">
      <c r="B47" s="39" t="s">
        <v>0</v>
      </c>
      <c r="C47" s="40"/>
      <c r="D47" s="40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3"/>
      <c r="P47" s="393"/>
    </row>
    <row r="48" spans="1:16" ht="16.2" customHeight="1">
      <c r="B48" s="39" t="s">
        <v>2</v>
      </c>
      <c r="C48" s="40"/>
      <c r="D48" s="40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3"/>
      <c r="P48" s="393"/>
    </row>
    <row r="49" spans="1:30" ht="16.2" customHeight="1">
      <c r="B49" s="39" t="s">
        <v>3</v>
      </c>
      <c r="C49" s="40"/>
      <c r="D49" s="40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3"/>
      <c r="P49" s="393"/>
    </row>
    <row r="50" spans="1:30" ht="16.2" customHeight="1">
      <c r="B50" s="41" t="s">
        <v>1792</v>
      </c>
      <c r="C50" s="42"/>
      <c r="D50" s="42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41"/>
      <c r="P50" s="341"/>
    </row>
    <row r="51" spans="1:30" ht="21" customHeight="1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6">
        <f>Schlüssel!$AG$1</f>
        <v>45717</v>
      </c>
      <c r="N51" s="406"/>
      <c r="O51" s="406"/>
      <c r="AD51" s="76"/>
    </row>
    <row r="52" spans="1:30" ht="17.25" customHeight="1" thickBot="1">
      <c r="A52" s="53"/>
      <c r="B52" s="54">
        <f>+B27+1</f>
        <v>3</v>
      </c>
      <c r="C52" s="35" t="s">
        <v>1787</v>
      </c>
      <c r="D52" s="35"/>
      <c r="E52" s="72" t="str">
        <f>Schlüssel!$W$2</f>
        <v>Unterföhring Dreambowl Palace</v>
      </c>
      <c r="G52" s="66"/>
      <c r="H52" s="66"/>
      <c r="I52" s="66"/>
      <c r="J52" s="66"/>
      <c r="L52" s="66"/>
      <c r="M52" s="34" t="s">
        <v>1785</v>
      </c>
      <c r="N52" s="38">
        <v>2</v>
      </c>
      <c r="O52" s="33"/>
      <c r="AD52" s="77"/>
    </row>
    <row r="53" spans="1:30" ht="15.75" customHeight="1" thickBot="1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3.8" thickBot="1">
      <c r="A54" s="6"/>
      <c r="B54" s="7"/>
      <c r="C54" s="43"/>
      <c r="D54" s="43"/>
      <c r="E54" s="47" t="s">
        <v>10</v>
      </c>
      <c r="F54" s="7">
        <f>VLOOKUP(B52,Schlüssel!$A$5:$DZ$12,33)</f>
        <v>10</v>
      </c>
      <c r="G54" s="51" t="s">
        <v>10</v>
      </c>
      <c r="H54" s="7">
        <f>VLOOKUP(B52,Schlüssel!$A$5:$DZ$12,34)</f>
        <v>15</v>
      </c>
      <c r="I54" s="51" t="s">
        <v>10</v>
      </c>
      <c r="J54" s="7">
        <f>VLOOKUP(B52,Schlüssel!$A$5:$DZ$12,35)</f>
        <v>12</v>
      </c>
      <c r="K54" s="51" t="s">
        <v>10</v>
      </c>
      <c r="L54" s="7">
        <f>VLOOKUP(B52,Schlüssel!$A$5:$DZ$12,36)</f>
        <v>10</v>
      </c>
      <c r="M54" s="51" t="s">
        <v>10</v>
      </c>
      <c r="N54" s="57">
        <f>VLOOKUP(B52,Schlüssel!$A$5:$DZ$12,37)</f>
        <v>15</v>
      </c>
    </row>
    <row r="55" spans="1:30" ht="20.25" customHeight="1">
      <c r="B55" s="44" t="s">
        <v>1</v>
      </c>
      <c r="C55" s="45"/>
      <c r="D55" s="45"/>
      <c r="E55" s="407" t="s">
        <v>1793</v>
      </c>
      <c r="F55" s="408"/>
      <c r="G55" s="407" t="s">
        <v>1794</v>
      </c>
      <c r="H55" s="408"/>
      <c r="I55" s="407" t="s">
        <v>1795</v>
      </c>
      <c r="J55" s="408"/>
      <c r="K55" s="407" t="s">
        <v>1796</v>
      </c>
      <c r="L55" s="408"/>
      <c r="M55" s="407" t="s">
        <v>1797</v>
      </c>
      <c r="N55" s="408"/>
      <c r="O55" s="409" t="s">
        <v>1792</v>
      </c>
      <c r="P55" s="410"/>
    </row>
    <row r="56" spans="1:30" ht="15" customHeight="1" thickBot="1">
      <c r="B56" s="9" t="s">
        <v>1798</v>
      </c>
      <c r="C56" s="48" t="s">
        <v>1799</v>
      </c>
      <c r="D56" s="48" t="s">
        <v>2264</v>
      </c>
      <c r="E56" s="49" t="s">
        <v>1800</v>
      </c>
      <c r="F56" s="49" t="s">
        <v>1801</v>
      </c>
      <c r="G56" s="49" t="s">
        <v>1800</v>
      </c>
      <c r="H56" s="49" t="s">
        <v>1801</v>
      </c>
      <c r="I56" s="49" t="s">
        <v>1800</v>
      </c>
      <c r="J56" s="49" t="s">
        <v>1801</v>
      </c>
      <c r="K56" s="49" t="s">
        <v>1800</v>
      </c>
      <c r="L56" s="49" t="s">
        <v>1801</v>
      </c>
      <c r="M56" s="49" t="s">
        <v>1800</v>
      </c>
      <c r="N56" s="49" t="s">
        <v>1801</v>
      </c>
      <c r="O56" s="49" t="s">
        <v>1800</v>
      </c>
      <c r="P56" s="10" t="s">
        <v>1801</v>
      </c>
    </row>
    <row r="57" spans="1:30" ht="16.95" customHeight="1">
      <c r="A57" s="403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14"/>
      <c r="F57" s="400"/>
      <c r="G57" s="14"/>
      <c r="H57" s="400"/>
      <c r="I57" s="14"/>
      <c r="J57" s="400"/>
      <c r="K57" s="14"/>
      <c r="L57" s="400"/>
      <c r="M57" s="14"/>
      <c r="N57" s="400"/>
      <c r="O57" s="14"/>
      <c r="P57" s="400"/>
    </row>
    <row r="58" spans="1:30" ht="16.95" customHeight="1">
      <c r="A58" s="404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15"/>
      <c r="F58" s="401"/>
      <c r="G58" s="15"/>
      <c r="H58" s="401"/>
      <c r="I58" s="15"/>
      <c r="J58" s="401"/>
      <c r="K58" s="15"/>
      <c r="L58" s="401"/>
      <c r="M58" s="15"/>
      <c r="N58" s="401"/>
      <c r="O58" s="15"/>
      <c r="P58" s="401"/>
    </row>
    <row r="59" spans="1:30" ht="16.95" customHeight="1" thickBot="1">
      <c r="A59" s="405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9"/>
      <c r="F59" s="402"/>
      <c r="G59" s="9"/>
      <c r="H59" s="402"/>
      <c r="I59" s="9"/>
      <c r="J59" s="402"/>
      <c r="K59" s="9"/>
      <c r="L59" s="402"/>
      <c r="M59" s="9"/>
      <c r="N59" s="402"/>
      <c r="O59" s="9"/>
      <c r="P59" s="402"/>
    </row>
    <row r="60" spans="1:30" ht="16.95" customHeight="1">
      <c r="A60" s="403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14"/>
      <c r="F60" s="400"/>
      <c r="G60" s="14"/>
      <c r="H60" s="400"/>
      <c r="I60" s="14"/>
      <c r="J60" s="400"/>
      <c r="K60" s="14"/>
      <c r="L60" s="400"/>
      <c r="M60" s="14"/>
      <c r="N60" s="400"/>
      <c r="O60" s="14"/>
      <c r="P60" s="400"/>
    </row>
    <row r="61" spans="1:30" ht="16.95" customHeight="1">
      <c r="A61" s="404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15"/>
      <c r="F61" s="401"/>
      <c r="G61" s="15"/>
      <c r="H61" s="401"/>
      <c r="I61" s="15"/>
      <c r="J61" s="401"/>
      <c r="K61" s="15"/>
      <c r="L61" s="401"/>
      <c r="M61" s="15"/>
      <c r="N61" s="401"/>
      <c r="O61" s="15"/>
      <c r="P61" s="401"/>
    </row>
    <row r="62" spans="1:30" ht="16.95" customHeight="1" thickBot="1">
      <c r="A62" s="405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9"/>
      <c r="F62" s="402"/>
      <c r="G62" s="9"/>
      <c r="H62" s="402"/>
      <c r="I62" s="9"/>
      <c r="J62" s="402"/>
      <c r="K62" s="9"/>
      <c r="L62" s="402"/>
      <c r="M62" s="9"/>
      <c r="N62" s="402"/>
      <c r="O62" s="9"/>
      <c r="P62" s="402"/>
    </row>
    <row r="63" spans="1:30" ht="16.95" customHeight="1">
      <c r="A63" s="403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14"/>
      <c r="F63" s="400"/>
      <c r="G63" s="14"/>
      <c r="H63" s="400"/>
      <c r="I63" s="14"/>
      <c r="J63" s="400"/>
      <c r="K63" s="14"/>
      <c r="L63" s="400"/>
      <c r="M63" s="14"/>
      <c r="N63" s="400"/>
      <c r="O63" s="14"/>
      <c r="P63" s="400"/>
    </row>
    <row r="64" spans="1:30" ht="16.95" customHeight="1">
      <c r="A64" s="404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15"/>
      <c r="F64" s="401"/>
      <c r="G64" s="15"/>
      <c r="H64" s="401"/>
      <c r="I64" s="15"/>
      <c r="J64" s="401"/>
      <c r="K64" s="15"/>
      <c r="L64" s="401"/>
      <c r="M64" s="15"/>
      <c r="N64" s="401"/>
      <c r="O64" s="15"/>
      <c r="P64" s="401"/>
    </row>
    <row r="65" spans="1:30" ht="16.95" customHeight="1" thickBot="1">
      <c r="A65" s="405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9"/>
      <c r="F65" s="402"/>
      <c r="G65" s="9"/>
      <c r="H65" s="402"/>
      <c r="I65" s="9"/>
      <c r="J65" s="402"/>
      <c r="K65" s="9"/>
      <c r="L65" s="402"/>
      <c r="M65" s="9"/>
      <c r="N65" s="402"/>
      <c r="O65" s="9"/>
      <c r="P65" s="402"/>
    </row>
    <row r="66" spans="1:30" ht="27.75" customHeight="1" thickBot="1">
      <c r="B66" s="11"/>
      <c r="C66" s="25"/>
      <c r="D66" s="204"/>
      <c r="E66" s="16"/>
      <c r="F66" s="12"/>
      <c r="G66" s="16"/>
      <c r="H66" s="12"/>
      <c r="I66" s="16"/>
      <c r="J66" s="12"/>
      <c r="K66" s="16"/>
      <c r="L66" s="12"/>
      <c r="M66" s="16"/>
      <c r="N66" s="12"/>
      <c r="O66" s="16"/>
      <c r="P66" s="12"/>
    </row>
    <row r="67" spans="1:30" ht="24" customHeight="1" thickBot="1">
      <c r="B67" s="8"/>
      <c r="C67" s="1"/>
      <c r="D67" s="1"/>
      <c r="E67" s="1"/>
      <c r="F67" s="23"/>
      <c r="G67" s="1"/>
      <c r="H67" s="23"/>
      <c r="I67" s="1"/>
      <c r="J67" s="23"/>
      <c r="K67" s="1"/>
      <c r="L67" s="23"/>
      <c r="M67" s="1"/>
      <c r="N67" s="23"/>
      <c r="O67" s="1"/>
      <c r="P67" s="23"/>
    </row>
    <row r="68" spans="1:30" ht="11.25" customHeight="1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>
      <c r="B69" s="13" t="s">
        <v>1790</v>
      </c>
      <c r="C69" s="5" t="s">
        <v>1791</v>
      </c>
      <c r="D69" s="42"/>
      <c r="E69" s="398">
        <f>VLOOKUP(B52,Schlüssel!$A$5:$DZ$12,23)</f>
        <v>2</v>
      </c>
      <c r="F69" s="398"/>
      <c r="G69" s="398">
        <f>VLOOKUP(B52,Schlüssel!$A$5:$DZ$12,24)</f>
        <v>5</v>
      </c>
      <c r="H69" s="398"/>
      <c r="I69" s="398">
        <f>VLOOKUP(B52,Schlüssel!$A$5:$DZ$12,25)</f>
        <v>1</v>
      </c>
      <c r="J69" s="398"/>
      <c r="K69" s="398">
        <f>VLOOKUP(B52,Schlüssel!$A$5:$DZ$12,26)</f>
        <v>7</v>
      </c>
      <c r="L69" s="398"/>
      <c r="M69" s="398">
        <f>VLOOKUP(B52,Schlüssel!$A$5:$DZ$12,27)</f>
        <v>6</v>
      </c>
      <c r="N69" s="398"/>
      <c r="O69" s="399"/>
      <c r="P69" s="399"/>
    </row>
    <row r="70" spans="1:30" ht="28.5" customHeight="1">
      <c r="B70" s="4"/>
      <c r="C70" s="1"/>
      <c r="D70" s="1"/>
      <c r="E70" s="395" t="str">
        <f>VLOOKUP(E69,Schlüssel!$A$5:$K$12,2)</f>
        <v>Highroller Rosenheim 1</v>
      </c>
      <c r="F70" s="396"/>
      <c r="G70" s="395" t="str">
        <f>VLOOKUP(G69,Schlüssel!$A$5:$K$12,2)</f>
        <v>Berchtesgaden 1</v>
      </c>
      <c r="H70" s="396"/>
      <c r="I70" s="395" t="str">
        <f>VLOOKUP(I69,Schlüssel!$A$5:$K$12,2)</f>
        <v>Bad Tölz 1</v>
      </c>
      <c r="J70" s="396"/>
      <c r="K70" s="395" t="str">
        <f>VLOOKUP(K69,Schlüssel!$A$5:$K$12,2)</f>
        <v>BK München 1</v>
      </c>
      <c r="L70" s="396"/>
      <c r="M70" s="395" t="str">
        <f>VLOOKUP(M69,Schlüssel!$A$5:$K$12,2)</f>
        <v>Bowling Jugend Bayern 1</v>
      </c>
      <c r="N70" s="396"/>
      <c r="O70" s="397"/>
      <c r="P70" s="397"/>
    </row>
    <row r="71" spans="1:30" ht="12" customHeight="1">
      <c r="B71" s="4"/>
      <c r="C71" s="1"/>
      <c r="D71" s="1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53"/>
      <c r="P71" s="353"/>
    </row>
    <row r="72" spans="1:30" ht="16.2" customHeight="1">
      <c r="B72" s="39" t="s">
        <v>0</v>
      </c>
      <c r="C72" s="40"/>
      <c r="D72" s="40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3"/>
      <c r="P72" s="393"/>
    </row>
    <row r="73" spans="1:30" ht="16.2" customHeight="1">
      <c r="B73" s="39" t="s">
        <v>2</v>
      </c>
      <c r="C73" s="40"/>
      <c r="D73" s="40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3"/>
      <c r="P73" s="393"/>
    </row>
    <row r="74" spans="1:30" ht="16.2" customHeight="1">
      <c r="B74" s="39" t="s">
        <v>3</v>
      </c>
      <c r="C74" s="40"/>
      <c r="D74" s="40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3"/>
      <c r="P74" s="393"/>
    </row>
    <row r="75" spans="1:30" ht="16.2" customHeight="1">
      <c r="B75" s="41" t="s">
        <v>1792</v>
      </c>
      <c r="C75" s="42"/>
      <c r="D75" s="42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41"/>
      <c r="P75" s="341"/>
    </row>
    <row r="76" spans="1:30" ht="21" customHeight="1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6">
        <f>Schlüssel!$AG$1</f>
        <v>45717</v>
      </c>
      <c r="N76" s="406"/>
      <c r="O76" s="406"/>
      <c r="AD76" s="76"/>
    </row>
    <row r="77" spans="1:30" ht="17.25" customHeight="1" thickBot="1">
      <c r="A77" s="53"/>
      <c r="B77" s="54">
        <f>+B52+1</f>
        <v>4</v>
      </c>
      <c r="C77" s="35" t="s">
        <v>1787</v>
      </c>
      <c r="D77" s="35"/>
      <c r="E77" s="72" t="str">
        <f>Schlüssel!$W$2</f>
        <v>Unterföhring Dreambowl Palace</v>
      </c>
      <c r="G77" s="66"/>
      <c r="H77" s="66"/>
      <c r="I77" s="66"/>
      <c r="J77" s="66"/>
      <c r="L77" s="66"/>
      <c r="M77" s="34" t="s">
        <v>1785</v>
      </c>
      <c r="N77" s="38">
        <v>2</v>
      </c>
      <c r="O77" s="33"/>
      <c r="AD77" s="77"/>
    </row>
    <row r="78" spans="1:30" ht="15.75" customHeight="1" thickBot="1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3.8" thickBot="1">
      <c r="A79" s="6"/>
      <c r="B79" s="7"/>
      <c r="C79" s="43"/>
      <c r="D79" s="43"/>
      <c r="E79" s="47" t="s">
        <v>10</v>
      </c>
      <c r="F79" s="7">
        <f>VLOOKUP(B77,Schlüssel!$A$5:$DZ$12,33)</f>
        <v>13</v>
      </c>
      <c r="G79" s="51" t="s">
        <v>10</v>
      </c>
      <c r="H79" s="7">
        <f>VLOOKUP(B77,Schlüssel!$A$5:$DZ$12,34)</f>
        <v>9</v>
      </c>
      <c r="I79" s="51" t="s">
        <v>10</v>
      </c>
      <c r="J79" s="7">
        <f>VLOOKUP(B77,Schlüssel!$A$5:$DZ$12,35)</f>
        <v>10</v>
      </c>
      <c r="K79" s="51" t="s">
        <v>10</v>
      </c>
      <c r="L79" s="7">
        <f>VLOOKUP(B77,Schlüssel!$A$5:$DZ$12,36)</f>
        <v>16</v>
      </c>
      <c r="M79" s="51" t="s">
        <v>10</v>
      </c>
      <c r="N79" s="57">
        <f>VLOOKUP(B77,Schlüssel!$A$5:$DZ$12,37)</f>
        <v>12</v>
      </c>
    </row>
    <row r="80" spans="1:30" ht="20.25" customHeight="1">
      <c r="B80" s="44" t="s">
        <v>1</v>
      </c>
      <c r="C80" s="45"/>
      <c r="D80" s="45"/>
      <c r="E80" s="407" t="s">
        <v>1793</v>
      </c>
      <c r="F80" s="408"/>
      <c r="G80" s="407" t="s">
        <v>1794</v>
      </c>
      <c r="H80" s="408"/>
      <c r="I80" s="407" t="s">
        <v>1795</v>
      </c>
      <c r="J80" s="408"/>
      <c r="K80" s="407" t="s">
        <v>1796</v>
      </c>
      <c r="L80" s="408"/>
      <c r="M80" s="407" t="s">
        <v>1797</v>
      </c>
      <c r="N80" s="408"/>
      <c r="O80" s="409" t="s">
        <v>1792</v>
      </c>
      <c r="P80" s="410"/>
    </row>
    <row r="81" spans="1:16" ht="15" customHeight="1" thickBot="1">
      <c r="B81" s="9" t="s">
        <v>1798</v>
      </c>
      <c r="C81" s="48" t="s">
        <v>1799</v>
      </c>
      <c r="D81" s="48" t="s">
        <v>2264</v>
      </c>
      <c r="E81" s="49" t="s">
        <v>1800</v>
      </c>
      <c r="F81" s="49" t="s">
        <v>1801</v>
      </c>
      <c r="G81" s="49" t="s">
        <v>1800</v>
      </c>
      <c r="H81" s="49" t="s">
        <v>1801</v>
      </c>
      <c r="I81" s="49" t="s">
        <v>1800</v>
      </c>
      <c r="J81" s="49" t="s">
        <v>1801</v>
      </c>
      <c r="K81" s="49" t="s">
        <v>1800</v>
      </c>
      <c r="L81" s="49" t="s">
        <v>1801</v>
      </c>
      <c r="M81" s="49" t="s">
        <v>1800</v>
      </c>
      <c r="N81" s="49" t="s">
        <v>1801</v>
      </c>
      <c r="O81" s="49" t="s">
        <v>1800</v>
      </c>
      <c r="P81" s="10" t="s">
        <v>1801</v>
      </c>
    </row>
    <row r="82" spans="1:16" ht="16.95" customHeight="1">
      <c r="A82" s="403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14"/>
      <c r="F82" s="400"/>
      <c r="G82" s="14"/>
      <c r="H82" s="400"/>
      <c r="I82" s="14"/>
      <c r="J82" s="400"/>
      <c r="K82" s="14"/>
      <c r="L82" s="400"/>
      <c r="M82" s="14"/>
      <c r="N82" s="400"/>
      <c r="O82" s="14"/>
      <c r="P82" s="400"/>
    </row>
    <row r="83" spans="1:16" ht="16.95" customHeight="1">
      <c r="A83" s="404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15"/>
      <c r="F83" s="401"/>
      <c r="G83" s="15"/>
      <c r="H83" s="401"/>
      <c r="I83" s="15"/>
      <c r="J83" s="401"/>
      <c r="K83" s="15"/>
      <c r="L83" s="401"/>
      <c r="M83" s="15"/>
      <c r="N83" s="401"/>
      <c r="O83" s="15"/>
      <c r="P83" s="401"/>
    </row>
    <row r="84" spans="1:16" ht="16.95" customHeight="1" thickBot="1">
      <c r="A84" s="405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9"/>
      <c r="F84" s="402"/>
      <c r="G84" s="9"/>
      <c r="H84" s="402"/>
      <c r="I84" s="9"/>
      <c r="J84" s="402"/>
      <c r="K84" s="9"/>
      <c r="L84" s="402"/>
      <c r="M84" s="9"/>
      <c r="N84" s="402"/>
      <c r="O84" s="9"/>
      <c r="P84" s="402"/>
    </row>
    <row r="85" spans="1:16" ht="16.95" customHeight="1">
      <c r="A85" s="403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14"/>
      <c r="F85" s="400"/>
      <c r="G85" s="14"/>
      <c r="H85" s="400"/>
      <c r="I85" s="14"/>
      <c r="J85" s="400"/>
      <c r="K85" s="14"/>
      <c r="L85" s="400"/>
      <c r="M85" s="14"/>
      <c r="N85" s="400"/>
      <c r="O85" s="14"/>
      <c r="P85" s="400"/>
    </row>
    <row r="86" spans="1:16" ht="16.95" customHeight="1">
      <c r="A86" s="404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15"/>
      <c r="F86" s="401"/>
      <c r="G86" s="15"/>
      <c r="H86" s="401"/>
      <c r="I86" s="15"/>
      <c r="J86" s="401"/>
      <c r="K86" s="15"/>
      <c r="L86" s="401"/>
      <c r="M86" s="15"/>
      <c r="N86" s="401"/>
      <c r="O86" s="15"/>
      <c r="P86" s="401"/>
    </row>
    <row r="87" spans="1:16" ht="16.95" customHeight="1" thickBot="1">
      <c r="A87" s="405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9"/>
      <c r="F87" s="402"/>
      <c r="G87" s="9"/>
      <c r="H87" s="402"/>
      <c r="I87" s="9"/>
      <c r="J87" s="402"/>
      <c r="K87" s="9"/>
      <c r="L87" s="402"/>
      <c r="M87" s="9"/>
      <c r="N87" s="402"/>
      <c r="O87" s="9"/>
      <c r="P87" s="402"/>
    </row>
    <row r="88" spans="1:16" ht="16.95" customHeight="1">
      <c r="A88" s="403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14"/>
      <c r="F88" s="400"/>
      <c r="G88" s="14"/>
      <c r="H88" s="400"/>
      <c r="I88" s="14"/>
      <c r="J88" s="400"/>
      <c r="K88" s="14"/>
      <c r="L88" s="400"/>
      <c r="M88" s="14"/>
      <c r="N88" s="400"/>
      <c r="O88" s="14"/>
      <c r="P88" s="400"/>
    </row>
    <row r="89" spans="1:16" ht="16.95" customHeight="1">
      <c r="A89" s="404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15"/>
      <c r="F89" s="401"/>
      <c r="G89" s="15"/>
      <c r="H89" s="401"/>
      <c r="I89" s="15"/>
      <c r="J89" s="401"/>
      <c r="K89" s="15"/>
      <c r="L89" s="401"/>
      <c r="M89" s="15"/>
      <c r="N89" s="401"/>
      <c r="O89" s="15"/>
      <c r="P89" s="401"/>
    </row>
    <row r="90" spans="1:16" ht="16.95" customHeight="1" thickBot="1">
      <c r="A90" s="405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9"/>
      <c r="F90" s="402"/>
      <c r="G90" s="9"/>
      <c r="H90" s="402"/>
      <c r="I90" s="9"/>
      <c r="J90" s="402"/>
      <c r="K90" s="9"/>
      <c r="L90" s="402"/>
      <c r="M90" s="9"/>
      <c r="N90" s="402"/>
      <c r="O90" s="9"/>
      <c r="P90" s="402"/>
    </row>
    <row r="91" spans="1:16" ht="27.75" customHeight="1" thickBot="1">
      <c r="B91" s="11"/>
      <c r="C91" s="25"/>
      <c r="D91" s="204"/>
      <c r="E91" s="16"/>
      <c r="F91" s="12"/>
      <c r="G91" s="16"/>
      <c r="H91" s="12"/>
      <c r="I91" s="16"/>
      <c r="J91" s="12"/>
      <c r="K91" s="16"/>
      <c r="L91" s="12"/>
      <c r="M91" s="16"/>
      <c r="N91" s="12"/>
      <c r="O91" s="16"/>
      <c r="P91" s="12"/>
    </row>
    <row r="92" spans="1:16" ht="24" customHeight="1" thickBot="1">
      <c r="B92" s="8"/>
      <c r="C92" s="1"/>
      <c r="D92" s="1"/>
      <c r="E92" s="1"/>
      <c r="F92" s="23"/>
      <c r="G92" s="1"/>
      <c r="H92" s="23"/>
      <c r="I92" s="1"/>
      <c r="J92" s="23"/>
      <c r="K92" s="1"/>
      <c r="L92" s="23"/>
      <c r="M92" s="1"/>
      <c r="N92" s="23"/>
      <c r="O92" s="1"/>
      <c r="P92" s="23"/>
    </row>
    <row r="93" spans="1:16" ht="11.25" customHeight="1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>
      <c r="B94" s="13" t="s">
        <v>1790</v>
      </c>
      <c r="C94" s="5" t="s">
        <v>1791</v>
      </c>
      <c r="D94" s="42"/>
      <c r="E94" s="398">
        <f>VLOOKUP(B77,Schlüssel!$A$5:$DZ$12,23)</f>
        <v>1</v>
      </c>
      <c r="F94" s="398"/>
      <c r="G94" s="398">
        <f>VLOOKUP(B77,Schlüssel!$A$5:$DZ$12,24)</f>
        <v>7</v>
      </c>
      <c r="H94" s="398"/>
      <c r="I94" s="398">
        <f>VLOOKUP(B77,Schlüssel!$A$5:$DZ$12,25)</f>
        <v>2</v>
      </c>
      <c r="J94" s="398"/>
      <c r="K94" s="398">
        <f>VLOOKUP(B77,Schlüssel!$A$5:$DZ$12,26)</f>
        <v>5</v>
      </c>
      <c r="L94" s="398"/>
      <c r="M94" s="398">
        <f>VLOOKUP(B77,Schlüssel!$A$5:$DZ$12,27)</f>
        <v>8</v>
      </c>
      <c r="N94" s="398"/>
      <c r="O94" s="399"/>
      <c r="P94" s="399"/>
    </row>
    <row r="95" spans="1:16" ht="28.5" customHeight="1">
      <c r="B95" s="4"/>
      <c r="C95" s="1"/>
      <c r="D95" s="1"/>
      <c r="E95" s="395" t="str">
        <f>VLOOKUP(E94,Schlüssel!$A$5:$K$12,2)</f>
        <v>Bad Tölz 1</v>
      </c>
      <c r="F95" s="396"/>
      <c r="G95" s="395" t="str">
        <f>VLOOKUP(G94,Schlüssel!$A$5:$K$12,2)</f>
        <v>BK München 1</v>
      </c>
      <c r="H95" s="396"/>
      <c r="I95" s="395" t="str">
        <f>VLOOKUP(I94,Schlüssel!$A$5:$K$12,2)</f>
        <v>Highroller Rosenheim 1</v>
      </c>
      <c r="J95" s="396"/>
      <c r="K95" s="395" t="str">
        <f>VLOOKUP(K94,Schlüssel!$A$5:$K$12,2)</f>
        <v>Berchtesgaden 1</v>
      </c>
      <c r="L95" s="396"/>
      <c r="M95" s="395" t="str">
        <f>VLOOKUP(M94,Schlüssel!$A$5:$K$12,2)</f>
        <v>EMAX 1</v>
      </c>
      <c r="N95" s="396"/>
      <c r="O95" s="397"/>
      <c r="P95" s="397"/>
    </row>
    <row r="96" spans="1:16" ht="12" customHeight="1">
      <c r="B96" s="4"/>
      <c r="C96" s="1"/>
      <c r="D96" s="1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53"/>
      <c r="P96" s="353"/>
    </row>
    <row r="97" spans="1:30" ht="16.2" customHeight="1">
      <c r="B97" s="39" t="s">
        <v>0</v>
      </c>
      <c r="C97" s="40"/>
      <c r="D97" s="40"/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393"/>
      <c r="P97" s="393"/>
    </row>
    <row r="98" spans="1:30" ht="16.2" customHeight="1">
      <c r="B98" s="39" t="s">
        <v>2</v>
      </c>
      <c r="C98" s="40"/>
      <c r="D98" s="40"/>
      <c r="E98" s="392"/>
      <c r="F98" s="392"/>
      <c r="G98" s="392"/>
      <c r="H98" s="392"/>
      <c r="I98" s="392"/>
      <c r="J98" s="392"/>
      <c r="K98" s="392"/>
      <c r="L98" s="392"/>
      <c r="M98" s="392"/>
      <c r="N98" s="392"/>
      <c r="O98" s="393"/>
      <c r="P98" s="393"/>
    </row>
    <row r="99" spans="1:30" ht="16.2" customHeight="1">
      <c r="B99" s="39" t="s">
        <v>3</v>
      </c>
      <c r="C99" s="40"/>
      <c r="D99" s="40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3"/>
      <c r="P99" s="393"/>
    </row>
    <row r="100" spans="1:30" ht="16.2" customHeight="1">
      <c r="B100" s="41" t="s">
        <v>1792</v>
      </c>
      <c r="C100" s="42"/>
      <c r="D100" s="42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41"/>
      <c r="P100" s="341"/>
    </row>
    <row r="101" spans="1:30" ht="21" customHeight="1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6">
        <f>Schlüssel!$AG$1</f>
        <v>45717</v>
      </c>
      <c r="N101" s="406"/>
      <c r="O101" s="406"/>
      <c r="AD101" s="76"/>
    </row>
    <row r="102" spans="1:30" ht="17.25" customHeight="1" thickBot="1">
      <c r="A102" s="53"/>
      <c r="B102" s="54">
        <f>+B77+1</f>
        <v>5</v>
      </c>
      <c r="C102" s="35" t="s">
        <v>1787</v>
      </c>
      <c r="D102" s="35"/>
      <c r="E102" s="72" t="str">
        <f>Schlüssel!$W$2</f>
        <v>Unterföhring Dreambowl Palace</v>
      </c>
      <c r="G102" s="66"/>
      <c r="H102" s="66"/>
      <c r="I102" s="66"/>
      <c r="J102" s="66"/>
      <c r="L102" s="66"/>
      <c r="M102" s="34" t="s">
        <v>1785</v>
      </c>
      <c r="N102" s="38">
        <v>2</v>
      </c>
      <c r="O102" s="33"/>
      <c r="AD102" s="77"/>
    </row>
    <row r="103" spans="1:30" ht="15.75" customHeight="1" thickBot="1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3.8" thickBot="1">
      <c r="A104" s="6"/>
      <c r="B104" s="7"/>
      <c r="C104" s="43"/>
      <c r="D104" s="43"/>
      <c r="E104" s="47" t="s">
        <v>10</v>
      </c>
      <c r="F104" s="7">
        <f>VLOOKUP(B102,Schlüssel!$A$5:$DZ$12,33)</f>
        <v>12</v>
      </c>
      <c r="G104" s="51" t="s">
        <v>10</v>
      </c>
      <c r="H104" s="7">
        <f>VLOOKUP(B102,Schlüssel!$A$5:$DZ$12,34)</f>
        <v>16</v>
      </c>
      <c r="I104" s="51" t="s">
        <v>10</v>
      </c>
      <c r="J104" s="7">
        <f>VLOOKUP(B102,Schlüssel!$A$5:$DZ$12,35)</f>
        <v>13</v>
      </c>
      <c r="K104" s="51" t="s">
        <v>10</v>
      </c>
      <c r="L104" s="7">
        <f>VLOOKUP(B102,Schlüssel!$A$5:$DZ$12,36)</f>
        <v>15</v>
      </c>
      <c r="M104" s="51" t="s">
        <v>10</v>
      </c>
      <c r="N104" s="57">
        <f>VLOOKUP(B102,Schlüssel!$A$5:$DZ$12,37)</f>
        <v>10</v>
      </c>
    </row>
    <row r="105" spans="1:30" ht="20.25" customHeight="1">
      <c r="B105" s="44" t="s">
        <v>1</v>
      </c>
      <c r="C105" s="45"/>
      <c r="D105" s="45"/>
      <c r="E105" s="407" t="s">
        <v>1793</v>
      </c>
      <c r="F105" s="408"/>
      <c r="G105" s="407" t="s">
        <v>1794</v>
      </c>
      <c r="H105" s="408"/>
      <c r="I105" s="407" t="s">
        <v>1795</v>
      </c>
      <c r="J105" s="408"/>
      <c r="K105" s="407" t="s">
        <v>1796</v>
      </c>
      <c r="L105" s="408"/>
      <c r="M105" s="407" t="s">
        <v>1797</v>
      </c>
      <c r="N105" s="408"/>
      <c r="O105" s="409" t="s">
        <v>1792</v>
      </c>
      <c r="P105" s="410"/>
    </row>
    <row r="106" spans="1:30" ht="15" customHeight="1" thickBot="1">
      <c r="B106" s="9" t="s">
        <v>1798</v>
      </c>
      <c r="C106" s="48" t="s">
        <v>1799</v>
      </c>
      <c r="D106" s="48" t="s">
        <v>2264</v>
      </c>
      <c r="E106" s="49" t="s">
        <v>1800</v>
      </c>
      <c r="F106" s="49" t="s">
        <v>1801</v>
      </c>
      <c r="G106" s="49" t="s">
        <v>1800</v>
      </c>
      <c r="H106" s="49" t="s">
        <v>1801</v>
      </c>
      <c r="I106" s="49" t="s">
        <v>1800</v>
      </c>
      <c r="J106" s="49" t="s">
        <v>1801</v>
      </c>
      <c r="K106" s="49" t="s">
        <v>1800</v>
      </c>
      <c r="L106" s="49" t="s">
        <v>1801</v>
      </c>
      <c r="M106" s="49" t="s">
        <v>1800</v>
      </c>
      <c r="N106" s="49" t="s">
        <v>1801</v>
      </c>
      <c r="O106" s="49" t="s">
        <v>1800</v>
      </c>
      <c r="P106" s="10" t="s">
        <v>1801</v>
      </c>
    </row>
    <row r="107" spans="1:30" ht="16.95" customHeight="1">
      <c r="A107" s="403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14"/>
      <c r="F107" s="400"/>
      <c r="G107" s="14"/>
      <c r="H107" s="400"/>
      <c r="I107" s="14"/>
      <c r="J107" s="400"/>
      <c r="K107" s="14"/>
      <c r="L107" s="400"/>
      <c r="M107" s="14"/>
      <c r="N107" s="400"/>
      <c r="O107" s="14"/>
      <c r="P107" s="400"/>
    </row>
    <row r="108" spans="1:30" ht="16.95" customHeight="1">
      <c r="A108" s="404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15"/>
      <c r="F108" s="401"/>
      <c r="G108" s="15"/>
      <c r="H108" s="401"/>
      <c r="I108" s="15"/>
      <c r="J108" s="401"/>
      <c r="K108" s="15"/>
      <c r="L108" s="401"/>
      <c r="M108" s="15"/>
      <c r="N108" s="401"/>
      <c r="O108" s="15"/>
      <c r="P108" s="401"/>
    </row>
    <row r="109" spans="1:30" ht="16.95" customHeight="1" thickBot="1">
      <c r="A109" s="405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9"/>
      <c r="F109" s="402"/>
      <c r="G109" s="9"/>
      <c r="H109" s="402"/>
      <c r="I109" s="9"/>
      <c r="J109" s="402"/>
      <c r="K109" s="9"/>
      <c r="L109" s="402"/>
      <c r="M109" s="9"/>
      <c r="N109" s="402"/>
      <c r="O109" s="9"/>
      <c r="P109" s="402"/>
    </row>
    <row r="110" spans="1:30" ht="16.95" customHeight="1">
      <c r="A110" s="403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14"/>
      <c r="F110" s="400"/>
      <c r="G110" s="14"/>
      <c r="H110" s="400"/>
      <c r="I110" s="14"/>
      <c r="J110" s="400"/>
      <c r="K110" s="14"/>
      <c r="L110" s="400"/>
      <c r="M110" s="14"/>
      <c r="N110" s="400"/>
      <c r="O110" s="14"/>
      <c r="P110" s="400"/>
    </row>
    <row r="111" spans="1:30" ht="16.95" customHeight="1">
      <c r="A111" s="404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15"/>
      <c r="F111" s="401"/>
      <c r="G111" s="15"/>
      <c r="H111" s="401"/>
      <c r="I111" s="15"/>
      <c r="J111" s="401"/>
      <c r="K111" s="15"/>
      <c r="L111" s="401"/>
      <c r="M111" s="15"/>
      <c r="N111" s="401"/>
      <c r="O111" s="15"/>
      <c r="P111" s="401"/>
    </row>
    <row r="112" spans="1:30" ht="16.95" customHeight="1" thickBot="1">
      <c r="A112" s="405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9"/>
      <c r="F112" s="402"/>
      <c r="G112" s="9"/>
      <c r="H112" s="402"/>
      <c r="I112" s="9"/>
      <c r="J112" s="402"/>
      <c r="K112" s="9"/>
      <c r="L112" s="402"/>
      <c r="M112" s="9"/>
      <c r="N112" s="402"/>
      <c r="O112" s="9"/>
      <c r="P112" s="402"/>
    </row>
    <row r="113" spans="1:30" ht="16.95" customHeight="1">
      <c r="A113" s="403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14"/>
      <c r="F113" s="400"/>
      <c r="G113" s="14"/>
      <c r="H113" s="400"/>
      <c r="I113" s="14"/>
      <c r="J113" s="400"/>
      <c r="K113" s="14"/>
      <c r="L113" s="400"/>
      <c r="M113" s="14"/>
      <c r="N113" s="400"/>
      <c r="O113" s="14"/>
      <c r="P113" s="400"/>
    </row>
    <row r="114" spans="1:30" ht="16.95" customHeight="1">
      <c r="A114" s="404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15"/>
      <c r="F114" s="401"/>
      <c r="G114" s="15"/>
      <c r="H114" s="401"/>
      <c r="I114" s="15"/>
      <c r="J114" s="401"/>
      <c r="K114" s="15"/>
      <c r="L114" s="401"/>
      <c r="M114" s="15"/>
      <c r="N114" s="401"/>
      <c r="O114" s="15"/>
      <c r="P114" s="401"/>
    </row>
    <row r="115" spans="1:30" ht="16.95" customHeight="1" thickBot="1">
      <c r="A115" s="405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9"/>
      <c r="F115" s="402"/>
      <c r="G115" s="9"/>
      <c r="H115" s="402"/>
      <c r="I115" s="9"/>
      <c r="J115" s="402"/>
      <c r="K115" s="9"/>
      <c r="L115" s="402"/>
      <c r="M115" s="9"/>
      <c r="N115" s="402"/>
      <c r="O115" s="9"/>
      <c r="P115" s="402"/>
    </row>
    <row r="116" spans="1:30" ht="27.75" customHeight="1" thickBot="1">
      <c r="B116" s="11"/>
      <c r="C116" s="25"/>
      <c r="D116" s="204"/>
      <c r="E116" s="16"/>
      <c r="F116" s="12"/>
      <c r="G116" s="16"/>
      <c r="H116" s="12"/>
      <c r="I116" s="16"/>
      <c r="J116" s="12"/>
      <c r="K116" s="16"/>
      <c r="L116" s="12"/>
      <c r="M116" s="16"/>
      <c r="N116" s="12"/>
      <c r="O116" s="16"/>
      <c r="P116" s="12"/>
    </row>
    <row r="117" spans="1:30" ht="24" customHeight="1" thickBot="1">
      <c r="B117" s="8"/>
      <c r="C117" s="1"/>
      <c r="D117" s="1"/>
      <c r="E117" s="1"/>
      <c r="F117" s="23"/>
      <c r="G117" s="1"/>
      <c r="H117" s="23"/>
      <c r="I117" s="1"/>
      <c r="J117" s="23"/>
      <c r="K117" s="1"/>
      <c r="L117" s="23"/>
      <c r="M117" s="1"/>
      <c r="N117" s="23"/>
      <c r="O117" s="1"/>
      <c r="P117" s="23"/>
    </row>
    <row r="118" spans="1:30" ht="11.25" customHeight="1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>
      <c r="B119" s="13" t="s">
        <v>1790</v>
      </c>
      <c r="C119" s="5" t="s">
        <v>1791</v>
      </c>
      <c r="D119" s="42"/>
      <c r="E119" s="398">
        <f>VLOOKUP(B102,Schlüssel!$A$5:$DZ$12,23)</f>
        <v>8</v>
      </c>
      <c r="F119" s="398"/>
      <c r="G119" s="398">
        <f>VLOOKUP(B102,Schlüssel!$A$5:$DZ$12,24)</f>
        <v>3</v>
      </c>
      <c r="H119" s="398"/>
      <c r="I119" s="398">
        <f>VLOOKUP(B102,Schlüssel!$A$5:$DZ$12,25)</f>
        <v>7</v>
      </c>
      <c r="J119" s="398"/>
      <c r="K119" s="398">
        <f>VLOOKUP(B102,Schlüssel!$A$5:$DZ$12,26)</f>
        <v>4</v>
      </c>
      <c r="L119" s="398"/>
      <c r="M119" s="398">
        <f>VLOOKUP(B102,Schlüssel!$A$5:$DZ$12,27)</f>
        <v>1</v>
      </c>
      <c r="N119" s="398"/>
      <c r="O119" s="399"/>
      <c r="P119" s="399"/>
    </row>
    <row r="120" spans="1:30" ht="28.5" customHeight="1">
      <c r="B120" s="4"/>
      <c r="C120" s="1"/>
      <c r="D120" s="1"/>
      <c r="E120" s="395" t="str">
        <f>VLOOKUP(E119,Schlüssel!$A$5:$K$12,2)</f>
        <v>EMAX 1</v>
      </c>
      <c r="F120" s="396"/>
      <c r="G120" s="395" t="str">
        <f>VLOOKUP(G119,Schlüssel!$A$5:$K$12,2)</f>
        <v>Highroller Rosenheim 2</v>
      </c>
      <c r="H120" s="396"/>
      <c r="I120" s="395" t="str">
        <f>VLOOKUP(I119,Schlüssel!$A$5:$K$12,2)</f>
        <v>BK München 1</v>
      </c>
      <c r="J120" s="396"/>
      <c r="K120" s="395" t="str">
        <f>VLOOKUP(K119,Schlüssel!$A$5:$K$12,2)</f>
        <v>Highroller Rosenheim 3</v>
      </c>
      <c r="L120" s="396"/>
      <c r="M120" s="395" t="str">
        <f>VLOOKUP(M119,Schlüssel!$A$5:$K$12,2)</f>
        <v>Bad Tölz 1</v>
      </c>
      <c r="N120" s="396"/>
      <c r="O120" s="397"/>
      <c r="P120" s="397"/>
    </row>
    <row r="121" spans="1:30" ht="12" customHeight="1">
      <c r="B121" s="4"/>
      <c r="C121" s="1"/>
      <c r="D121" s="1"/>
      <c r="E121" s="394"/>
      <c r="F121" s="394"/>
      <c r="G121" s="394"/>
      <c r="H121" s="394"/>
      <c r="I121" s="394"/>
      <c r="J121" s="394"/>
      <c r="K121" s="394"/>
      <c r="L121" s="394"/>
      <c r="M121" s="394"/>
      <c r="N121" s="394"/>
      <c r="O121" s="353"/>
      <c r="P121" s="353"/>
    </row>
    <row r="122" spans="1:30" ht="16.2" customHeight="1">
      <c r="B122" s="39" t="s">
        <v>0</v>
      </c>
      <c r="C122" s="40"/>
      <c r="D122" s="40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3"/>
      <c r="P122" s="393"/>
    </row>
    <row r="123" spans="1:30" ht="16.2" customHeight="1">
      <c r="B123" s="39" t="s">
        <v>2</v>
      </c>
      <c r="C123" s="40"/>
      <c r="D123" s="40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3"/>
      <c r="P123" s="393"/>
    </row>
    <row r="124" spans="1:30" ht="16.2" customHeight="1">
      <c r="B124" s="39" t="s">
        <v>3</v>
      </c>
      <c r="C124" s="40"/>
      <c r="D124" s="40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3"/>
      <c r="P124" s="393"/>
    </row>
    <row r="125" spans="1:30" ht="16.2" customHeight="1">
      <c r="B125" s="41" t="s">
        <v>1792</v>
      </c>
      <c r="C125" s="42"/>
      <c r="D125" s="42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41"/>
      <c r="P125" s="341"/>
    </row>
    <row r="126" spans="1:30" ht="21" customHeight="1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6">
        <f>Schlüssel!$AG$1</f>
        <v>45717</v>
      </c>
      <c r="N126" s="406"/>
      <c r="O126" s="406"/>
      <c r="AD126" s="76"/>
    </row>
    <row r="127" spans="1:30" ht="17.25" customHeight="1" thickBot="1">
      <c r="A127" s="53"/>
      <c r="B127" s="54">
        <f>+B102+1</f>
        <v>6</v>
      </c>
      <c r="C127" s="35" t="s">
        <v>1787</v>
      </c>
      <c r="D127" s="35"/>
      <c r="E127" s="72" t="str">
        <f>Schlüssel!$W$2</f>
        <v>Unterföhring Dreambowl Palace</v>
      </c>
      <c r="G127" s="66"/>
      <c r="H127" s="66"/>
      <c r="I127" s="66"/>
      <c r="J127" s="66"/>
      <c r="L127" s="66"/>
      <c r="M127" s="34" t="s">
        <v>1785</v>
      </c>
      <c r="N127" s="38">
        <v>2</v>
      </c>
      <c r="O127" s="33"/>
      <c r="AD127" s="77"/>
    </row>
    <row r="128" spans="1:30" ht="15.75" customHeight="1" thickBot="1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3.8" thickBot="1">
      <c r="A129" s="6"/>
      <c r="B129" s="7"/>
      <c r="C129" s="43"/>
      <c r="D129" s="43"/>
      <c r="E129" s="47" t="s">
        <v>10</v>
      </c>
      <c r="F129" s="7">
        <f>VLOOKUP(B127,Schlüssel!$A$5:$DZ$12,33)</f>
        <v>15</v>
      </c>
      <c r="G129" s="51" t="s">
        <v>10</v>
      </c>
      <c r="H129" s="7">
        <f>VLOOKUP(B127,Schlüssel!$A$5:$DZ$12,34)</f>
        <v>11</v>
      </c>
      <c r="I129" s="51" t="s">
        <v>10</v>
      </c>
      <c r="J129" s="7">
        <f>VLOOKUP(B127,Schlüssel!$A$5:$DZ$12,35)</f>
        <v>15</v>
      </c>
      <c r="K129" s="51" t="s">
        <v>10</v>
      </c>
      <c r="L129" s="7">
        <f>VLOOKUP(B127,Schlüssel!$A$5:$DZ$12,36)</f>
        <v>12</v>
      </c>
      <c r="M129" s="51" t="s">
        <v>10</v>
      </c>
      <c r="N129" s="57">
        <f>VLOOKUP(B127,Schlüssel!$A$5:$DZ$12,37)</f>
        <v>16</v>
      </c>
    </row>
    <row r="130" spans="1:16" ht="20.25" customHeight="1">
      <c r="B130" s="44" t="s">
        <v>1</v>
      </c>
      <c r="C130" s="45"/>
      <c r="D130" s="45"/>
      <c r="E130" s="407" t="s">
        <v>1793</v>
      </c>
      <c r="F130" s="408"/>
      <c r="G130" s="407" t="s">
        <v>1794</v>
      </c>
      <c r="H130" s="408"/>
      <c r="I130" s="407" t="s">
        <v>1795</v>
      </c>
      <c r="J130" s="408"/>
      <c r="K130" s="407" t="s">
        <v>1796</v>
      </c>
      <c r="L130" s="408"/>
      <c r="M130" s="407" t="s">
        <v>1797</v>
      </c>
      <c r="N130" s="408"/>
      <c r="O130" s="409" t="s">
        <v>1792</v>
      </c>
      <c r="P130" s="410"/>
    </row>
    <row r="131" spans="1:16" ht="15" customHeight="1" thickBot="1">
      <c r="B131" s="9" t="s">
        <v>1798</v>
      </c>
      <c r="C131" s="48" t="s">
        <v>1799</v>
      </c>
      <c r="D131" s="48" t="s">
        <v>2264</v>
      </c>
      <c r="E131" s="49" t="s">
        <v>1800</v>
      </c>
      <c r="F131" s="49" t="s">
        <v>1801</v>
      </c>
      <c r="G131" s="49" t="s">
        <v>1800</v>
      </c>
      <c r="H131" s="49" t="s">
        <v>1801</v>
      </c>
      <c r="I131" s="49" t="s">
        <v>1800</v>
      </c>
      <c r="J131" s="49" t="s">
        <v>1801</v>
      </c>
      <c r="K131" s="49" t="s">
        <v>1800</v>
      </c>
      <c r="L131" s="49" t="s">
        <v>1801</v>
      </c>
      <c r="M131" s="49" t="s">
        <v>1800</v>
      </c>
      <c r="N131" s="49" t="s">
        <v>1801</v>
      </c>
      <c r="O131" s="49" t="s">
        <v>1800</v>
      </c>
      <c r="P131" s="10" t="s">
        <v>1801</v>
      </c>
    </row>
    <row r="132" spans="1:16" ht="16.95" customHeight="1">
      <c r="A132" s="403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14"/>
      <c r="F132" s="400"/>
      <c r="G132" s="14"/>
      <c r="H132" s="400"/>
      <c r="I132" s="14"/>
      <c r="J132" s="400"/>
      <c r="K132" s="14"/>
      <c r="L132" s="400"/>
      <c r="M132" s="14"/>
      <c r="N132" s="400"/>
      <c r="O132" s="14"/>
      <c r="P132" s="400"/>
    </row>
    <row r="133" spans="1:16" ht="16.95" customHeight="1">
      <c r="A133" s="404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15"/>
      <c r="F133" s="401"/>
      <c r="G133" s="15"/>
      <c r="H133" s="401"/>
      <c r="I133" s="15"/>
      <c r="J133" s="401"/>
      <c r="K133" s="15"/>
      <c r="L133" s="401"/>
      <c r="M133" s="15"/>
      <c r="N133" s="401"/>
      <c r="O133" s="15"/>
      <c r="P133" s="401"/>
    </row>
    <row r="134" spans="1:16" ht="16.95" customHeight="1" thickBot="1">
      <c r="A134" s="405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9"/>
      <c r="F134" s="402"/>
      <c r="G134" s="9"/>
      <c r="H134" s="402"/>
      <c r="I134" s="9"/>
      <c r="J134" s="402"/>
      <c r="K134" s="9"/>
      <c r="L134" s="402"/>
      <c r="M134" s="9"/>
      <c r="N134" s="402"/>
      <c r="O134" s="9"/>
      <c r="P134" s="402"/>
    </row>
    <row r="135" spans="1:16" ht="16.95" customHeight="1">
      <c r="A135" s="403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14"/>
      <c r="F135" s="400"/>
      <c r="G135" s="14"/>
      <c r="H135" s="400"/>
      <c r="I135" s="14"/>
      <c r="J135" s="400"/>
      <c r="K135" s="14"/>
      <c r="L135" s="400"/>
      <c r="M135" s="14"/>
      <c r="N135" s="400"/>
      <c r="O135" s="14"/>
      <c r="P135" s="400"/>
    </row>
    <row r="136" spans="1:16" ht="16.95" customHeight="1">
      <c r="A136" s="404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15"/>
      <c r="F136" s="401"/>
      <c r="G136" s="15"/>
      <c r="H136" s="401"/>
      <c r="I136" s="15"/>
      <c r="J136" s="401"/>
      <c r="K136" s="15"/>
      <c r="L136" s="401"/>
      <c r="M136" s="15"/>
      <c r="N136" s="401"/>
      <c r="O136" s="15"/>
      <c r="P136" s="401"/>
    </row>
    <row r="137" spans="1:16" ht="16.95" customHeight="1" thickBot="1">
      <c r="A137" s="405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9"/>
      <c r="F137" s="402"/>
      <c r="G137" s="9"/>
      <c r="H137" s="402"/>
      <c r="I137" s="9"/>
      <c r="J137" s="402"/>
      <c r="K137" s="9"/>
      <c r="L137" s="402"/>
      <c r="M137" s="9"/>
      <c r="N137" s="402"/>
      <c r="O137" s="9"/>
      <c r="P137" s="402"/>
    </row>
    <row r="138" spans="1:16" ht="16.95" customHeight="1">
      <c r="A138" s="403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14"/>
      <c r="F138" s="400"/>
      <c r="G138" s="14"/>
      <c r="H138" s="400"/>
      <c r="I138" s="14"/>
      <c r="J138" s="400"/>
      <c r="K138" s="14"/>
      <c r="L138" s="400"/>
      <c r="M138" s="14"/>
      <c r="N138" s="400"/>
      <c r="O138" s="14"/>
      <c r="P138" s="400"/>
    </row>
    <row r="139" spans="1:16" ht="16.95" customHeight="1">
      <c r="A139" s="404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15"/>
      <c r="F139" s="401"/>
      <c r="G139" s="15"/>
      <c r="H139" s="401"/>
      <c r="I139" s="15"/>
      <c r="J139" s="401"/>
      <c r="K139" s="15"/>
      <c r="L139" s="401"/>
      <c r="M139" s="15"/>
      <c r="N139" s="401"/>
      <c r="O139" s="15"/>
      <c r="P139" s="401"/>
    </row>
    <row r="140" spans="1:16" ht="16.95" customHeight="1" thickBot="1">
      <c r="A140" s="405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9"/>
      <c r="F140" s="402"/>
      <c r="G140" s="9"/>
      <c r="H140" s="402"/>
      <c r="I140" s="9"/>
      <c r="J140" s="402"/>
      <c r="K140" s="9"/>
      <c r="L140" s="402"/>
      <c r="M140" s="9"/>
      <c r="N140" s="402"/>
      <c r="O140" s="9"/>
      <c r="P140" s="402"/>
    </row>
    <row r="141" spans="1:16" ht="27.75" customHeight="1" thickBot="1">
      <c r="B141" s="11"/>
      <c r="C141" s="25"/>
      <c r="D141" s="204"/>
      <c r="E141" s="16"/>
      <c r="F141" s="12"/>
      <c r="G141" s="16"/>
      <c r="H141" s="12"/>
      <c r="I141" s="16"/>
      <c r="J141" s="12"/>
      <c r="K141" s="16"/>
      <c r="L141" s="12"/>
      <c r="M141" s="16"/>
      <c r="N141" s="12"/>
      <c r="O141" s="16"/>
      <c r="P141" s="12"/>
    </row>
    <row r="142" spans="1:16" ht="24" customHeight="1" thickBot="1">
      <c r="B142" s="8"/>
      <c r="C142" s="1"/>
      <c r="D142" s="1"/>
      <c r="E142" s="1"/>
      <c r="F142" s="23"/>
      <c r="G142" s="1"/>
      <c r="H142" s="23"/>
      <c r="I142" s="1"/>
      <c r="J142" s="23"/>
      <c r="K142" s="1"/>
      <c r="L142" s="23"/>
      <c r="M142" s="1"/>
      <c r="N142" s="23"/>
      <c r="O142" s="1"/>
      <c r="P142" s="23"/>
    </row>
    <row r="143" spans="1:16" ht="11.25" customHeight="1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>
      <c r="B144" s="13" t="s">
        <v>1790</v>
      </c>
      <c r="C144" s="5" t="s">
        <v>1791</v>
      </c>
      <c r="D144" s="42"/>
      <c r="E144" s="398">
        <f>VLOOKUP(B127,Schlüssel!$A$5:$DZ$12,23)</f>
        <v>7</v>
      </c>
      <c r="F144" s="398"/>
      <c r="G144" s="398">
        <f>VLOOKUP(B127,Schlüssel!$A$5:$DZ$12,24)</f>
        <v>1</v>
      </c>
      <c r="H144" s="398"/>
      <c r="I144" s="398">
        <f>VLOOKUP(B127,Schlüssel!$A$5:$DZ$12,25)</f>
        <v>8</v>
      </c>
      <c r="J144" s="398"/>
      <c r="K144" s="398">
        <f>VLOOKUP(B127,Schlüssel!$A$5:$DZ$12,26)</f>
        <v>2</v>
      </c>
      <c r="L144" s="398"/>
      <c r="M144" s="398">
        <f>VLOOKUP(B127,Schlüssel!$A$5:$DZ$12,27)</f>
        <v>3</v>
      </c>
      <c r="N144" s="398"/>
      <c r="O144" s="399"/>
      <c r="P144" s="399"/>
    </row>
    <row r="145" spans="1:30" ht="28.5" customHeight="1">
      <c r="B145" s="4"/>
      <c r="C145" s="1"/>
      <c r="D145" s="1"/>
      <c r="E145" s="395" t="str">
        <f>VLOOKUP(E144,Schlüssel!$A$5:$K$12,2)</f>
        <v>BK München 1</v>
      </c>
      <c r="F145" s="396"/>
      <c r="G145" s="395" t="str">
        <f>VLOOKUP(G144,Schlüssel!$A$5:$K$12,2)</f>
        <v>Bad Tölz 1</v>
      </c>
      <c r="H145" s="396"/>
      <c r="I145" s="395" t="str">
        <f>VLOOKUP(I144,Schlüssel!$A$5:$K$12,2)</f>
        <v>EMAX 1</v>
      </c>
      <c r="J145" s="396"/>
      <c r="K145" s="395" t="str">
        <f>VLOOKUP(K144,Schlüssel!$A$5:$K$12,2)</f>
        <v>Highroller Rosenheim 1</v>
      </c>
      <c r="L145" s="396"/>
      <c r="M145" s="395" t="str">
        <f>VLOOKUP(M144,Schlüssel!$A$5:$K$12,2)</f>
        <v>Highroller Rosenheim 2</v>
      </c>
      <c r="N145" s="396"/>
      <c r="O145" s="397"/>
      <c r="P145" s="397"/>
    </row>
    <row r="146" spans="1:30" ht="12" customHeight="1">
      <c r="B146" s="4"/>
      <c r="C146" s="1"/>
      <c r="D146" s="1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53"/>
      <c r="P146" s="353"/>
    </row>
    <row r="147" spans="1:30" ht="16.2" customHeight="1">
      <c r="B147" s="39" t="s">
        <v>0</v>
      </c>
      <c r="C147" s="40"/>
      <c r="D147" s="40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3"/>
      <c r="P147" s="393"/>
    </row>
    <row r="148" spans="1:30" ht="16.2" customHeight="1">
      <c r="B148" s="39" t="s">
        <v>2</v>
      </c>
      <c r="C148" s="40"/>
      <c r="D148" s="40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3"/>
      <c r="P148" s="393"/>
    </row>
    <row r="149" spans="1:30" ht="16.2" customHeight="1">
      <c r="B149" s="39" t="s">
        <v>3</v>
      </c>
      <c r="C149" s="40"/>
      <c r="D149" s="40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3"/>
      <c r="P149" s="393"/>
    </row>
    <row r="150" spans="1:30" ht="16.2" customHeight="1">
      <c r="B150" s="41" t="s">
        <v>1792</v>
      </c>
      <c r="C150" s="42"/>
      <c r="D150" s="42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41"/>
      <c r="P150" s="341"/>
    </row>
    <row r="151" spans="1:30" ht="21" customHeight="1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6">
        <f>Schlüssel!$AG$1</f>
        <v>45717</v>
      </c>
      <c r="N151" s="406"/>
      <c r="O151" s="406"/>
      <c r="AD151" s="76"/>
    </row>
    <row r="152" spans="1:30" ht="17.25" customHeight="1" thickBot="1">
      <c r="A152" s="53"/>
      <c r="B152" s="54">
        <f>+B127+1</f>
        <v>7</v>
      </c>
      <c r="C152" s="35" t="s">
        <v>1787</v>
      </c>
      <c r="D152" s="35"/>
      <c r="E152" s="72" t="str">
        <f>Schlüssel!$W$2</f>
        <v>Unterföhring Dreambowl Palace</v>
      </c>
      <c r="G152" s="66"/>
      <c r="H152" s="66"/>
      <c r="I152" s="66"/>
      <c r="J152" s="66"/>
      <c r="L152" s="66"/>
      <c r="M152" s="34" t="s">
        <v>1785</v>
      </c>
      <c r="N152" s="38">
        <v>2</v>
      </c>
      <c r="O152" s="33"/>
      <c r="AD152" s="77"/>
    </row>
    <row r="153" spans="1:30" ht="15.75" customHeight="1" thickBot="1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3.8" thickBot="1">
      <c r="A154" s="6"/>
      <c r="B154" s="7"/>
      <c r="C154" s="43"/>
      <c r="D154" s="43"/>
      <c r="E154" s="47" t="s">
        <v>10</v>
      </c>
      <c r="F154" s="7">
        <f>VLOOKUP(B152,Schlüssel!$A$5:$DZ$12,33)</f>
        <v>16</v>
      </c>
      <c r="G154" s="51" t="s">
        <v>10</v>
      </c>
      <c r="H154" s="7">
        <f>VLOOKUP(B152,Schlüssel!$A$5:$DZ$12,34)</f>
        <v>10</v>
      </c>
      <c r="I154" s="51" t="s">
        <v>10</v>
      </c>
      <c r="J154" s="7">
        <f>VLOOKUP(B152,Schlüssel!$A$5:$DZ$12,35)</f>
        <v>14</v>
      </c>
      <c r="K154" s="51" t="s">
        <v>10</v>
      </c>
      <c r="L154" s="7">
        <f>VLOOKUP(B152,Schlüssel!$A$5:$DZ$12,36)</f>
        <v>9</v>
      </c>
      <c r="M154" s="51" t="s">
        <v>10</v>
      </c>
      <c r="N154" s="57">
        <f>VLOOKUP(B152,Schlüssel!$A$5:$DZ$12,37)</f>
        <v>13</v>
      </c>
    </row>
    <row r="155" spans="1:30" ht="20.25" customHeight="1">
      <c r="B155" s="44" t="s">
        <v>1</v>
      </c>
      <c r="C155" s="45"/>
      <c r="D155" s="45"/>
      <c r="E155" s="407" t="s">
        <v>1793</v>
      </c>
      <c r="F155" s="408"/>
      <c r="G155" s="407" t="s">
        <v>1794</v>
      </c>
      <c r="H155" s="408"/>
      <c r="I155" s="407" t="s">
        <v>1795</v>
      </c>
      <c r="J155" s="408"/>
      <c r="K155" s="407" t="s">
        <v>1796</v>
      </c>
      <c r="L155" s="408"/>
      <c r="M155" s="407" t="s">
        <v>1797</v>
      </c>
      <c r="N155" s="408"/>
      <c r="O155" s="409" t="s">
        <v>1792</v>
      </c>
      <c r="P155" s="410"/>
    </row>
    <row r="156" spans="1:30" ht="15" customHeight="1" thickBot="1">
      <c r="B156" s="9" t="s">
        <v>1798</v>
      </c>
      <c r="C156" s="48" t="s">
        <v>1799</v>
      </c>
      <c r="D156" s="48" t="s">
        <v>2264</v>
      </c>
      <c r="E156" s="49" t="s">
        <v>1800</v>
      </c>
      <c r="F156" s="49" t="s">
        <v>1801</v>
      </c>
      <c r="G156" s="49" t="s">
        <v>1800</v>
      </c>
      <c r="H156" s="49" t="s">
        <v>1801</v>
      </c>
      <c r="I156" s="49" t="s">
        <v>1800</v>
      </c>
      <c r="J156" s="49" t="s">
        <v>1801</v>
      </c>
      <c r="K156" s="49" t="s">
        <v>1800</v>
      </c>
      <c r="L156" s="49" t="s">
        <v>1801</v>
      </c>
      <c r="M156" s="49" t="s">
        <v>1800</v>
      </c>
      <c r="N156" s="49" t="s">
        <v>1801</v>
      </c>
      <c r="O156" s="49" t="s">
        <v>1800</v>
      </c>
      <c r="P156" s="10" t="s">
        <v>1801</v>
      </c>
    </row>
    <row r="157" spans="1:30" ht="16.95" customHeight="1">
      <c r="A157" s="403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14"/>
      <c r="F157" s="400"/>
      <c r="G157" s="14"/>
      <c r="H157" s="400"/>
      <c r="I157" s="14"/>
      <c r="J157" s="400"/>
      <c r="K157" s="14"/>
      <c r="L157" s="400"/>
      <c r="M157" s="14"/>
      <c r="N157" s="400"/>
      <c r="O157" s="14"/>
      <c r="P157" s="400"/>
    </row>
    <row r="158" spans="1:30" ht="16.95" customHeight="1">
      <c r="A158" s="404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15"/>
      <c r="F158" s="401"/>
      <c r="G158" s="15"/>
      <c r="H158" s="401"/>
      <c r="I158" s="15"/>
      <c r="J158" s="401"/>
      <c r="K158" s="15"/>
      <c r="L158" s="401"/>
      <c r="M158" s="15"/>
      <c r="N158" s="401"/>
      <c r="O158" s="15"/>
      <c r="P158" s="401"/>
    </row>
    <row r="159" spans="1:30" ht="16.95" customHeight="1" thickBot="1">
      <c r="A159" s="405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9"/>
      <c r="F159" s="402"/>
      <c r="G159" s="9"/>
      <c r="H159" s="402"/>
      <c r="I159" s="9"/>
      <c r="J159" s="402"/>
      <c r="K159" s="9"/>
      <c r="L159" s="402"/>
      <c r="M159" s="9"/>
      <c r="N159" s="402"/>
      <c r="O159" s="9"/>
      <c r="P159" s="402"/>
    </row>
    <row r="160" spans="1:30" ht="16.95" customHeight="1">
      <c r="A160" s="403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14"/>
      <c r="F160" s="400"/>
      <c r="G160" s="14"/>
      <c r="H160" s="400"/>
      <c r="I160" s="14"/>
      <c r="J160" s="400"/>
      <c r="K160" s="14"/>
      <c r="L160" s="400"/>
      <c r="M160" s="14"/>
      <c r="N160" s="400"/>
      <c r="O160" s="14"/>
      <c r="P160" s="400"/>
    </row>
    <row r="161" spans="1:30" ht="16.95" customHeight="1">
      <c r="A161" s="404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15"/>
      <c r="F161" s="401"/>
      <c r="G161" s="15"/>
      <c r="H161" s="401"/>
      <c r="I161" s="15"/>
      <c r="J161" s="401"/>
      <c r="K161" s="15"/>
      <c r="L161" s="401"/>
      <c r="M161" s="15"/>
      <c r="N161" s="401"/>
      <c r="O161" s="15"/>
      <c r="P161" s="401"/>
    </row>
    <row r="162" spans="1:30" ht="16.95" customHeight="1" thickBot="1">
      <c r="A162" s="405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9"/>
      <c r="F162" s="402"/>
      <c r="G162" s="9"/>
      <c r="H162" s="402"/>
      <c r="I162" s="9"/>
      <c r="J162" s="402"/>
      <c r="K162" s="9"/>
      <c r="L162" s="402"/>
      <c r="M162" s="9"/>
      <c r="N162" s="402"/>
      <c r="O162" s="9"/>
      <c r="P162" s="402"/>
    </row>
    <row r="163" spans="1:30" ht="16.95" customHeight="1">
      <c r="A163" s="403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14"/>
      <c r="F163" s="400"/>
      <c r="G163" s="14"/>
      <c r="H163" s="400"/>
      <c r="I163" s="14"/>
      <c r="J163" s="400"/>
      <c r="K163" s="14"/>
      <c r="L163" s="400"/>
      <c r="M163" s="14"/>
      <c r="N163" s="400"/>
      <c r="O163" s="14"/>
      <c r="P163" s="400"/>
    </row>
    <row r="164" spans="1:30" ht="16.95" customHeight="1">
      <c r="A164" s="404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15"/>
      <c r="F164" s="401"/>
      <c r="G164" s="15"/>
      <c r="H164" s="401"/>
      <c r="I164" s="15"/>
      <c r="J164" s="401"/>
      <c r="K164" s="15"/>
      <c r="L164" s="401"/>
      <c r="M164" s="15"/>
      <c r="N164" s="401"/>
      <c r="O164" s="15"/>
      <c r="P164" s="401"/>
    </row>
    <row r="165" spans="1:30" ht="16.95" customHeight="1" thickBot="1">
      <c r="A165" s="405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9"/>
      <c r="F165" s="402"/>
      <c r="G165" s="9"/>
      <c r="H165" s="402"/>
      <c r="I165" s="9"/>
      <c r="J165" s="402"/>
      <c r="K165" s="9"/>
      <c r="L165" s="402"/>
      <c r="M165" s="9"/>
      <c r="N165" s="402"/>
      <c r="O165" s="9"/>
      <c r="P165" s="402"/>
    </row>
    <row r="166" spans="1:30" ht="27.75" customHeight="1" thickBot="1">
      <c r="B166" s="11"/>
      <c r="C166" s="25"/>
      <c r="D166" s="204"/>
      <c r="E166" s="16"/>
      <c r="F166" s="12"/>
      <c r="G166" s="16"/>
      <c r="H166" s="12"/>
      <c r="I166" s="16"/>
      <c r="J166" s="12"/>
      <c r="K166" s="16"/>
      <c r="L166" s="12"/>
      <c r="M166" s="16"/>
      <c r="N166" s="12"/>
      <c r="O166" s="16"/>
      <c r="P166" s="12"/>
    </row>
    <row r="167" spans="1:30" ht="24" customHeight="1" thickBot="1">
      <c r="B167" s="8"/>
      <c r="C167" s="1"/>
      <c r="D167" s="1"/>
      <c r="E167" s="1"/>
      <c r="F167" s="23"/>
      <c r="G167" s="1"/>
      <c r="H167" s="23"/>
      <c r="I167" s="1"/>
      <c r="J167" s="23"/>
      <c r="K167" s="1"/>
      <c r="L167" s="23"/>
      <c r="M167" s="1"/>
      <c r="N167" s="23"/>
      <c r="O167" s="1"/>
      <c r="P167" s="23"/>
    </row>
    <row r="168" spans="1:30" ht="11.25" customHeight="1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>
      <c r="B169" s="13" t="s">
        <v>1790</v>
      </c>
      <c r="C169" s="5" t="s">
        <v>1791</v>
      </c>
      <c r="D169" s="42"/>
      <c r="E169" s="398">
        <f>VLOOKUP(B152,Schlüssel!$A$5:$DZ$12,23)</f>
        <v>6</v>
      </c>
      <c r="F169" s="398"/>
      <c r="G169" s="398">
        <f>VLOOKUP(B152,Schlüssel!$A$5:$DZ$12,24)</f>
        <v>4</v>
      </c>
      <c r="H169" s="398"/>
      <c r="I169" s="398">
        <f>VLOOKUP(B152,Schlüssel!$A$5:$DZ$12,25)</f>
        <v>5</v>
      </c>
      <c r="J169" s="398"/>
      <c r="K169" s="398">
        <f>VLOOKUP(B152,Schlüssel!$A$5:$DZ$12,26)</f>
        <v>3</v>
      </c>
      <c r="L169" s="398"/>
      <c r="M169" s="398">
        <f>VLOOKUP(B152,Schlüssel!$A$5:$DZ$12,27)</f>
        <v>2</v>
      </c>
      <c r="N169" s="398"/>
      <c r="O169" s="399"/>
      <c r="P169" s="399"/>
    </row>
    <row r="170" spans="1:30" ht="28.5" customHeight="1">
      <c r="B170" s="4"/>
      <c r="C170" s="1"/>
      <c r="D170" s="1"/>
      <c r="E170" s="395" t="str">
        <f>VLOOKUP(E169,Schlüssel!$A$5:$K$12,2)</f>
        <v>Bowling Jugend Bayern 1</v>
      </c>
      <c r="F170" s="396"/>
      <c r="G170" s="395" t="str">
        <f>VLOOKUP(G169,Schlüssel!$A$5:$K$12,2)</f>
        <v>Highroller Rosenheim 3</v>
      </c>
      <c r="H170" s="396"/>
      <c r="I170" s="395" t="str">
        <f>VLOOKUP(I169,Schlüssel!$A$5:$K$12,2)</f>
        <v>Berchtesgaden 1</v>
      </c>
      <c r="J170" s="396"/>
      <c r="K170" s="395" t="str">
        <f>VLOOKUP(K169,Schlüssel!$A$5:$K$12,2)</f>
        <v>Highroller Rosenheim 2</v>
      </c>
      <c r="L170" s="396"/>
      <c r="M170" s="395" t="str">
        <f>VLOOKUP(M169,Schlüssel!$A$5:$K$12,2)</f>
        <v>Highroller Rosenheim 1</v>
      </c>
      <c r="N170" s="396"/>
      <c r="O170" s="397"/>
      <c r="P170" s="397"/>
    </row>
    <row r="171" spans="1:30" ht="12" customHeight="1">
      <c r="B171" s="4"/>
      <c r="C171" s="1"/>
      <c r="D171" s="1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53"/>
      <c r="P171" s="353"/>
    </row>
    <row r="172" spans="1:30" ht="16.2" customHeight="1">
      <c r="B172" s="39" t="s">
        <v>0</v>
      </c>
      <c r="C172" s="40"/>
      <c r="D172" s="40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/>
      <c r="O172" s="393"/>
      <c r="P172" s="393"/>
    </row>
    <row r="173" spans="1:30" ht="16.2" customHeight="1">
      <c r="B173" s="39" t="s">
        <v>2</v>
      </c>
      <c r="C173" s="40"/>
      <c r="D173" s="40"/>
      <c r="E173" s="392"/>
      <c r="F173" s="392"/>
      <c r="G173" s="392"/>
      <c r="H173" s="392"/>
      <c r="I173" s="392"/>
      <c r="J173" s="392"/>
      <c r="K173" s="392"/>
      <c r="L173" s="392"/>
      <c r="M173" s="392"/>
      <c r="N173" s="392"/>
      <c r="O173" s="393"/>
      <c r="P173" s="393"/>
    </row>
    <row r="174" spans="1:30" ht="16.2" customHeight="1">
      <c r="B174" s="39" t="s">
        <v>3</v>
      </c>
      <c r="C174" s="40"/>
      <c r="D174" s="40"/>
      <c r="E174" s="392"/>
      <c r="F174" s="392"/>
      <c r="G174" s="392"/>
      <c r="H174" s="392"/>
      <c r="I174" s="392"/>
      <c r="J174" s="392"/>
      <c r="K174" s="392"/>
      <c r="L174" s="392"/>
      <c r="M174" s="392"/>
      <c r="N174" s="392"/>
      <c r="O174" s="393"/>
      <c r="P174" s="393"/>
    </row>
    <row r="175" spans="1:30" ht="16.2" customHeight="1">
      <c r="B175" s="41" t="s">
        <v>1792</v>
      </c>
      <c r="C175" s="42"/>
      <c r="D175" s="42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41"/>
      <c r="P175" s="341"/>
    </row>
    <row r="176" spans="1:30" ht="21" customHeight="1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6">
        <f>Schlüssel!$AG$1</f>
        <v>45717</v>
      </c>
      <c r="N176" s="406"/>
      <c r="O176" s="406"/>
      <c r="AD176" s="76"/>
    </row>
    <row r="177" spans="1:30" ht="17.25" customHeight="1" thickBot="1">
      <c r="A177" s="53"/>
      <c r="B177" s="54">
        <f>+B152+1</f>
        <v>8</v>
      </c>
      <c r="C177" s="35" t="s">
        <v>1787</v>
      </c>
      <c r="D177" s="35"/>
      <c r="E177" s="72" t="str">
        <f>Schlüssel!$W$2</f>
        <v>Unterföhring Dreambowl Palace</v>
      </c>
      <c r="G177" s="66"/>
      <c r="H177" s="66"/>
      <c r="I177" s="66"/>
      <c r="J177" s="66"/>
      <c r="L177" s="66"/>
      <c r="M177" s="34" t="s">
        <v>1785</v>
      </c>
      <c r="N177" s="38">
        <v>2</v>
      </c>
      <c r="O177" s="33"/>
      <c r="AD177" s="77"/>
    </row>
    <row r="178" spans="1:30" ht="15.75" customHeight="1" thickBot="1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3.8" thickBot="1">
      <c r="A179" s="6"/>
      <c r="B179" s="7"/>
      <c r="C179" s="43"/>
      <c r="D179" s="43"/>
      <c r="E179" s="47" t="s">
        <v>10</v>
      </c>
      <c r="F179" s="7">
        <f>VLOOKUP(B177,Schlüssel!$A$5:$DZ$12,33)</f>
        <v>11</v>
      </c>
      <c r="G179" s="51" t="s">
        <v>10</v>
      </c>
      <c r="H179" s="7">
        <f>VLOOKUP(B177,Schlüssel!$A$5:$DZ$12,34)</f>
        <v>13</v>
      </c>
      <c r="I179" s="51" t="s">
        <v>10</v>
      </c>
      <c r="J179" s="7">
        <f>VLOOKUP(B177,Schlüssel!$A$5:$DZ$12,35)</f>
        <v>16</v>
      </c>
      <c r="K179" s="51" t="s">
        <v>10</v>
      </c>
      <c r="L179" s="7">
        <f>VLOOKUP(B177,Schlüssel!$A$5:$DZ$12,36)</f>
        <v>14</v>
      </c>
      <c r="M179" s="51" t="s">
        <v>10</v>
      </c>
      <c r="N179" s="57">
        <f>VLOOKUP(B177,Schlüssel!$A$5:$DZ$12,37)</f>
        <v>11</v>
      </c>
    </row>
    <row r="180" spans="1:30" ht="20.25" customHeight="1">
      <c r="B180" s="44" t="s">
        <v>1</v>
      </c>
      <c r="C180" s="45"/>
      <c r="D180" s="45"/>
      <c r="E180" s="407" t="s">
        <v>1793</v>
      </c>
      <c r="F180" s="408"/>
      <c r="G180" s="407" t="s">
        <v>1794</v>
      </c>
      <c r="H180" s="408"/>
      <c r="I180" s="407" t="s">
        <v>1795</v>
      </c>
      <c r="J180" s="408"/>
      <c r="K180" s="407" t="s">
        <v>1796</v>
      </c>
      <c r="L180" s="408"/>
      <c r="M180" s="407" t="s">
        <v>1797</v>
      </c>
      <c r="N180" s="408"/>
      <c r="O180" s="409" t="s">
        <v>1792</v>
      </c>
      <c r="P180" s="410"/>
    </row>
    <row r="181" spans="1:30" ht="15" customHeight="1" thickBot="1">
      <c r="B181" s="9" t="s">
        <v>1798</v>
      </c>
      <c r="C181" s="48" t="s">
        <v>1799</v>
      </c>
      <c r="D181" s="48" t="s">
        <v>2264</v>
      </c>
      <c r="E181" s="49" t="s">
        <v>1800</v>
      </c>
      <c r="F181" s="49" t="s">
        <v>1801</v>
      </c>
      <c r="G181" s="49" t="s">
        <v>1800</v>
      </c>
      <c r="H181" s="49" t="s">
        <v>1801</v>
      </c>
      <c r="I181" s="49" t="s">
        <v>1800</v>
      </c>
      <c r="J181" s="49" t="s">
        <v>1801</v>
      </c>
      <c r="K181" s="49" t="s">
        <v>1800</v>
      </c>
      <c r="L181" s="49" t="s">
        <v>1801</v>
      </c>
      <c r="M181" s="49" t="s">
        <v>1800</v>
      </c>
      <c r="N181" s="49" t="s">
        <v>1801</v>
      </c>
      <c r="O181" s="49" t="s">
        <v>1800</v>
      </c>
      <c r="P181" s="10" t="s">
        <v>1801</v>
      </c>
    </row>
    <row r="182" spans="1:30" ht="16.95" customHeight="1">
      <c r="A182" s="403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14"/>
      <c r="F182" s="400"/>
      <c r="G182" s="14"/>
      <c r="H182" s="400"/>
      <c r="I182" s="14"/>
      <c r="J182" s="400"/>
      <c r="K182" s="14"/>
      <c r="L182" s="400"/>
      <c r="M182" s="14"/>
      <c r="N182" s="400"/>
      <c r="O182" s="14"/>
      <c r="P182" s="400"/>
    </row>
    <row r="183" spans="1:30" ht="16.95" customHeight="1">
      <c r="A183" s="404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15"/>
      <c r="F183" s="401"/>
      <c r="G183" s="15"/>
      <c r="H183" s="401"/>
      <c r="I183" s="15"/>
      <c r="J183" s="401"/>
      <c r="K183" s="15"/>
      <c r="L183" s="401"/>
      <c r="M183" s="15"/>
      <c r="N183" s="401"/>
      <c r="O183" s="15"/>
      <c r="P183" s="401"/>
    </row>
    <row r="184" spans="1:30" ht="16.95" customHeight="1" thickBot="1">
      <c r="A184" s="405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9"/>
      <c r="F184" s="402"/>
      <c r="G184" s="9"/>
      <c r="H184" s="402"/>
      <c r="I184" s="9"/>
      <c r="J184" s="402"/>
      <c r="K184" s="9"/>
      <c r="L184" s="402"/>
      <c r="M184" s="9"/>
      <c r="N184" s="402"/>
      <c r="O184" s="9"/>
      <c r="P184" s="402"/>
    </row>
    <row r="185" spans="1:30" ht="16.95" customHeight="1">
      <c r="A185" s="403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14"/>
      <c r="F185" s="400"/>
      <c r="G185" s="14"/>
      <c r="H185" s="400"/>
      <c r="I185" s="14"/>
      <c r="J185" s="400"/>
      <c r="K185" s="14"/>
      <c r="L185" s="400"/>
      <c r="M185" s="14"/>
      <c r="N185" s="400"/>
      <c r="O185" s="14"/>
      <c r="P185" s="400"/>
    </row>
    <row r="186" spans="1:30" ht="16.95" customHeight="1">
      <c r="A186" s="404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15"/>
      <c r="F186" s="401"/>
      <c r="G186" s="15"/>
      <c r="H186" s="401"/>
      <c r="I186" s="15"/>
      <c r="J186" s="401"/>
      <c r="K186" s="15"/>
      <c r="L186" s="401"/>
      <c r="M186" s="15"/>
      <c r="N186" s="401"/>
      <c r="O186" s="15"/>
      <c r="P186" s="401"/>
    </row>
    <row r="187" spans="1:30" ht="16.95" customHeight="1" thickBot="1">
      <c r="A187" s="405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9"/>
      <c r="F187" s="402"/>
      <c r="G187" s="9"/>
      <c r="H187" s="402"/>
      <c r="I187" s="9"/>
      <c r="J187" s="402"/>
      <c r="K187" s="9"/>
      <c r="L187" s="402"/>
      <c r="M187" s="9"/>
      <c r="N187" s="402"/>
      <c r="O187" s="9"/>
      <c r="P187" s="402"/>
    </row>
    <row r="188" spans="1:30" ht="16.95" customHeight="1">
      <c r="A188" s="403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14"/>
      <c r="F188" s="400"/>
      <c r="G188" s="14"/>
      <c r="H188" s="400"/>
      <c r="I188" s="14"/>
      <c r="J188" s="400"/>
      <c r="K188" s="14"/>
      <c r="L188" s="400"/>
      <c r="M188" s="14"/>
      <c r="N188" s="400"/>
      <c r="O188" s="14"/>
      <c r="P188" s="400"/>
    </row>
    <row r="189" spans="1:30" ht="16.95" customHeight="1">
      <c r="A189" s="404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15"/>
      <c r="F189" s="401"/>
      <c r="G189" s="15"/>
      <c r="H189" s="401"/>
      <c r="I189" s="15"/>
      <c r="J189" s="401"/>
      <c r="K189" s="15"/>
      <c r="L189" s="401"/>
      <c r="M189" s="15"/>
      <c r="N189" s="401"/>
      <c r="O189" s="15"/>
      <c r="P189" s="401"/>
    </row>
    <row r="190" spans="1:30" ht="16.95" customHeight="1" thickBot="1">
      <c r="A190" s="405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9"/>
      <c r="F190" s="402"/>
      <c r="G190" s="9"/>
      <c r="H190" s="402"/>
      <c r="I190" s="9"/>
      <c r="J190" s="402"/>
      <c r="K190" s="9"/>
      <c r="L190" s="402"/>
      <c r="M190" s="9"/>
      <c r="N190" s="402"/>
      <c r="O190" s="9"/>
      <c r="P190" s="402"/>
    </row>
    <row r="191" spans="1:30" ht="27.75" customHeight="1" thickBot="1">
      <c r="B191" s="11"/>
      <c r="C191" s="25"/>
      <c r="D191" s="204"/>
      <c r="E191" s="16"/>
      <c r="F191" s="12"/>
      <c r="G191" s="16"/>
      <c r="H191" s="12"/>
      <c r="I191" s="16"/>
      <c r="J191" s="12"/>
      <c r="K191" s="16"/>
      <c r="L191" s="12"/>
      <c r="M191" s="16"/>
      <c r="N191" s="12"/>
      <c r="O191" s="16"/>
      <c r="P191" s="12"/>
    </row>
    <row r="192" spans="1:30" ht="24" customHeight="1" thickBot="1">
      <c r="B192" s="8"/>
      <c r="C192" s="1"/>
      <c r="D192" s="1"/>
      <c r="E192" s="1"/>
      <c r="F192" s="23"/>
      <c r="G192" s="1"/>
      <c r="H192" s="23"/>
      <c r="I192" s="1"/>
      <c r="J192" s="23"/>
      <c r="K192" s="1"/>
      <c r="L192" s="23"/>
      <c r="M192" s="1"/>
      <c r="N192" s="23"/>
      <c r="O192" s="1"/>
      <c r="P192" s="23"/>
    </row>
    <row r="193" spans="2:16" ht="11.25" customHeight="1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>
      <c r="B194" s="13" t="s">
        <v>1790</v>
      </c>
      <c r="C194" s="5" t="s">
        <v>1791</v>
      </c>
      <c r="D194" s="42"/>
      <c r="E194" s="398">
        <f>VLOOKUP(B177,Schlüssel!$A$5:$DZ$12,23)</f>
        <v>5</v>
      </c>
      <c r="F194" s="398"/>
      <c r="G194" s="398">
        <f>VLOOKUP(B177,Schlüssel!$A$5:$DZ$12,24)</f>
        <v>2</v>
      </c>
      <c r="H194" s="398"/>
      <c r="I194" s="398">
        <f>VLOOKUP(B177,Schlüssel!$A$5:$DZ$12,25)</f>
        <v>6</v>
      </c>
      <c r="J194" s="398"/>
      <c r="K194" s="398">
        <f>VLOOKUP(B177,Schlüssel!$A$5:$DZ$12,26)</f>
        <v>1</v>
      </c>
      <c r="L194" s="398"/>
      <c r="M194" s="398">
        <f>VLOOKUP(B177,Schlüssel!$A$5:$DZ$12,27)</f>
        <v>4</v>
      </c>
      <c r="N194" s="398"/>
      <c r="O194" s="399"/>
      <c r="P194" s="399"/>
    </row>
    <row r="195" spans="2:16" ht="28.5" customHeight="1">
      <c r="B195" s="4"/>
      <c r="C195" s="1"/>
      <c r="D195" s="1"/>
      <c r="E195" s="395" t="str">
        <f>VLOOKUP(E194,Schlüssel!$A$5:$K$12,2)</f>
        <v>Berchtesgaden 1</v>
      </c>
      <c r="F195" s="396"/>
      <c r="G195" s="395" t="str">
        <f>VLOOKUP(G194,Schlüssel!$A$5:$K$12,2)</f>
        <v>Highroller Rosenheim 1</v>
      </c>
      <c r="H195" s="396"/>
      <c r="I195" s="395" t="str">
        <f>VLOOKUP(I194,Schlüssel!$A$5:$K$12,2)</f>
        <v>Bowling Jugend Bayern 1</v>
      </c>
      <c r="J195" s="396"/>
      <c r="K195" s="395" t="str">
        <f>VLOOKUP(K194,Schlüssel!$A$5:$K$12,2)</f>
        <v>Bad Tölz 1</v>
      </c>
      <c r="L195" s="396"/>
      <c r="M195" s="395" t="str">
        <f>VLOOKUP(M194,Schlüssel!$A$5:$K$12,2)</f>
        <v>Highroller Rosenheim 3</v>
      </c>
      <c r="N195" s="396"/>
      <c r="O195" s="397"/>
      <c r="P195" s="397"/>
    </row>
    <row r="196" spans="2:16" ht="12" customHeight="1">
      <c r="B196" s="4"/>
      <c r="C196" s="1"/>
      <c r="D196" s="1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53"/>
      <c r="P196" s="353"/>
    </row>
    <row r="197" spans="2:16" ht="16.2" customHeight="1">
      <c r="B197" s="39" t="s">
        <v>0</v>
      </c>
      <c r="C197" s="40"/>
      <c r="D197" s="40"/>
      <c r="E197" s="392"/>
      <c r="F197" s="392"/>
      <c r="G197" s="392"/>
      <c r="H197" s="392"/>
      <c r="I197" s="392"/>
      <c r="J197" s="392"/>
      <c r="K197" s="392"/>
      <c r="L197" s="392"/>
      <c r="M197" s="392"/>
      <c r="N197" s="392"/>
      <c r="O197" s="393"/>
      <c r="P197" s="393"/>
    </row>
    <row r="198" spans="2:16" ht="16.2" customHeight="1">
      <c r="B198" s="39" t="s">
        <v>2</v>
      </c>
      <c r="C198" s="40"/>
      <c r="D198" s="40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/>
      <c r="O198" s="393"/>
      <c r="P198" s="393"/>
    </row>
    <row r="199" spans="2:16" ht="16.2" customHeight="1">
      <c r="B199" s="39" t="s">
        <v>3</v>
      </c>
      <c r="C199" s="40"/>
      <c r="D199" s="40"/>
      <c r="E199" s="392"/>
      <c r="F199" s="392"/>
      <c r="G199" s="392"/>
      <c r="H199" s="392"/>
      <c r="I199" s="392"/>
      <c r="J199" s="392"/>
      <c r="K199" s="392"/>
      <c r="L199" s="392"/>
      <c r="M199" s="392"/>
      <c r="N199" s="392"/>
      <c r="O199" s="393"/>
      <c r="P199" s="393"/>
    </row>
    <row r="200" spans="2:16" ht="16.2" customHeight="1">
      <c r="B200" s="41" t="s">
        <v>1792</v>
      </c>
      <c r="C200" s="42"/>
      <c r="D200" s="42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41"/>
      <c r="P200" s="341"/>
    </row>
  </sheetData>
  <sheetProtection password="D19C" sheet="1" objects="1" scenarios="1" formatCells="0" formatColumns="0" formatRows="0"/>
  <mergeCells count="560">
    <mergeCell ref="E24:F24"/>
    <mergeCell ref="G24:H24"/>
    <mergeCell ref="I24:J24"/>
    <mergeCell ref="K24:L24"/>
    <mergeCell ref="M24:N24"/>
    <mergeCell ref="O24:P24"/>
    <mergeCell ref="O25:P25"/>
    <mergeCell ref="E25:F25"/>
    <mergeCell ref="G25:H25"/>
    <mergeCell ref="I25:J25"/>
    <mergeCell ref="K25:L25"/>
    <mergeCell ref="M25:N25"/>
    <mergeCell ref="E22:F22"/>
    <mergeCell ref="G22:H22"/>
    <mergeCell ref="I22:J22"/>
    <mergeCell ref="K22:L22"/>
    <mergeCell ref="M22:N22"/>
    <mergeCell ref="O22:P22"/>
    <mergeCell ref="E23:F23"/>
    <mergeCell ref="G23:H23"/>
    <mergeCell ref="I23:J23"/>
    <mergeCell ref="K23:L23"/>
    <mergeCell ref="M23:N23"/>
    <mergeCell ref="O23:P23"/>
    <mergeCell ref="A10:A12"/>
    <mergeCell ref="F10:F12"/>
    <mergeCell ref="H10:H12"/>
    <mergeCell ref="J10:J12"/>
    <mergeCell ref="A7:A9"/>
    <mergeCell ref="O30:P30"/>
    <mergeCell ref="N10:N12"/>
    <mergeCell ref="P10:P12"/>
    <mergeCell ref="J13:J15"/>
    <mergeCell ref="L13:L15"/>
    <mergeCell ref="F7:F9"/>
    <mergeCell ref="H7:H9"/>
    <mergeCell ref="J7:J9"/>
    <mergeCell ref="L7:L9"/>
    <mergeCell ref="N7:N9"/>
    <mergeCell ref="F13:F15"/>
    <mergeCell ref="E19:F19"/>
    <mergeCell ref="A13:A15"/>
    <mergeCell ref="E20:F20"/>
    <mergeCell ref="G20:H20"/>
    <mergeCell ref="I20:J20"/>
    <mergeCell ref="G19:H19"/>
    <mergeCell ref="I19:J19"/>
    <mergeCell ref="K20:L20"/>
    <mergeCell ref="M1:O1"/>
    <mergeCell ref="L10:L12"/>
    <mergeCell ref="P7:P9"/>
    <mergeCell ref="P13:P15"/>
    <mergeCell ref="O19:P19"/>
    <mergeCell ref="E5:F5"/>
    <mergeCell ref="G5:H5"/>
    <mergeCell ref="I5:J5"/>
    <mergeCell ref="K5:L5"/>
    <mergeCell ref="M5:N5"/>
    <mergeCell ref="E30:F30"/>
    <mergeCell ref="G30:H30"/>
    <mergeCell ref="I30:J30"/>
    <mergeCell ref="K30:L30"/>
    <mergeCell ref="M30:N30"/>
    <mergeCell ref="P32:P34"/>
    <mergeCell ref="O5:P5"/>
    <mergeCell ref="H32:H34"/>
    <mergeCell ref="J32:J34"/>
    <mergeCell ref="L32:L34"/>
    <mergeCell ref="N32:N34"/>
    <mergeCell ref="M26:O26"/>
    <mergeCell ref="K19:L19"/>
    <mergeCell ref="M19:N19"/>
    <mergeCell ref="N13:N15"/>
    <mergeCell ref="H13:H15"/>
    <mergeCell ref="M20:N20"/>
    <mergeCell ref="O20:P20"/>
    <mergeCell ref="E21:F21"/>
    <mergeCell ref="G21:H21"/>
    <mergeCell ref="I21:J21"/>
    <mergeCell ref="K21:L21"/>
    <mergeCell ref="M21:N21"/>
    <mergeCell ref="O21:P21"/>
    <mergeCell ref="P35:P37"/>
    <mergeCell ref="A32:A34"/>
    <mergeCell ref="F32:F34"/>
    <mergeCell ref="P38:P40"/>
    <mergeCell ref="A38:A40"/>
    <mergeCell ref="F38:F40"/>
    <mergeCell ref="H38:H40"/>
    <mergeCell ref="J38:J40"/>
    <mergeCell ref="L38:L40"/>
    <mergeCell ref="N38:N40"/>
    <mergeCell ref="A35:A37"/>
    <mergeCell ref="F35:F37"/>
    <mergeCell ref="H35:H37"/>
    <mergeCell ref="J35:J37"/>
    <mergeCell ref="L35:L37"/>
    <mergeCell ref="N35:N37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O50:P50"/>
    <mergeCell ref="P63:P65"/>
    <mergeCell ref="A63:A65"/>
    <mergeCell ref="F63:F65"/>
    <mergeCell ref="H63:H65"/>
    <mergeCell ref="J63:J65"/>
    <mergeCell ref="L63:L65"/>
    <mergeCell ref="N63:N65"/>
    <mergeCell ref="P57:P59"/>
    <mergeCell ref="A60:A62"/>
    <mergeCell ref="F60:F62"/>
    <mergeCell ref="H60:H62"/>
    <mergeCell ref="J60:J62"/>
    <mergeCell ref="L60:L62"/>
    <mergeCell ref="N60:N62"/>
    <mergeCell ref="P60:P62"/>
    <mergeCell ref="A57:A59"/>
    <mergeCell ref="F57:F59"/>
    <mergeCell ref="H57:H59"/>
    <mergeCell ref="J57:J59"/>
    <mergeCell ref="L57:L59"/>
    <mergeCell ref="N57:N59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O75:P75"/>
    <mergeCell ref="P88:P90"/>
    <mergeCell ref="A88:A90"/>
    <mergeCell ref="F88:F90"/>
    <mergeCell ref="H88:H90"/>
    <mergeCell ref="J88:J90"/>
    <mergeCell ref="L88:L90"/>
    <mergeCell ref="N88:N90"/>
    <mergeCell ref="P82:P84"/>
    <mergeCell ref="A85:A87"/>
    <mergeCell ref="F85:F87"/>
    <mergeCell ref="H85:H87"/>
    <mergeCell ref="J85:J87"/>
    <mergeCell ref="L85:L87"/>
    <mergeCell ref="N85:N87"/>
    <mergeCell ref="P85:P87"/>
    <mergeCell ref="A82:A84"/>
    <mergeCell ref="F82:F84"/>
    <mergeCell ref="H82:H84"/>
    <mergeCell ref="J82:J84"/>
    <mergeCell ref="L82:L84"/>
    <mergeCell ref="N82:N84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O100:P100"/>
    <mergeCell ref="P113:P115"/>
    <mergeCell ref="A113:A115"/>
    <mergeCell ref="F113:F115"/>
    <mergeCell ref="H113:H115"/>
    <mergeCell ref="J113:J115"/>
    <mergeCell ref="L113:L115"/>
    <mergeCell ref="N113:N115"/>
    <mergeCell ref="P107:P109"/>
    <mergeCell ref="A110:A112"/>
    <mergeCell ref="F110:F112"/>
    <mergeCell ref="H110:H112"/>
    <mergeCell ref="J110:J112"/>
    <mergeCell ref="L110:L112"/>
    <mergeCell ref="N110:N112"/>
    <mergeCell ref="P110:P112"/>
    <mergeCell ref="A107:A109"/>
    <mergeCell ref="F107:F109"/>
    <mergeCell ref="H107:H109"/>
    <mergeCell ref="J107:J109"/>
    <mergeCell ref="L107:L109"/>
    <mergeCell ref="N107:N109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O125:P125"/>
    <mergeCell ref="P132:P134"/>
    <mergeCell ref="A135:A137"/>
    <mergeCell ref="F135:F137"/>
    <mergeCell ref="H135:H137"/>
    <mergeCell ref="J135:J137"/>
    <mergeCell ref="L135:L137"/>
    <mergeCell ref="N135:N137"/>
    <mergeCell ref="P135:P137"/>
    <mergeCell ref="A132:A134"/>
    <mergeCell ref="F132:F134"/>
    <mergeCell ref="H132:H134"/>
    <mergeCell ref="J132:J134"/>
    <mergeCell ref="L132:L134"/>
    <mergeCell ref="N132:N134"/>
    <mergeCell ref="E144:F144"/>
    <mergeCell ref="G144:H144"/>
    <mergeCell ref="I144:J144"/>
    <mergeCell ref="K144:L144"/>
    <mergeCell ref="M144:N144"/>
    <mergeCell ref="O144:P144"/>
    <mergeCell ref="P138:P140"/>
    <mergeCell ref="A138:A140"/>
    <mergeCell ref="F138:F140"/>
    <mergeCell ref="H138:H140"/>
    <mergeCell ref="J138:J140"/>
    <mergeCell ref="L138:L140"/>
    <mergeCell ref="N138:N140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M151:O151"/>
    <mergeCell ref="E155:F155"/>
    <mergeCell ref="G155:H155"/>
    <mergeCell ref="I155:J155"/>
    <mergeCell ref="K155:L155"/>
    <mergeCell ref="M155:N155"/>
    <mergeCell ref="O155:P155"/>
    <mergeCell ref="A157:A159"/>
    <mergeCell ref="F157:F159"/>
    <mergeCell ref="H157:H159"/>
    <mergeCell ref="J157:J159"/>
    <mergeCell ref="L157:L159"/>
    <mergeCell ref="N157:N159"/>
    <mergeCell ref="P157:P159"/>
    <mergeCell ref="A160:A162"/>
    <mergeCell ref="F160:F162"/>
    <mergeCell ref="H160:H162"/>
    <mergeCell ref="J160:J162"/>
    <mergeCell ref="L160:L162"/>
    <mergeCell ref="N160:N162"/>
    <mergeCell ref="P160:P162"/>
    <mergeCell ref="A163:A165"/>
    <mergeCell ref="F163:F165"/>
    <mergeCell ref="H163:H165"/>
    <mergeCell ref="J163:J165"/>
    <mergeCell ref="L163:L165"/>
    <mergeCell ref="N163:N165"/>
    <mergeCell ref="P163:P165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A182:A184"/>
    <mergeCell ref="F182:F184"/>
    <mergeCell ref="H182:H184"/>
    <mergeCell ref="J182:J184"/>
    <mergeCell ref="L182:L184"/>
    <mergeCell ref="N182:N184"/>
    <mergeCell ref="P182:P184"/>
    <mergeCell ref="A185:A187"/>
    <mergeCell ref="F185:F187"/>
    <mergeCell ref="H185:H187"/>
    <mergeCell ref="J185:J187"/>
    <mergeCell ref="L185:L187"/>
    <mergeCell ref="N185:N187"/>
    <mergeCell ref="P185:P187"/>
    <mergeCell ref="A188:A190"/>
    <mergeCell ref="F188:F190"/>
    <mergeCell ref="H188:H190"/>
    <mergeCell ref="J188:J190"/>
    <mergeCell ref="L188:L190"/>
    <mergeCell ref="N188:N190"/>
    <mergeCell ref="P188:P190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396" priority="22" stopIfTrue="1" operator="equal">
      <formula>0</formula>
    </cfRule>
  </conditionalFormatting>
  <conditionalFormatting sqref="D32:D40">
    <cfRule type="cellIs" dxfId="395" priority="19" stopIfTrue="1" operator="equal">
      <formula>0</formula>
    </cfRule>
  </conditionalFormatting>
  <conditionalFormatting sqref="D57:D65">
    <cfRule type="cellIs" dxfId="394" priority="16" stopIfTrue="1" operator="equal">
      <formula>0</formula>
    </cfRule>
  </conditionalFormatting>
  <conditionalFormatting sqref="D82:D90">
    <cfRule type="cellIs" dxfId="393" priority="13" stopIfTrue="1" operator="equal">
      <formula>0</formula>
    </cfRule>
  </conditionalFormatting>
  <conditionalFormatting sqref="D107:D115">
    <cfRule type="cellIs" dxfId="392" priority="10" stopIfTrue="1" operator="equal">
      <formula>0</formula>
    </cfRule>
  </conditionalFormatting>
  <conditionalFormatting sqref="D132:D140">
    <cfRule type="cellIs" dxfId="391" priority="7" stopIfTrue="1" operator="equal">
      <formula>0</formula>
    </cfRule>
  </conditionalFormatting>
  <conditionalFormatting sqref="D157:D165">
    <cfRule type="cellIs" dxfId="390" priority="4" stopIfTrue="1" operator="equal">
      <formula>0</formula>
    </cfRule>
  </conditionalFormatting>
  <conditionalFormatting sqref="D182:D190">
    <cfRule type="cellIs" dxfId="389" priority="1" stopIfTrue="1" operator="equal">
      <formula>0</formula>
    </cfRule>
  </conditionalFormatting>
  <printOptions horizontalCentered="1" verticalCentered="1"/>
  <pageMargins left="0" right="0" top="0" bottom="0" header="0" footer="0"/>
  <pageSetup paperSize="9" orientation="landscape" r:id="rId1"/>
  <headerFooter alignWithMargins="0"/>
  <rowBreaks count="7" manualBreakCount="7">
    <brk id="25" max="14" man="1"/>
    <brk id="50" max="14" man="1"/>
    <brk id="75" max="14" man="1"/>
    <brk id="100" max="14" man="1"/>
    <brk id="125" max="14" man="1"/>
    <brk id="150" max="15" man="1"/>
    <brk id="175" max="1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BN208"/>
  <sheetViews>
    <sheetView view="pageBreakPreview" topLeftCell="A31" zoomScaleNormal="100" zoomScaleSheetLayoutView="100" workbookViewId="0">
      <selection activeCell="C48" sqref="C48:T48"/>
    </sheetView>
  </sheetViews>
  <sheetFormatPr baseColWidth="10" defaultRowHeight="13.2"/>
  <cols>
    <col min="1" max="1" width="4.44140625" customWidth="1"/>
    <col min="2" max="2" width="15.6640625" bestFit="1" customWidth="1"/>
    <col min="3" max="3" width="6.44140625" bestFit="1" customWidth="1"/>
    <col min="4" max="4" width="7.44140625" bestFit="1" customWidth="1"/>
    <col min="5" max="5" width="6.33203125" bestFit="1" customWidth="1"/>
    <col min="6" max="6" width="8.33203125" bestFit="1" customWidth="1"/>
    <col min="7" max="7" width="4.44140625" bestFit="1" customWidth="1"/>
    <col min="8" max="8" width="5.6640625" customWidth="1"/>
    <col min="9" max="9" width="8.33203125" bestFit="1" customWidth="1"/>
    <col min="10" max="10" width="4.44140625" bestFit="1" customWidth="1"/>
    <col min="11" max="11" width="5.6640625" customWidth="1"/>
    <col min="12" max="12" width="8.33203125" bestFit="1" customWidth="1"/>
    <col min="13" max="13" width="4.44140625" bestFit="1" customWidth="1"/>
    <col min="14" max="14" width="5.6640625" customWidth="1"/>
    <col min="15" max="15" width="8.33203125" bestFit="1" customWidth="1"/>
    <col min="16" max="16" width="4.44140625" bestFit="1" customWidth="1"/>
    <col min="17" max="17" width="5.6640625" bestFit="1" customWidth="1"/>
    <col min="18" max="18" width="8.33203125" bestFit="1" customWidth="1"/>
    <col min="19" max="19" width="4.44140625" bestFit="1" customWidth="1"/>
    <col min="20" max="20" width="5.44140625" bestFit="1" customWidth="1"/>
    <col min="21" max="21" width="8.33203125" bestFit="1" customWidth="1"/>
    <col min="22" max="22" width="4.4414062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3" width="6" style="169" customWidth="1"/>
    <col min="34" max="35" width="7.44140625" style="169" customWidth="1"/>
    <col min="36" max="36" width="7.44140625" style="169" hidden="1" customWidth="1"/>
    <col min="37" max="37" width="1.33203125" style="169" hidden="1" customWidth="1"/>
    <col min="38" max="38" width="7" style="169" hidden="1" customWidth="1"/>
    <col min="39" max="39" width="7" hidden="1" customWidth="1"/>
    <col min="40" max="40" width="8" hidden="1" customWidth="1"/>
    <col min="41" max="41" width="8.33203125" hidden="1" customWidth="1"/>
    <col min="42" max="42" width="3.44140625" hidden="1" customWidth="1"/>
    <col min="43" max="43" width="5" style="169" hidden="1" customWidth="1"/>
    <col min="44" max="44" width="3.6640625" style="169" hidden="1" customWidth="1"/>
    <col min="45" max="45" width="6.21875" style="169" hidden="1" customWidth="1"/>
    <col min="46" max="46" width="4.44140625" style="169" hidden="1" customWidth="1"/>
    <col min="47" max="47" width="4.77734375" style="169" hidden="1" customWidth="1"/>
    <col min="48" max="48" width="3.6640625" style="169" hidden="1" customWidth="1"/>
    <col min="49" max="49" width="4.6640625" style="169" hidden="1" customWidth="1"/>
    <col min="50" max="50" width="6.6640625" style="169" hidden="1" customWidth="1"/>
    <col min="51" max="55" width="3.33203125" style="169" hidden="1" customWidth="1"/>
    <col min="56" max="56" width="11.44140625" style="169" hidden="1" customWidth="1"/>
    <col min="57" max="57" width="4.21875" style="169" hidden="1" customWidth="1"/>
    <col min="58" max="58" width="7.33203125" style="169" hidden="1" customWidth="1"/>
    <col min="59" max="59" width="8.44140625" style="169" hidden="1" customWidth="1"/>
    <col min="60" max="60" width="15.33203125" style="169" hidden="1" customWidth="1"/>
    <col min="61" max="62" width="4.21875" style="169" hidden="1" customWidth="1"/>
    <col min="63" max="63" width="6.21875" style="169" hidden="1" customWidth="1"/>
    <col min="64" max="64" width="9" style="169" hidden="1" customWidth="1"/>
    <col min="65" max="65" width="4.21875" style="169" hidden="1" customWidth="1"/>
    <col min="66" max="66" width="7.44140625" hidden="1" customWidth="1"/>
    <col min="67" max="67" width="7.44140625" customWidth="1"/>
    <col min="68" max="68" width="3.21875" customWidth="1"/>
    <col min="69" max="79" width="11.44140625" customWidth="1"/>
  </cols>
  <sheetData>
    <row r="1" spans="1:65" ht="21" customHeight="1">
      <c r="A1" s="255"/>
      <c r="B1" s="7" t="s">
        <v>1802</v>
      </c>
      <c r="C1" s="24"/>
      <c r="D1" s="24"/>
      <c r="E1" s="35" t="s">
        <v>1786</v>
      </c>
      <c r="F1" s="35"/>
      <c r="G1" s="427" t="str">
        <f>Schlüssel!$C$1</f>
        <v>Landesliga Jugend</v>
      </c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06">
        <f>Schlüssel!$AG$1</f>
        <v>45717</v>
      </c>
      <c r="T1" s="406"/>
      <c r="U1" s="406"/>
      <c r="V1" s="406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>
      <c r="A2" s="53"/>
      <c r="B2" s="54">
        <v>1</v>
      </c>
      <c r="E2" s="35" t="s">
        <v>1787</v>
      </c>
      <c r="F2" s="35"/>
      <c r="G2" s="413" t="str">
        <f>Schlüssel!$W$2</f>
        <v>Unterföhring Dreambowl Palace</v>
      </c>
      <c r="H2" s="413"/>
      <c r="I2" s="413"/>
      <c r="J2" s="413"/>
      <c r="K2" s="413"/>
      <c r="L2" s="413"/>
      <c r="M2" s="413"/>
      <c r="N2" s="413"/>
      <c r="O2" s="413"/>
      <c r="P2" s="66"/>
      <c r="Q2" s="411" t="s">
        <v>1785</v>
      </c>
      <c r="R2" s="412"/>
      <c r="S2" s="38">
        <v>2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>
      <c r="B3" s="414" t="str">
        <f>VLOOKUP(B2,Schlüssel!$A$5:$B$12,2)</f>
        <v>Bad Tölz 1</v>
      </c>
      <c r="C3" s="415"/>
      <c r="D3" s="415"/>
      <c r="E3" s="415"/>
      <c r="F3" s="415"/>
      <c r="G3" s="416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3.8" hidden="1" thickBot="1">
      <c r="A4" s="6"/>
      <c r="B4" s="7"/>
      <c r="C4" s="43"/>
      <c r="D4" s="43"/>
      <c r="E4" s="162" t="s">
        <v>10</v>
      </c>
      <c r="F4" s="220"/>
      <c r="G4" s="159">
        <f>VLOOKUP(B2,Schlüssel!$A$5:$EK$12,33)</f>
        <v>14</v>
      </c>
      <c r="H4" s="161" t="s">
        <v>10</v>
      </c>
      <c r="I4" s="220"/>
      <c r="J4" s="159">
        <f>VLOOKUP(B2,Schlüssel!$A$5:$EK$12,34)</f>
        <v>12</v>
      </c>
      <c r="K4" s="161" t="s">
        <v>10</v>
      </c>
      <c r="L4" s="220"/>
      <c r="M4" s="159">
        <f>VLOOKUP(B2,Schlüssel!$A$5:$EK$12,35)</f>
        <v>11</v>
      </c>
      <c r="N4" s="161" t="s">
        <v>10</v>
      </c>
      <c r="O4" s="220"/>
      <c r="P4" s="159">
        <f>VLOOKUP(B2,Schlüssel!$A$5:$EK$12,36)</f>
        <v>13</v>
      </c>
      <c r="Q4" s="161" t="s">
        <v>10</v>
      </c>
      <c r="R4" s="220"/>
      <c r="S4" s="160">
        <f>VLOOKUP(B2,Schlüssel!$A$5:$EK$12,37)</f>
        <v>9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>
      <c r="B5" s="44" t="s">
        <v>1</v>
      </c>
      <c r="C5" s="208"/>
      <c r="D5" s="217"/>
      <c r="E5" s="423" t="s">
        <v>1793</v>
      </c>
      <c r="F5" s="423"/>
      <c r="G5" s="408"/>
      <c r="H5" s="407" t="s">
        <v>1794</v>
      </c>
      <c r="I5" s="423"/>
      <c r="J5" s="408"/>
      <c r="K5" s="407" t="s">
        <v>1795</v>
      </c>
      <c r="L5" s="423"/>
      <c r="M5" s="408"/>
      <c r="N5" s="407" t="s">
        <v>1796</v>
      </c>
      <c r="O5" s="423"/>
      <c r="P5" s="408"/>
      <c r="Q5" s="407" t="s">
        <v>1797</v>
      </c>
      <c r="R5" s="423"/>
      <c r="S5" s="437"/>
      <c r="T5" s="439" t="s">
        <v>1792</v>
      </c>
      <c r="U5" s="440"/>
      <c r="V5" s="410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6.95" customHeight="1">
      <c r="A7" s="403" t="s">
        <v>0</v>
      </c>
      <c r="B7" s="58" t="str">
        <f>IF(C7=0,"",VLOOKUP(C7,Starter!$A$1:$D$196,2,FALSE))</f>
        <v>Kugler, Laurin</v>
      </c>
      <c r="C7" s="232">
        <v>38845</v>
      </c>
      <c r="D7" s="238">
        <f t="shared" ref="D7:D15" si="0">+AP7</f>
        <v>0</v>
      </c>
      <c r="E7" s="221">
        <v>200</v>
      </c>
      <c r="F7" s="240">
        <f t="shared" ref="F7:F15" si="1">IF(E7&gt;0,E7+$D7,0)</f>
        <v>200</v>
      </c>
      <c r="G7" s="428">
        <f>IF(SUM(F7:F9)+E22=0,0,IF(ABS(SUM(F7:F9))=E22,Spielorte!$A$30/2,IF(ABS(SUM(F7:F9))&gt;E22,Spielorte!$A$30,0)))</f>
        <v>1</v>
      </c>
      <c r="H7" s="221">
        <v>203</v>
      </c>
      <c r="I7" s="240">
        <f t="shared" ref="I7:I15" si="2">IF(H7&gt;0,H7+$D7,0)</f>
        <v>203</v>
      </c>
      <c r="J7" s="428">
        <f>IF(SUM(I7:I9)+H22=0,0,IF(ABS(SUM(I7:I9))=H22,Spielorte!$A$30/2,IF(ABS(SUM(I7:I9))&gt;H22,Spielorte!$A$30,0)))</f>
        <v>1</v>
      </c>
      <c r="K7" s="221">
        <v>211</v>
      </c>
      <c r="L7" s="240">
        <f t="shared" ref="L7:L15" si="3">IF(K7&gt;0,K7+$D7,0)</f>
        <v>211</v>
      </c>
      <c r="M7" s="428">
        <f>IF(SUM(L7:L9)+K22=0,0,IF(ABS(SUM(L7:L9))=K22,Spielorte!$A$30/2,IF(ABS(SUM(L7:L9))&gt;K22,Spielorte!$A$30,0)))</f>
        <v>1</v>
      </c>
      <c r="N7" s="221">
        <v>230</v>
      </c>
      <c r="O7" s="240">
        <f t="shared" ref="O7:O15" si="4">IF(N7&gt;0,N7+$D7,0)</f>
        <v>230</v>
      </c>
      <c r="P7" s="428">
        <f>IF(SUM(O7:O9)+N22=0,0,IF(ABS(SUM(O7:O9))=N22,Spielorte!$A$30/2,IF(ABS(SUM(O7:O9))&gt;N22,Spielorte!$A$30,0)))</f>
        <v>1</v>
      </c>
      <c r="Q7" s="221">
        <v>204</v>
      </c>
      <c r="R7" s="240">
        <f t="shared" ref="R7:R15" si="5">IF(Q7&gt;0,Q7+$D7,0)</f>
        <v>204</v>
      </c>
      <c r="S7" s="428">
        <f>IF(SUM(R7:R9)+Q22=0,0,IF(ABS(SUM(R7:R9))=Q22,Spielorte!$A$30/2,IF(ABS(SUM(R7:R9))&gt;Q22,Spielorte!$A$30,0)))</f>
        <v>1</v>
      </c>
      <c r="T7" s="221">
        <f t="shared" ref="T7:U15" si="6">ABS(SUM(E7:E7))+ABS(SUM(H7:H7))+ABS(SUM(K7:K7))+ABS(SUM(N7:N7))+ABS(SUM(Q7:Q7))</f>
        <v>1048</v>
      </c>
      <c r="U7" s="240">
        <f t="shared" si="6"/>
        <v>1048</v>
      </c>
      <c r="V7" s="400">
        <f>SUM(G7+J7+M7+P7+S7)</f>
        <v>5</v>
      </c>
      <c r="W7" s="79"/>
      <c r="X7" s="79"/>
      <c r="Y7" s="79"/>
      <c r="Z7" s="79"/>
      <c r="AA7" s="79"/>
      <c r="AB7" s="79"/>
      <c r="AL7" s="169">
        <f>IF(AU7=0,0,IFERROR(INDEX(RanglisteST2!K:K,MATCH(AU7,RanglisteST2!A:A,0)),0))</f>
        <v>170.06</v>
      </c>
      <c r="AM7" s="169">
        <f>IF(AU7=0,0,SUMIF(AU7:AU15,AU7,AV7:AV15))</f>
        <v>1048</v>
      </c>
      <c r="AN7" s="169">
        <f>IF(AU7=0,0,SUMIF(AU7:AU15,AU7,AW7:AW15))</f>
        <v>5</v>
      </c>
      <c r="AO7" s="169">
        <f t="shared" ref="AO7:AO15" si="7">IFERROR(AM7/AN7,0)</f>
        <v>209.6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38845</v>
      </c>
      <c r="AV7" s="167">
        <f t="shared" ref="AV7:AV15" si="9">T7</f>
        <v>1048</v>
      </c>
      <c r="AW7" s="169">
        <f t="shared" ref="AW7:AW15" si="10">COUNT(AY7:BC7)</f>
        <v>5</v>
      </c>
      <c r="AX7" s="169">
        <f t="shared" ref="AX7:AX15" si="11">COUNTIF(AY7:BC7,"&gt;0")</f>
        <v>5</v>
      </c>
      <c r="AY7" s="169">
        <f t="shared" ref="AY7:AY15" si="12">IF(E7=0,"",E7)</f>
        <v>200</v>
      </c>
      <c r="AZ7" s="169">
        <f t="shared" ref="AZ7:AZ15" si="13">IF(H7=0,"",H7)</f>
        <v>203</v>
      </c>
      <c r="BA7" s="169">
        <f t="shared" ref="BA7:BA15" si="14">IF(K7=0,"",K7)</f>
        <v>211</v>
      </c>
      <c r="BB7" s="169">
        <f t="shared" ref="BB7:BB15" si="15">IF(N7=0,"",N7)</f>
        <v>230</v>
      </c>
      <c r="BC7" s="169">
        <f t="shared" ref="BC7:BC15" si="16">IF(Q7=0,"",Q7)</f>
        <v>204</v>
      </c>
      <c r="BD7" s="170"/>
      <c r="BE7" s="168"/>
      <c r="BF7" s="169">
        <f t="shared" ref="BF7:BF15" si="17">MAX(AY7:BC7)</f>
        <v>230</v>
      </c>
      <c r="BG7" s="169">
        <f t="shared" ref="BG7:BG15" si="18">IF(BF7&lt;MAX(BF:BF),0,BF7+ROW()/1000000000)</f>
        <v>0</v>
      </c>
      <c r="BH7" s="169" t="str">
        <f>+B3</f>
        <v>Bad Tölz 1</v>
      </c>
      <c r="BI7" s="168">
        <f t="shared" ref="BI7:BI15" si="19">RANK(BG7,BG:BG)</f>
        <v>2</v>
      </c>
      <c r="BJ7" s="169">
        <f t="shared" ref="BJ7:BJ15" si="20">SUMIF(AY7:BC7,"&gt;0")</f>
        <v>1048</v>
      </c>
      <c r="BK7" s="169">
        <f>IF(COUNTIF(AY7:BC7,"&gt;0")&lt;Spielorte!$A$23,0,AV7/Spielorte!$A$23)</f>
        <v>209.6</v>
      </c>
      <c r="BL7" s="169">
        <f t="shared" ref="BL7:BL15" si="21">IF(BK7&lt;MAX(BK:BK),0,BK7+ROW()/1000000000)</f>
        <v>0</v>
      </c>
      <c r="BM7" s="168">
        <f t="shared" ref="BM7:BM15" si="22">IF(BL7=0,0,RANK(BL7,BL:BL))</f>
        <v>0</v>
      </c>
    </row>
    <row r="8" spans="1:65" ht="16.95" customHeight="1">
      <c r="A8" s="404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9"/>
      <c r="H8" s="222"/>
      <c r="I8" s="241">
        <f t="shared" si="2"/>
        <v>0</v>
      </c>
      <c r="J8" s="429"/>
      <c r="K8" s="222"/>
      <c r="L8" s="241">
        <f t="shared" si="3"/>
        <v>0</v>
      </c>
      <c r="M8" s="429"/>
      <c r="N8" s="222"/>
      <c r="O8" s="241">
        <f t="shared" si="4"/>
        <v>0</v>
      </c>
      <c r="P8" s="429"/>
      <c r="Q8" s="222"/>
      <c r="R8" s="241">
        <f t="shared" si="5"/>
        <v>0</v>
      </c>
      <c r="S8" s="429"/>
      <c r="T8" s="222">
        <f t="shared" si="6"/>
        <v>0</v>
      </c>
      <c r="U8" s="241">
        <f t="shared" si="6"/>
        <v>0</v>
      </c>
      <c r="V8" s="401"/>
      <c r="W8" s="79"/>
      <c r="X8" s="79"/>
      <c r="Y8" s="79"/>
      <c r="Z8" s="79"/>
      <c r="AA8" s="79"/>
      <c r="AB8" s="79"/>
      <c r="AL8" s="169">
        <f>IF(AU8=0,0,IFERROR(INDEX(RanglisteST2!K:K,MATCH(AU8,RanglisteST2!A:A,0)),0))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0</v>
      </c>
      <c r="BH8" s="169" t="str">
        <f t="shared" ref="BH8:BH15" si="23">+BH7</f>
        <v>Bad Tölz 1</v>
      </c>
      <c r="BI8" s="168">
        <f t="shared" si="19"/>
        <v>2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0</v>
      </c>
      <c r="BM8" s="168">
        <f t="shared" si="22"/>
        <v>0</v>
      </c>
    </row>
    <row r="9" spans="1:65" ht="16.95" customHeight="1" thickBot="1">
      <c r="A9" s="405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30"/>
      <c r="H9" s="224"/>
      <c r="I9" s="242">
        <f t="shared" si="2"/>
        <v>0</v>
      </c>
      <c r="J9" s="430"/>
      <c r="K9" s="224"/>
      <c r="L9" s="242">
        <f t="shared" si="3"/>
        <v>0</v>
      </c>
      <c r="M9" s="430"/>
      <c r="N9" s="224"/>
      <c r="O9" s="242">
        <f t="shared" si="4"/>
        <v>0</v>
      </c>
      <c r="P9" s="430"/>
      <c r="Q9" s="224"/>
      <c r="R9" s="242">
        <f t="shared" si="5"/>
        <v>0</v>
      </c>
      <c r="S9" s="430"/>
      <c r="T9" s="224">
        <f t="shared" si="6"/>
        <v>0</v>
      </c>
      <c r="U9" s="242">
        <f t="shared" si="6"/>
        <v>0</v>
      </c>
      <c r="V9" s="402"/>
      <c r="W9" s="79"/>
      <c r="X9" s="79"/>
      <c r="Y9" s="79"/>
      <c r="Z9" s="79"/>
      <c r="AA9" s="79"/>
      <c r="AB9" s="79"/>
      <c r="AL9" s="169">
        <f>IF(AU9=0,0,IFERROR(INDEX(RanglisteST2!K:K,MATCH(AU9,RanglisteST2!A:A,0)),0))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0</v>
      </c>
      <c r="BH9" s="169" t="str">
        <f t="shared" si="23"/>
        <v>Bad Tölz 1</v>
      </c>
      <c r="BI9" s="168">
        <f t="shared" si="19"/>
        <v>2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0</v>
      </c>
      <c r="BM9" s="168">
        <f t="shared" si="22"/>
        <v>0</v>
      </c>
    </row>
    <row r="10" spans="1:65" ht="16.95" customHeight="1">
      <c r="A10" s="403" t="s">
        <v>2</v>
      </c>
      <c r="B10" s="58" t="str">
        <f>IF(C10=0,"",VLOOKUP(C10,Starter!$A$1:$D$196,2,FALSE))</f>
        <v>Mengel, Marina</v>
      </c>
      <c r="C10" s="235">
        <v>38940</v>
      </c>
      <c r="D10" s="238">
        <f t="shared" si="0"/>
        <v>27</v>
      </c>
      <c r="E10" s="221">
        <v>133</v>
      </c>
      <c r="F10" s="240">
        <f t="shared" si="1"/>
        <v>160</v>
      </c>
      <c r="G10" s="428">
        <f>IF(SUM(F10:F12)+E23=0,0,IF(ABS(SUM(F10:F12))=E23,Spielorte!$A$30/2,IF(ABS(SUM(F10:F12))&gt;E23,Spielorte!$A$30,0)))</f>
        <v>1</v>
      </c>
      <c r="H10" s="221">
        <v>133</v>
      </c>
      <c r="I10" s="240">
        <f t="shared" si="2"/>
        <v>160</v>
      </c>
      <c r="J10" s="428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8">
        <f>IF(SUM(L10:L12)+K23=0,0,IF(ABS(SUM(L10:L12))=K23,Spielorte!$A$30/2,IF(ABS(SUM(L10:L12))&gt;K23,Spielorte!$A$30,0)))</f>
        <v>1</v>
      </c>
      <c r="N10" s="221"/>
      <c r="O10" s="240">
        <f t="shared" si="4"/>
        <v>0</v>
      </c>
      <c r="P10" s="428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8">
        <f>IF(SUM(R10:R12)+Q23=0,0,IF(ABS(SUM(R10:R12))=Q23,Spielorte!$A$30/2,IF(ABS(SUM(R10:R12))&gt;Q23,Spielorte!$A$30,0)))</f>
        <v>0</v>
      </c>
      <c r="T10" s="221">
        <f t="shared" si="6"/>
        <v>266</v>
      </c>
      <c r="U10" s="240">
        <f t="shared" si="6"/>
        <v>320</v>
      </c>
      <c r="V10" s="400">
        <f>SUM(G10+J10+M10+P10+S10)</f>
        <v>2</v>
      </c>
      <c r="W10" s="79"/>
      <c r="X10" s="79"/>
      <c r="Y10" s="79"/>
      <c r="Z10" s="79"/>
      <c r="AA10" s="79"/>
      <c r="AB10" s="79"/>
      <c r="AL10" s="169">
        <f>IF(AU10=0,0,IFERROR(INDEX(RanglisteST2!K:K,MATCH(AU10,RanglisteST2!A:A,0)),0))</f>
        <v>0</v>
      </c>
      <c r="AM10" s="169">
        <f>IF(AU10=0,0,SUMIF(AU7:AU15,AU10,AV7:AV15))</f>
        <v>378</v>
      </c>
      <c r="AN10" s="169">
        <f>IF(AU10=0,0,SUMIF(AU7:AU15,AU10,AW7:AW15))</f>
        <v>3</v>
      </c>
      <c r="AO10" s="169">
        <f t="shared" si="7"/>
        <v>126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27</v>
      </c>
      <c r="AQ10" s="166"/>
      <c r="AR10" s="167"/>
      <c r="AS10" s="167"/>
      <c r="AT10" s="168"/>
      <c r="AU10" s="171">
        <f t="shared" si="8"/>
        <v>38940</v>
      </c>
      <c r="AV10" s="167">
        <f t="shared" si="9"/>
        <v>266</v>
      </c>
      <c r="AW10" s="169">
        <f t="shared" si="10"/>
        <v>2</v>
      </c>
      <c r="AX10" s="169">
        <f t="shared" si="11"/>
        <v>2</v>
      </c>
      <c r="AY10" s="169">
        <f t="shared" si="12"/>
        <v>133</v>
      </c>
      <c r="AZ10" s="169">
        <f t="shared" si="13"/>
        <v>133</v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133</v>
      </c>
      <c r="BG10" s="169">
        <f t="shared" si="18"/>
        <v>0</v>
      </c>
      <c r="BH10" s="169" t="str">
        <f t="shared" si="23"/>
        <v>Bad Tölz 1</v>
      </c>
      <c r="BI10" s="168">
        <f t="shared" si="19"/>
        <v>2</v>
      </c>
      <c r="BJ10" s="169">
        <f t="shared" si="20"/>
        <v>266</v>
      </c>
      <c r="BK10" s="169">
        <f>IF(COUNTIF(AY10:BC10,"&gt;0")&lt;Spielorte!$A$23,0,AV10/Spielorte!$A$23)</f>
        <v>0</v>
      </c>
      <c r="BL10" s="169">
        <f t="shared" si="21"/>
        <v>0</v>
      </c>
      <c r="BM10" s="168">
        <f t="shared" si="22"/>
        <v>0</v>
      </c>
    </row>
    <row r="11" spans="1:65" ht="16.95" customHeight="1">
      <c r="A11" s="404"/>
      <c r="B11" s="58" t="str">
        <f>IF(C11=0,"",VLOOKUP(C11,Starter!$A$1:$D$196,2,FALSE))</f>
        <v>Rothemund, Louis</v>
      </c>
      <c r="C11" s="233">
        <v>38893</v>
      </c>
      <c r="D11" s="239">
        <f t="shared" si="0"/>
        <v>61</v>
      </c>
      <c r="E11" s="222"/>
      <c r="F11" s="241">
        <f t="shared" si="1"/>
        <v>0</v>
      </c>
      <c r="G11" s="429"/>
      <c r="H11" s="222"/>
      <c r="I11" s="241">
        <f t="shared" si="2"/>
        <v>0</v>
      </c>
      <c r="J11" s="429"/>
      <c r="K11" s="222">
        <v>77</v>
      </c>
      <c r="L11" s="241">
        <f t="shared" si="3"/>
        <v>138</v>
      </c>
      <c r="M11" s="429"/>
      <c r="N11" s="222">
        <v>91</v>
      </c>
      <c r="O11" s="241">
        <f t="shared" si="4"/>
        <v>152</v>
      </c>
      <c r="P11" s="429"/>
      <c r="Q11" s="222">
        <v>81</v>
      </c>
      <c r="R11" s="241">
        <f t="shared" si="5"/>
        <v>142</v>
      </c>
      <c r="S11" s="429"/>
      <c r="T11" s="222">
        <f t="shared" si="6"/>
        <v>249</v>
      </c>
      <c r="U11" s="241">
        <f t="shared" si="6"/>
        <v>432</v>
      </c>
      <c r="V11" s="401"/>
      <c r="W11" s="79"/>
      <c r="X11" s="79"/>
      <c r="Y11" s="79"/>
      <c r="Z11" s="79"/>
      <c r="AA11" s="79"/>
      <c r="AB11" s="79"/>
      <c r="AL11" s="169">
        <f>IF(AU11=0,0,IFERROR(INDEX(RanglisteST2!K:K,MATCH(AU11,RanglisteST2!A:A,0)),0))</f>
        <v>84.33</v>
      </c>
      <c r="AM11" s="169">
        <f>IF(AU11=0,0,SUMIF(AU7:AU15,AU11,AV7:AV15))</f>
        <v>249</v>
      </c>
      <c r="AN11" s="169">
        <f>IF(AU11=0,0,SUMIF(AU7:AU15,AU11,AW7:AW15))</f>
        <v>3</v>
      </c>
      <c r="AO11" s="169">
        <f t="shared" si="7"/>
        <v>83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61</v>
      </c>
      <c r="AQ11" s="166"/>
      <c r="AR11" s="167"/>
      <c r="AS11" s="167"/>
      <c r="AT11" s="168"/>
      <c r="AU11" s="171">
        <f t="shared" si="8"/>
        <v>38893</v>
      </c>
      <c r="AV11" s="167">
        <f t="shared" si="9"/>
        <v>249</v>
      </c>
      <c r="AW11" s="169">
        <f t="shared" si="10"/>
        <v>3</v>
      </c>
      <c r="AX11" s="169">
        <f t="shared" si="11"/>
        <v>3</v>
      </c>
      <c r="AY11" s="169" t="str">
        <f t="shared" si="12"/>
        <v/>
      </c>
      <c r="AZ11" s="169" t="str">
        <f t="shared" si="13"/>
        <v/>
      </c>
      <c r="BA11" s="169">
        <f t="shared" si="14"/>
        <v>77</v>
      </c>
      <c r="BB11" s="169">
        <f t="shared" si="15"/>
        <v>91</v>
      </c>
      <c r="BC11" s="169">
        <f t="shared" si="16"/>
        <v>81</v>
      </c>
      <c r="BD11" s="170"/>
      <c r="BE11" s="168"/>
      <c r="BF11" s="169">
        <f t="shared" si="17"/>
        <v>91</v>
      </c>
      <c r="BG11" s="169">
        <f t="shared" si="18"/>
        <v>0</v>
      </c>
      <c r="BH11" s="169" t="str">
        <f t="shared" si="23"/>
        <v>Bad Tölz 1</v>
      </c>
      <c r="BI11" s="168">
        <f t="shared" si="19"/>
        <v>2</v>
      </c>
      <c r="BJ11" s="169">
        <f t="shared" si="20"/>
        <v>249</v>
      </c>
      <c r="BK11" s="169">
        <f>IF(COUNTIF(AY11:BC11,"&gt;0")&lt;Spielorte!$A$23,0,AV11/Spielorte!$A$23)</f>
        <v>0</v>
      </c>
      <c r="BL11" s="169">
        <f t="shared" si="21"/>
        <v>0</v>
      </c>
      <c r="BM11" s="168">
        <f t="shared" si="22"/>
        <v>0</v>
      </c>
    </row>
    <row r="12" spans="1:65" ht="15" customHeight="1" thickBot="1">
      <c r="A12" s="405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30"/>
      <c r="H12" s="224"/>
      <c r="I12" s="242">
        <f t="shared" si="2"/>
        <v>0</v>
      </c>
      <c r="J12" s="430"/>
      <c r="K12" s="224"/>
      <c r="L12" s="242">
        <f t="shared" si="3"/>
        <v>0</v>
      </c>
      <c r="M12" s="430"/>
      <c r="N12" s="224"/>
      <c r="O12" s="242">
        <f t="shared" si="4"/>
        <v>0</v>
      </c>
      <c r="P12" s="430"/>
      <c r="Q12" s="224"/>
      <c r="R12" s="242">
        <f t="shared" si="5"/>
        <v>0</v>
      </c>
      <c r="S12" s="430"/>
      <c r="T12" s="224">
        <f t="shared" si="6"/>
        <v>0</v>
      </c>
      <c r="U12" s="242">
        <f t="shared" si="6"/>
        <v>0</v>
      </c>
      <c r="V12" s="402"/>
      <c r="W12" s="79"/>
      <c r="X12" s="79"/>
      <c r="Y12" s="79"/>
      <c r="Z12" s="79"/>
      <c r="AA12" s="79"/>
      <c r="AB12" s="79"/>
      <c r="AL12" s="169">
        <f>IF(AU12=0,0,IFERROR(INDEX(RanglisteST2!K:K,MATCH(AU12,RanglisteST2!A:A,0)),0))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0</v>
      </c>
      <c r="BH12" s="169" t="str">
        <f t="shared" si="23"/>
        <v>Bad Tölz 1</v>
      </c>
      <c r="BI12" s="168">
        <f t="shared" si="19"/>
        <v>2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0</v>
      </c>
      <c r="BM12" s="168">
        <f t="shared" si="22"/>
        <v>0</v>
      </c>
    </row>
    <row r="13" spans="1:65" ht="16.95" customHeight="1">
      <c r="A13" s="403" t="s">
        <v>3</v>
      </c>
      <c r="B13" s="58"/>
      <c r="C13" s="235"/>
      <c r="D13" s="238">
        <f t="shared" si="0"/>
        <v>0</v>
      </c>
      <c r="E13" s="221"/>
      <c r="F13" s="240">
        <f t="shared" si="1"/>
        <v>0</v>
      </c>
      <c r="G13" s="428">
        <f>IF(SUM(F13:F15)+E24=0,0,IF(ABS(SUM(F13:F15))=E24,Spielorte!$A$30/2,IF(ABS(SUM(F13:F15))&gt;E24,Spielorte!$A$30,0)))</f>
        <v>0.5</v>
      </c>
      <c r="H13" s="221"/>
      <c r="I13" s="240">
        <f t="shared" si="2"/>
        <v>0</v>
      </c>
      <c r="J13" s="428">
        <f>IF(SUM(I13:I15)+H24=0,0,IF(ABS(SUM(I13:I15))=H24,Spielorte!$A$30/2,IF(ABS(SUM(I13:I15))&gt;H24,Spielorte!$A$30,0)))</f>
        <v>1</v>
      </c>
      <c r="K13" s="221"/>
      <c r="L13" s="240">
        <f t="shared" si="3"/>
        <v>0</v>
      </c>
      <c r="M13" s="428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8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8">
        <f>IF(SUM(R13:R15)+Q24=0,0,IF(ABS(SUM(R13:R15))=Q24,Spielorte!$A$30/2,IF(ABS(SUM(R13:R15))&gt;Q24,Spielorte!$A$30,0)))</f>
        <v>1</v>
      </c>
      <c r="T13" s="221">
        <f t="shared" si="6"/>
        <v>0</v>
      </c>
      <c r="U13" s="240">
        <f t="shared" si="6"/>
        <v>0</v>
      </c>
      <c r="V13" s="400">
        <f>SUM(G13+J13+M13+P13+S13)</f>
        <v>2.5</v>
      </c>
      <c r="W13" s="79"/>
      <c r="X13" s="79"/>
      <c r="Y13" s="79"/>
      <c r="Z13" s="79"/>
      <c r="AA13" s="79"/>
      <c r="AB13" s="79"/>
      <c r="AL13" s="169">
        <f>IF(AU13=0,0,IFERROR(INDEX(RanglisteST2!K:K,MATCH(AU13,RanglisteST2!A:A,0)),0))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0</v>
      </c>
      <c r="BH13" s="169" t="str">
        <f t="shared" si="23"/>
        <v>Bad Tölz 1</v>
      </c>
      <c r="BI13" s="168">
        <f t="shared" si="19"/>
        <v>2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0</v>
      </c>
      <c r="BM13" s="168">
        <f t="shared" si="22"/>
        <v>0</v>
      </c>
    </row>
    <row r="14" spans="1:65" ht="16.95" customHeight="1">
      <c r="A14" s="404"/>
      <c r="B14" s="58" t="str">
        <f>IF(C14=0,"",VLOOKUP(C14,Starter!$A$1:$D$196,2,FALSE))</f>
        <v>Lintner, Lena</v>
      </c>
      <c r="C14" s="233">
        <v>38843</v>
      </c>
      <c r="D14" s="239">
        <f t="shared" si="0"/>
        <v>32</v>
      </c>
      <c r="E14" s="222">
        <v>125</v>
      </c>
      <c r="F14" s="241">
        <f t="shared" si="1"/>
        <v>157</v>
      </c>
      <c r="G14" s="429"/>
      <c r="H14" s="222">
        <v>136</v>
      </c>
      <c r="I14" s="241">
        <f t="shared" si="2"/>
        <v>168</v>
      </c>
      <c r="J14" s="429"/>
      <c r="K14" s="222">
        <v>119</v>
      </c>
      <c r="L14" s="241">
        <f t="shared" si="3"/>
        <v>151</v>
      </c>
      <c r="M14" s="429"/>
      <c r="N14" s="222"/>
      <c r="O14" s="241">
        <f t="shared" si="4"/>
        <v>0</v>
      </c>
      <c r="P14" s="429"/>
      <c r="Q14" s="222">
        <v>169</v>
      </c>
      <c r="R14" s="241">
        <f t="shared" si="5"/>
        <v>201</v>
      </c>
      <c r="S14" s="429"/>
      <c r="T14" s="222">
        <f t="shared" si="6"/>
        <v>549</v>
      </c>
      <c r="U14" s="241">
        <f t="shared" si="6"/>
        <v>677</v>
      </c>
      <c r="V14" s="401"/>
      <c r="W14" s="79"/>
      <c r="X14" s="79"/>
      <c r="Y14" s="79"/>
      <c r="Z14" s="79"/>
      <c r="AA14" s="79"/>
      <c r="AB14" s="79"/>
      <c r="AL14" s="169">
        <f>IF(AU14=0,0,IFERROR(INDEX(RanglisteST2!K:K,MATCH(AU14,RanglisteST2!A:A,0)),0))</f>
        <v>119.75</v>
      </c>
      <c r="AM14" s="169">
        <f>IF(AU14=0,0,SUMIF(AU7:AU15,AU14,AV7:AV15))</f>
        <v>549</v>
      </c>
      <c r="AN14" s="169">
        <f>IF(AU14=0,0,SUMIF(AU7:AU15,AU14,AW7:AW15))</f>
        <v>4</v>
      </c>
      <c r="AO14" s="169">
        <f t="shared" si="7"/>
        <v>137.25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32</v>
      </c>
      <c r="AQ14" s="166"/>
      <c r="AR14" s="167"/>
      <c r="AS14" s="167"/>
      <c r="AT14" s="168"/>
      <c r="AU14" s="171">
        <f t="shared" si="8"/>
        <v>38843</v>
      </c>
      <c r="AV14" s="167">
        <f t="shared" si="9"/>
        <v>549</v>
      </c>
      <c r="AW14" s="169">
        <f t="shared" si="10"/>
        <v>4</v>
      </c>
      <c r="AX14" s="169">
        <f t="shared" si="11"/>
        <v>4</v>
      </c>
      <c r="AY14" s="169">
        <f t="shared" si="12"/>
        <v>125</v>
      </c>
      <c r="AZ14" s="169">
        <f t="shared" si="13"/>
        <v>136</v>
      </c>
      <c r="BA14" s="169">
        <f t="shared" si="14"/>
        <v>119</v>
      </c>
      <c r="BB14" s="169" t="str">
        <f t="shared" si="15"/>
        <v/>
      </c>
      <c r="BC14" s="169">
        <f t="shared" si="16"/>
        <v>169</v>
      </c>
      <c r="BD14" s="170"/>
      <c r="BE14" s="168"/>
      <c r="BF14" s="169">
        <f t="shared" si="17"/>
        <v>169</v>
      </c>
      <c r="BG14" s="169">
        <f t="shared" si="18"/>
        <v>0</v>
      </c>
      <c r="BH14" s="169" t="str">
        <f t="shared" si="23"/>
        <v>Bad Tölz 1</v>
      </c>
      <c r="BI14" s="168">
        <f t="shared" si="19"/>
        <v>2</v>
      </c>
      <c r="BJ14" s="169">
        <f t="shared" si="20"/>
        <v>549</v>
      </c>
      <c r="BK14" s="169">
        <f>IF(COUNTIF(AY14:BC14,"&gt;0")&lt;Spielorte!$A$23,0,AV14/Spielorte!$A$23)</f>
        <v>0</v>
      </c>
      <c r="BL14" s="169">
        <f t="shared" si="21"/>
        <v>0</v>
      </c>
      <c r="BM14" s="168">
        <f t="shared" si="22"/>
        <v>0</v>
      </c>
    </row>
    <row r="15" spans="1:65" ht="16.95" customHeight="1" thickBot="1">
      <c r="A15" s="405"/>
      <c r="B15" s="60" t="str">
        <f>IF(C15=0,"",VLOOKUP(C15,Starter!$A$1:$D$196,2,FALSE))</f>
        <v>Mengel, Marina</v>
      </c>
      <c r="C15" s="236">
        <v>38940</v>
      </c>
      <c r="D15" s="223">
        <f t="shared" si="0"/>
        <v>27</v>
      </c>
      <c r="E15" s="224"/>
      <c r="F15" s="242">
        <f t="shared" si="1"/>
        <v>0</v>
      </c>
      <c r="G15" s="430"/>
      <c r="H15" s="224"/>
      <c r="I15" s="242">
        <f t="shared" si="2"/>
        <v>0</v>
      </c>
      <c r="J15" s="430"/>
      <c r="K15" s="224"/>
      <c r="L15" s="242">
        <f t="shared" si="3"/>
        <v>0</v>
      </c>
      <c r="M15" s="430"/>
      <c r="N15" s="224">
        <v>112</v>
      </c>
      <c r="O15" s="242">
        <f t="shared" si="4"/>
        <v>139</v>
      </c>
      <c r="P15" s="430"/>
      <c r="Q15" s="224"/>
      <c r="R15" s="242">
        <f t="shared" si="5"/>
        <v>0</v>
      </c>
      <c r="S15" s="430"/>
      <c r="T15" s="224">
        <f t="shared" si="6"/>
        <v>112</v>
      </c>
      <c r="U15" s="242">
        <f t="shared" si="6"/>
        <v>139</v>
      </c>
      <c r="V15" s="402"/>
      <c r="W15" s="79"/>
      <c r="X15" s="79"/>
      <c r="Y15" s="79"/>
      <c r="Z15" s="79"/>
      <c r="AA15" s="79"/>
      <c r="AB15" s="79"/>
      <c r="AL15" s="169">
        <f>IF(AU15=0,0,IFERROR(INDEX(RanglisteST2!K:K,MATCH(AU15,RanglisteST2!A:A,0)),0))</f>
        <v>0</v>
      </c>
      <c r="AM15" s="169">
        <f>IF(AU15=0,0,SUMIF(AU7:AU15,AU15,AV7:AV15))</f>
        <v>378</v>
      </c>
      <c r="AN15" s="169">
        <f>IF(AU15=0,0,SUMIF(AU7:AU15,AU15,AW7:AW15))</f>
        <v>3</v>
      </c>
      <c r="AO15" s="169">
        <f t="shared" si="7"/>
        <v>126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27</v>
      </c>
      <c r="AQ15" s="166"/>
      <c r="AR15" s="167"/>
      <c r="AS15" s="167"/>
      <c r="AT15" s="168"/>
      <c r="AU15" s="171">
        <f t="shared" si="8"/>
        <v>38940</v>
      </c>
      <c r="AV15" s="167">
        <f t="shared" si="9"/>
        <v>112</v>
      </c>
      <c r="AW15" s="169">
        <f t="shared" si="10"/>
        <v>1</v>
      </c>
      <c r="AX15" s="169">
        <f t="shared" si="11"/>
        <v>1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>
        <f t="shared" si="15"/>
        <v>112</v>
      </c>
      <c r="BC15" s="169" t="str">
        <f t="shared" si="16"/>
        <v/>
      </c>
      <c r="BD15" s="170"/>
      <c r="BE15" s="168"/>
      <c r="BF15" s="169">
        <f t="shared" si="17"/>
        <v>112</v>
      </c>
      <c r="BG15" s="169">
        <f t="shared" si="18"/>
        <v>0</v>
      </c>
      <c r="BH15" s="169" t="str">
        <f t="shared" si="23"/>
        <v>Bad Tölz 1</v>
      </c>
      <c r="BI15" s="168">
        <f t="shared" si="19"/>
        <v>2</v>
      </c>
      <c r="BJ15" s="169">
        <f t="shared" si="20"/>
        <v>112</v>
      </c>
      <c r="BK15" s="169">
        <f>IF(COUNTIF(AY15:BC15,"&gt;0")&lt;Spielorte!$A$23,0,AV15/Spielorte!$A$23)</f>
        <v>0</v>
      </c>
      <c r="BL15" s="169">
        <f t="shared" si="21"/>
        <v>0</v>
      </c>
      <c r="BM15" s="168">
        <f t="shared" si="22"/>
        <v>0</v>
      </c>
    </row>
    <row r="16" spans="1:65" ht="27.75" customHeight="1" thickBot="1">
      <c r="B16" s="218" t="s">
        <v>1792</v>
      </c>
      <c r="C16" s="204"/>
      <c r="D16" s="219"/>
      <c r="E16" s="226">
        <f>ABS(SUM(E7:E9))+ABS(SUM(E10:E12))+ABS(SUM(E13:E15))</f>
        <v>458</v>
      </c>
      <c r="F16" s="225">
        <f>ABS(SUM(F7:F9))+ABS(SUM(F10:F12))+ABS(SUM(F13:F15))</f>
        <v>517</v>
      </c>
      <c r="G16" s="81">
        <f>IF(F16+E25=0,0,IF(F16=E25,Spielorte!$A$31/2,IF(F16&gt;E25,Spielorte!$A$31,0)))</f>
        <v>2</v>
      </c>
      <c r="H16" s="226">
        <f>ABS(SUM(H7:H9))+ABS(SUM(H10:H12))+ABS(SUM(H13:H15))</f>
        <v>472</v>
      </c>
      <c r="I16" s="225">
        <f>ABS(SUM(I7:I9))+ABS(SUM(I10:I12))+ABS(SUM(I13:I15))</f>
        <v>531</v>
      </c>
      <c r="J16" s="81">
        <f>IF(I16+H25=0,0,IF(I16=H25,Spielorte!$A$31/2,IF(I16&gt;H25,Spielorte!$A$31,0)))</f>
        <v>2</v>
      </c>
      <c r="K16" s="226">
        <f>ABS(SUM(K7:K9))+ABS(SUM(K10:K12))+ABS(SUM(K13:K15))</f>
        <v>407</v>
      </c>
      <c r="L16" s="225">
        <f>ABS(SUM(L7:L9))+ABS(SUM(L10:L12))+ABS(SUM(L13:L15))</f>
        <v>500</v>
      </c>
      <c r="M16" s="81">
        <f>IF(L16+K25=0,0,IF(L16=K25,Spielorte!$A$31/2,IF(L16&gt;K25,Spielorte!$A$31,0)))</f>
        <v>2</v>
      </c>
      <c r="N16" s="226">
        <f>ABS(SUM(N7:N9))+ABS(SUM(N10:N12))+ABS(SUM(N13:N15))</f>
        <v>433</v>
      </c>
      <c r="O16" s="225">
        <f>ABS(SUM(O7:O9))+ABS(SUM(O10:O12))+ABS(SUM(O13:O15))</f>
        <v>521</v>
      </c>
      <c r="P16" s="81">
        <f>IF(O16+N25=0,0,IF(O16=N25,Spielorte!$A$31/2,IF(O16&gt;N25,Spielorte!$A$31,0)))</f>
        <v>0</v>
      </c>
      <c r="Q16" s="226">
        <f>ABS(SUM(Q7:Q9))+ABS(SUM(Q10:Q12))+ABS(SUM(Q13:Q15))</f>
        <v>454</v>
      </c>
      <c r="R16" s="225">
        <f>ABS(SUM(R7:R9))+ABS(SUM(R10:R12))+ABS(SUM(R13:R15))</f>
        <v>547</v>
      </c>
      <c r="S16" s="81">
        <f>IF(R16+Q25=0,0,IF(R16=Q25,Spielorte!$A$31/2,IF(R16&gt;Q25,Spielorte!$A$31,0)))</f>
        <v>2</v>
      </c>
      <c r="T16" s="228">
        <f>SUM(E16+H16+K16+N16+Q16)</f>
        <v>2224</v>
      </c>
      <c r="U16" s="229">
        <f>SUM(F16+I16+L16+O16+R16)</f>
        <v>2616</v>
      </c>
      <c r="V16" s="12">
        <f>SUM(G16+J16+M16+P16+S16)</f>
        <v>8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>
      <c r="B17" s="230" t="s">
        <v>1803</v>
      </c>
      <c r="C17" s="1"/>
      <c r="D17" s="1"/>
      <c r="E17" s="1"/>
      <c r="F17" s="1"/>
      <c r="G17" s="61">
        <f>SUM(G7:G16)</f>
        <v>4.5</v>
      </c>
      <c r="H17" s="1"/>
      <c r="I17" s="1"/>
      <c r="J17" s="61">
        <f>SUM(J7:J16)</f>
        <v>4</v>
      </c>
      <c r="K17" s="1"/>
      <c r="L17" s="1"/>
      <c r="M17" s="61">
        <f>SUM(M7:M16)</f>
        <v>4</v>
      </c>
      <c r="N17" s="1"/>
      <c r="O17" s="1"/>
      <c r="P17" s="61">
        <f>SUM(P7:P16)</f>
        <v>1</v>
      </c>
      <c r="Q17" s="1"/>
      <c r="R17" s="1"/>
      <c r="S17" s="61">
        <f>SUM(S7:S16)</f>
        <v>4</v>
      </c>
      <c r="T17" s="1"/>
      <c r="U17" s="1"/>
      <c r="V17" s="61">
        <f>SUM(V7:V16)</f>
        <v>17.5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17.5</v>
      </c>
      <c r="AR17" s="167">
        <f>+T16</f>
        <v>2224</v>
      </c>
      <c r="AS17" s="167">
        <f>+U16</f>
        <v>2616</v>
      </c>
      <c r="AT17" s="168">
        <f>+B2</f>
        <v>1</v>
      </c>
      <c r="AW17" s="169">
        <f>SUM(AW1:AW16)</f>
        <v>15</v>
      </c>
      <c r="BD17" s="166">
        <f>+AS17/1000000+AQ17+AR17/1000000000000</f>
        <v>17.502616002223998</v>
      </c>
      <c r="BE17" s="168">
        <f>RANK(BD17,BD:BD)</f>
        <v>2</v>
      </c>
      <c r="BI17" s="168"/>
      <c r="BM17" s="168"/>
    </row>
    <row r="18" spans="1:65" ht="11.25" customHeight="1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>
      <c r="B19" s="231" t="s">
        <v>1790</v>
      </c>
      <c r="C19" s="210"/>
      <c r="D19" s="42"/>
      <c r="E19" s="434">
        <f>VLOOKUP($B2,Schlüssel!$A$5:$EK$12,23)</f>
        <v>4</v>
      </c>
      <c r="F19" s="435"/>
      <c r="G19" s="436"/>
      <c r="H19" s="434">
        <f>VLOOKUP($B2,Schlüssel!$A$5:$EK$12,24)</f>
        <v>6</v>
      </c>
      <c r="I19" s="435"/>
      <c r="J19" s="436"/>
      <c r="K19" s="434">
        <f>VLOOKUP($B2,Schlüssel!$A$5:$EK$12,25)</f>
        <v>3</v>
      </c>
      <c r="L19" s="435"/>
      <c r="M19" s="436"/>
      <c r="N19" s="434">
        <f>VLOOKUP($B2,Schlüssel!$A$5:$EK$12,26)</f>
        <v>8</v>
      </c>
      <c r="O19" s="435"/>
      <c r="P19" s="436"/>
      <c r="Q19" s="434">
        <f>VLOOKUP($B2,Schlüssel!$A$5:$EK$12,27)</f>
        <v>5</v>
      </c>
      <c r="R19" s="435"/>
      <c r="S19" s="436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>
      <c r="B20" s="3" t="s">
        <v>9</v>
      </c>
      <c r="C20" s="1"/>
      <c r="D20" s="1"/>
      <c r="E20" s="395" t="str">
        <f>VLOOKUP(E19,Schlüssel!$A$5:$K$12,2)</f>
        <v>Highroller Rosenheim 3</v>
      </c>
      <c r="F20" s="438"/>
      <c r="G20" s="396"/>
      <c r="H20" s="395" t="str">
        <f>VLOOKUP(H19,Schlüssel!$A$5:$K$12,2)</f>
        <v>Bowling Jugend Bayern 1</v>
      </c>
      <c r="I20" s="438"/>
      <c r="J20" s="396"/>
      <c r="K20" s="395" t="str">
        <f>VLOOKUP(K19,Schlüssel!$A$5:$K$12,2)</f>
        <v>Highroller Rosenheim 2</v>
      </c>
      <c r="L20" s="438"/>
      <c r="M20" s="396"/>
      <c r="N20" s="395" t="str">
        <f>VLOOKUP(N19,Schlüssel!$A$5:$K$12,2)</f>
        <v>EMAX 1</v>
      </c>
      <c r="O20" s="438"/>
      <c r="P20" s="396"/>
      <c r="Q20" s="395" t="str">
        <f>VLOOKUP(Q19,Schlüssel!$A$5:$K$12,2)</f>
        <v>Berchtesgaden 1</v>
      </c>
      <c r="R20" s="438"/>
      <c r="S20" s="396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" customHeight="1">
      <c r="B22" s="417" t="s">
        <v>2275</v>
      </c>
      <c r="C22" s="418"/>
      <c r="D22" s="419"/>
      <c r="E22" s="431">
        <f>ABS(INDEX(F:F,MATCH(E19,$B:$B,0)+5)+INDEX(F:F,MATCH(E19,$B:$B,0)+6)+INDEX(F:F,MATCH(E19,$B:$B,0)+7))</f>
        <v>128</v>
      </c>
      <c r="F22" s="432"/>
      <c r="G22" s="433"/>
      <c r="H22" s="431">
        <f>ABS(INDEX(I:I,MATCH(H19,$B:$B,0)+5)+INDEX(I:I,MATCH(H19,$B:$B,0)+6)+INDEX(I:I,MATCH(H19,$B:$B,0)+7))</f>
        <v>191</v>
      </c>
      <c r="I22" s="432"/>
      <c r="J22" s="433"/>
      <c r="K22" s="431">
        <f>ABS(INDEX(L:L,MATCH(K19,$B:$B,0)+5)+INDEX(L:L,MATCH(K19,$B:$B,0)+6)+INDEX(L:L,MATCH(K19,$B:$B,0)+7))</f>
        <v>141</v>
      </c>
      <c r="L22" s="432"/>
      <c r="M22" s="433"/>
      <c r="N22" s="431">
        <f>ABS(INDEX(O:O,MATCH(N19,$B:$B,0)+5)+INDEX(O:O,MATCH(N19,$B:$B,0)+6)+INDEX(O:O,MATCH(N19,$B:$B,0)+7))</f>
        <v>168</v>
      </c>
      <c r="O22" s="432"/>
      <c r="P22" s="433"/>
      <c r="Q22" s="431">
        <f>ABS(INDEX(R:R,MATCH(Q19,$B:$B,0)+5)+INDEX(R:R,MATCH(Q19,$B:$B,0)+6)+INDEX(R:R,MATCH(Q19,$B:$B,0)+7))</f>
        <v>172</v>
      </c>
      <c r="R22" s="432"/>
      <c r="S22" s="433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" customHeight="1">
      <c r="B23" s="417" t="s">
        <v>2276</v>
      </c>
      <c r="C23" s="418"/>
      <c r="D23" s="419"/>
      <c r="E23" s="424">
        <f>ABS(INDEX(F:F,MATCH(E19,$B:$B,0)+8)+INDEX(F:F,MATCH(E19,$B:$B,0)+9)+INDEX(F:F,MATCH(E19,$B:$B,0)+10))</f>
        <v>149</v>
      </c>
      <c r="F23" s="425"/>
      <c r="G23" s="426"/>
      <c r="H23" s="424">
        <f>ABS(INDEX(I:I,MATCH(H19,$B:$B,0)+8)+INDEX(I:I,MATCH(H19,$B:$B,0)+9)+INDEX(I:I,MATCH(H19,$B:$B,0)+10))</f>
        <v>171</v>
      </c>
      <c r="I23" s="425"/>
      <c r="J23" s="426"/>
      <c r="K23" s="424">
        <f>ABS(INDEX(L:L,MATCH(K19,$B:$B,0)+8)+INDEX(L:L,MATCH(K19,$B:$B,0)+9)+INDEX(L:L,MATCH(K19,$B:$B,0)+10))</f>
        <v>137</v>
      </c>
      <c r="L23" s="425"/>
      <c r="M23" s="426"/>
      <c r="N23" s="424">
        <f>ABS(INDEX(O:O,MATCH(N19,$B:$B,0)+8)+INDEX(O:O,MATCH(N19,$B:$B,0)+9)+INDEX(O:O,MATCH(N19,$B:$B,0)+10))</f>
        <v>153</v>
      </c>
      <c r="O23" s="425"/>
      <c r="P23" s="426"/>
      <c r="Q23" s="424">
        <f>ABS(INDEX(R:R,MATCH(Q19,$B:$B,0)+8)+INDEX(R:R,MATCH(Q19,$B:$B,0)+9)+INDEX(R:R,MATCH(Q19,$B:$B,0)+10))</f>
        <v>153</v>
      </c>
      <c r="R23" s="425"/>
      <c r="S23" s="426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" customHeight="1">
      <c r="B24" s="417" t="s">
        <v>2277</v>
      </c>
      <c r="C24" s="418"/>
      <c r="D24" s="419"/>
      <c r="E24" s="424">
        <f>ABS(INDEX(F:F,MATCH(E19,$B:$B,0)+11)+INDEX(F:F,MATCH(E19,$B:$B,0)+12)+INDEX(F:F,MATCH(E19,$B:$B,0)+13))</f>
        <v>157</v>
      </c>
      <c r="F24" s="425"/>
      <c r="G24" s="426"/>
      <c r="H24" s="424">
        <f>ABS(INDEX(I:I,MATCH(H19,$B:$B,0)+11)+INDEX(I:I,MATCH(H19,$B:$B,0)+12)+INDEX(I:I,MATCH(H19,$B:$B,0)+13))</f>
        <v>153</v>
      </c>
      <c r="I24" s="425"/>
      <c r="J24" s="426"/>
      <c r="K24" s="424">
        <f>ABS(INDEX(L:L,MATCH(K19,$B:$B,0)+11)+INDEX(L:L,MATCH(K19,$B:$B,0)+12)+INDEX(L:L,MATCH(K19,$B:$B,0)+13))</f>
        <v>172</v>
      </c>
      <c r="L24" s="425"/>
      <c r="M24" s="426"/>
      <c r="N24" s="424">
        <f>ABS(INDEX(O:O,MATCH(N19,$B:$B,0)+11)+INDEX(O:O,MATCH(N19,$B:$B,0)+12)+INDEX(O:O,MATCH(N19,$B:$B,0)+13))</f>
        <v>218</v>
      </c>
      <c r="O24" s="425"/>
      <c r="P24" s="426"/>
      <c r="Q24" s="424">
        <f>ABS(INDEX(R:R,MATCH(Q19,$B:$B,0)+11)+INDEX(R:R,MATCH(Q19,$B:$B,0)+12)+INDEX(R:R,MATCH(Q19,$B:$B,0)+13))</f>
        <v>125</v>
      </c>
      <c r="R24" s="425"/>
      <c r="S24" s="426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" customHeight="1">
      <c r="B25" s="420" t="s">
        <v>2278</v>
      </c>
      <c r="C25" s="421"/>
      <c r="D25" s="422"/>
      <c r="E25" s="407">
        <f>SUM(E22:E24)</f>
        <v>434</v>
      </c>
      <c r="F25" s="423"/>
      <c r="G25" s="408"/>
      <c r="H25" s="407">
        <f>SUM(H22:H24)</f>
        <v>515</v>
      </c>
      <c r="I25" s="423"/>
      <c r="J25" s="408"/>
      <c r="K25" s="407">
        <f>SUM(K22:K24)</f>
        <v>450</v>
      </c>
      <c r="L25" s="423"/>
      <c r="M25" s="408"/>
      <c r="N25" s="407">
        <f>SUM(N22:N24)</f>
        <v>539</v>
      </c>
      <c r="O25" s="423"/>
      <c r="P25" s="408"/>
      <c r="Q25" s="407">
        <f>SUM(Q22:Q24)</f>
        <v>450</v>
      </c>
      <c r="R25" s="423"/>
      <c r="S25" s="408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>
      <c r="A27" s="255"/>
      <c r="B27" s="7" t="s">
        <v>1802</v>
      </c>
      <c r="C27" s="24"/>
      <c r="D27" s="24"/>
      <c r="E27" s="35" t="s">
        <v>1786</v>
      </c>
      <c r="F27" s="35"/>
      <c r="G27" s="427" t="str">
        <f>Schlüssel!$C$1</f>
        <v>Landesliga Jugend</v>
      </c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06">
        <f>Schlüssel!$AG$1</f>
        <v>45717</v>
      </c>
      <c r="T27" s="406"/>
      <c r="U27" s="406"/>
      <c r="V27" s="406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>
      <c r="A28" s="53"/>
      <c r="B28" s="54">
        <v>2</v>
      </c>
      <c r="E28" s="35" t="s">
        <v>1787</v>
      </c>
      <c r="F28" s="35"/>
      <c r="G28" s="413" t="str">
        <f>Schlüssel!$W$2</f>
        <v>Unterföhring Dreambowl Palace</v>
      </c>
      <c r="H28" s="413"/>
      <c r="I28" s="413"/>
      <c r="J28" s="413"/>
      <c r="K28" s="413"/>
      <c r="L28" s="413"/>
      <c r="M28" s="413"/>
      <c r="N28" s="413"/>
      <c r="O28" s="413"/>
      <c r="P28" s="66"/>
      <c r="Q28" s="411" t="s">
        <v>1785</v>
      </c>
      <c r="R28" s="412"/>
      <c r="S28" s="38">
        <v>2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>
      <c r="B29" s="414" t="str">
        <f>VLOOKUP(B28,Schlüssel!$A$5:$B$12,2)</f>
        <v>Highroller Rosenheim 1</v>
      </c>
      <c r="C29" s="415"/>
      <c r="D29" s="415"/>
      <c r="E29" s="415"/>
      <c r="F29" s="415"/>
      <c r="G29" s="416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3.8" hidden="1" thickBot="1">
      <c r="A30" s="6"/>
      <c r="B30" s="7"/>
      <c r="C30" s="43"/>
      <c r="D30" s="43"/>
      <c r="E30" s="162" t="s">
        <v>10</v>
      </c>
      <c r="F30" s="220"/>
      <c r="G30" s="159">
        <f>VLOOKUP(B28,Schlüssel!$A$5:$EK$12,33)</f>
        <v>9</v>
      </c>
      <c r="H30" s="161" t="s">
        <v>10</v>
      </c>
      <c r="I30" s="220"/>
      <c r="J30" s="159">
        <f>VLOOKUP(B28,Schlüssel!$A$5:$EK$12,34)</f>
        <v>14</v>
      </c>
      <c r="K30" s="161" t="s">
        <v>10</v>
      </c>
      <c r="L30" s="220"/>
      <c r="M30" s="159">
        <f>VLOOKUP(B28,Schlüssel!$A$5:$EK$12,35)</f>
        <v>9</v>
      </c>
      <c r="N30" s="161" t="s">
        <v>10</v>
      </c>
      <c r="O30" s="220"/>
      <c r="P30" s="159">
        <f>VLOOKUP(B28,Schlüssel!$A$5:$EK$12,36)</f>
        <v>11</v>
      </c>
      <c r="Q30" s="161" t="s">
        <v>10</v>
      </c>
      <c r="R30" s="220"/>
      <c r="S30" s="160">
        <f>VLOOKUP(B28,Schlüssel!$A$5:$EK$12,37)</f>
        <v>14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>
      <c r="B31" s="44" t="s">
        <v>1</v>
      </c>
      <c r="C31" s="208"/>
      <c r="D31" s="217"/>
      <c r="E31" s="423" t="s">
        <v>1793</v>
      </c>
      <c r="F31" s="423"/>
      <c r="G31" s="408"/>
      <c r="H31" s="407" t="s">
        <v>1794</v>
      </c>
      <c r="I31" s="423"/>
      <c r="J31" s="408"/>
      <c r="K31" s="407" t="s">
        <v>1795</v>
      </c>
      <c r="L31" s="423"/>
      <c r="M31" s="408"/>
      <c r="N31" s="407" t="s">
        <v>1796</v>
      </c>
      <c r="O31" s="423"/>
      <c r="P31" s="408"/>
      <c r="Q31" s="407" t="s">
        <v>1797</v>
      </c>
      <c r="R31" s="423"/>
      <c r="S31" s="437"/>
      <c r="T31" s="439" t="s">
        <v>1792</v>
      </c>
      <c r="U31" s="440"/>
      <c r="V31" s="410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6.95" customHeight="1">
      <c r="A33" s="403" t="s">
        <v>0</v>
      </c>
      <c r="B33" s="58" t="str">
        <f>IF(C33=0,"",VLOOKUP(C33,Starter!$A$1:$D$196,2,FALSE))</f>
        <v>Thiele, Isabelle</v>
      </c>
      <c r="C33" s="232">
        <v>38831</v>
      </c>
      <c r="D33" s="238">
        <f t="shared" ref="D33:D41" si="24">+AP33</f>
        <v>46</v>
      </c>
      <c r="E33" s="221">
        <v>90</v>
      </c>
      <c r="F33" s="240">
        <f t="shared" ref="F33:F41" si="25">IF(E33&gt;0,E33+$D33,0)</f>
        <v>136</v>
      </c>
      <c r="G33" s="428">
        <f>IF(SUM(F33:F35)+E48=0,0,IF(ABS(SUM(F33:F35))=E48,Spielorte!$A$30/2,IF(ABS(SUM(F33:F35))&gt;E48,Spielorte!$A$30,0)))</f>
        <v>1</v>
      </c>
      <c r="H33" s="221"/>
      <c r="I33" s="240">
        <f t="shared" ref="I33:I41" si="26">IF(H33&gt;0,H33+$D33,0)</f>
        <v>0</v>
      </c>
      <c r="J33" s="428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8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8">
        <f>IF(SUM(O33:O35)+N48=0,0,IF(ABS(SUM(O33:O35))=N48,Spielorte!$A$30/2,IF(ABS(SUM(O33:O35))&gt;N48,Spielorte!$A$30,0)))</f>
        <v>1</v>
      </c>
      <c r="Q33" s="221"/>
      <c r="R33" s="240">
        <f t="shared" ref="R33:R41" si="29">IF(Q33&gt;0,Q33+$D33,0)</f>
        <v>0</v>
      </c>
      <c r="S33" s="428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90</v>
      </c>
      <c r="U33" s="240">
        <f t="shared" si="30"/>
        <v>136</v>
      </c>
      <c r="V33" s="400">
        <f>SUM(G33+J33+M33+P33+S33)</f>
        <v>2</v>
      </c>
      <c r="W33" s="79"/>
      <c r="X33" s="79"/>
      <c r="Y33" s="79"/>
      <c r="Z33" s="79"/>
      <c r="AA33" s="79"/>
      <c r="AB33" s="79"/>
      <c r="AL33" s="169">
        <f>IF(AU33=0,0,IFERROR(INDEX(RanglisteST2!K:K,MATCH(AU33,RanglisteST2!A:A,0)),0))</f>
        <v>101.89</v>
      </c>
      <c r="AM33" s="169">
        <f>IF(AU33=0,0,SUMIF(AU33:AU41,AU33,AV33:AV41))</f>
        <v>351</v>
      </c>
      <c r="AN33" s="169">
        <f>IF(AU33=0,0,SUMIF(AU33:AU41,AU33,AW33:AW41))</f>
        <v>3</v>
      </c>
      <c r="AO33" s="169">
        <f t="shared" ref="AO33:AO41" si="31">IFERROR(AM33/AN33,0)</f>
        <v>117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46</v>
      </c>
      <c r="AQ33" s="166"/>
      <c r="AR33" s="167"/>
      <c r="AS33" s="167"/>
      <c r="AT33" s="168"/>
      <c r="AU33" s="171">
        <f t="shared" ref="AU33:AU41" si="32">C33</f>
        <v>38831</v>
      </c>
      <c r="AV33" s="167">
        <f t="shared" ref="AV33:AV41" si="33">T33</f>
        <v>90</v>
      </c>
      <c r="AW33" s="169">
        <f t="shared" ref="AW33:AW41" si="34">COUNT(AY33:BC33)</f>
        <v>1</v>
      </c>
      <c r="AX33" s="169">
        <f t="shared" ref="AX33:AX41" si="35">COUNTIF(AY33:BC33,"&gt;0")</f>
        <v>1</v>
      </c>
      <c r="AY33" s="169">
        <f t="shared" ref="AY33:AY41" si="36">IF(E33=0,"",E33)</f>
        <v>90</v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90</v>
      </c>
      <c r="BG33" s="169">
        <f t="shared" ref="BG33:BG41" si="42">IF(BF33&lt;MAX(BF:BF),0,BF33+ROW()/1000000000)</f>
        <v>0</v>
      </c>
      <c r="BH33" s="169" t="str">
        <f>+B29</f>
        <v>Highroller Rosenheim 1</v>
      </c>
      <c r="BI33" s="168">
        <f t="shared" ref="BI33:BI41" si="43">RANK(BG33,BG:BG)</f>
        <v>2</v>
      </c>
      <c r="BJ33" s="169">
        <f t="shared" ref="BJ33:BJ41" si="44">SUMIF(AY33:BC33,"&gt;0")</f>
        <v>90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0</v>
      </c>
      <c r="BM33" s="168">
        <f t="shared" ref="BM33:BM41" si="46">IF(BL33=0,0,RANK(BL33,BL:BL))</f>
        <v>0</v>
      </c>
    </row>
    <row r="34" spans="1:65" ht="16.95" customHeight="1">
      <c r="A34" s="404"/>
      <c r="B34" s="58" t="str">
        <f>IF(C34=0,"",VLOOKUP(C34,Starter!$A$1:$D$196,2,FALSE))</f>
        <v>Achhammer, Klara</v>
      </c>
      <c r="C34" s="233">
        <v>38760</v>
      </c>
      <c r="D34" s="239">
        <f t="shared" si="24"/>
        <v>5</v>
      </c>
      <c r="E34" s="222"/>
      <c r="F34" s="241">
        <f t="shared" si="25"/>
        <v>0</v>
      </c>
      <c r="G34" s="429"/>
      <c r="H34" s="222">
        <v>119</v>
      </c>
      <c r="I34" s="241">
        <f t="shared" si="26"/>
        <v>124</v>
      </c>
      <c r="J34" s="429"/>
      <c r="K34" s="222">
        <v>129</v>
      </c>
      <c r="L34" s="241">
        <f t="shared" si="27"/>
        <v>134</v>
      </c>
      <c r="M34" s="429"/>
      <c r="N34" s="222">
        <v>154</v>
      </c>
      <c r="O34" s="241">
        <f t="shared" si="28"/>
        <v>159</v>
      </c>
      <c r="P34" s="429"/>
      <c r="Q34" s="222">
        <v>137</v>
      </c>
      <c r="R34" s="241">
        <f t="shared" si="29"/>
        <v>142</v>
      </c>
      <c r="S34" s="429"/>
      <c r="T34" s="222">
        <f t="shared" si="30"/>
        <v>539</v>
      </c>
      <c r="U34" s="241">
        <f t="shared" si="30"/>
        <v>559</v>
      </c>
      <c r="V34" s="401"/>
      <c r="W34" s="79"/>
      <c r="X34" s="79"/>
      <c r="Y34" s="79"/>
      <c r="Z34" s="79"/>
      <c r="AA34" s="79"/>
      <c r="AB34" s="79"/>
      <c r="AL34" s="169">
        <f>IF(AU34=0,0,IFERROR(INDEX(RanglisteST2!K:K,MATCH(AU34,RanglisteST2!A:A,0)),0))</f>
        <v>153.21</v>
      </c>
      <c r="AM34" s="169">
        <f>IF(AU34=0,0,SUMIF(AU33:AU41,AU34,AV33:AV41))</f>
        <v>539</v>
      </c>
      <c r="AN34" s="169">
        <f>IF(AU34=0,0,SUMIF(AU33:AU41,AU34,AW33:AW41))</f>
        <v>4</v>
      </c>
      <c r="AO34" s="169">
        <f t="shared" si="31"/>
        <v>134.75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5</v>
      </c>
      <c r="AQ34" s="166"/>
      <c r="AR34" s="167"/>
      <c r="AS34" s="167"/>
      <c r="AT34" s="168"/>
      <c r="AU34" s="171">
        <f t="shared" si="32"/>
        <v>38760</v>
      </c>
      <c r="AV34" s="167">
        <f t="shared" si="33"/>
        <v>539</v>
      </c>
      <c r="AW34" s="169">
        <f t="shared" si="34"/>
        <v>4</v>
      </c>
      <c r="AX34" s="169">
        <f t="shared" si="35"/>
        <v>4</v>
      </c>
      <c r="AY34" s="169" t="str">
        <f t="shared" si="36"/>
        <v/>
      </c>
      <c r="AZ34" s="169">
        <f t="shared" si="37"/>
        <v>119</v>
      </c>
      <c r="BA34" s="169">
        <f t="shared" si="38"/>
        <v>129</v>
      </c>
      <c r="BB34" s="169">
        <f t="shared" si="39"/>
        <v>154</v>
      </c>
      <c r="BC34" s="169">
        <f t="shared" si="40"/>
        <v>137</v>
      </c>
      <c r="BD34" s="170"/>
      <c r="BE34" s="168"/>
      <c r="BF34" s="169">
        <f t="shared" si="41"/>
        <v>154</v>
      </c>
      <c r="BG34" s="169">
        <f t="shared" si="42"/>
        <v>0</v>
      </c>
      <c r="BH34" s="169" t="str">
        <f t="shared" ref="BH34:BH41" si="47">+BH33</f>
        <v>Highroller Rosenheim 1</v>
      </c>
      <c r="BI34" s="168">
        <f t="shared" si="43"/>
        <v>2</v>
      </c>
      <c r="BJ34" s="169">
        <f t="shared" si="44"/>
        <v>539</v>
      </c>
      <c r="BK34" s="169">
        <f>IF(COUNTIF(AY34:BC34,"&gt;0")&lt;Spielorte!$A$23,0,AV34/Spielorte!$A$23)</f>
        <v>0</v>
      </c>
      <c r="BL34" s="169">
        <f t="shared" si="45"/>
        <v>0</v>
      </c>
      <c r="BM34" s="168">
        <f t="shared" si="46"/>
        <v>0</v>
      </c>
    </row>
    <row r="35" spans="1:65" ht="16.95" customHeight="1" thickBot="1">
      <c r="A35" s="405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30"/>
      <c r="H35" s="224"/>
      <c r="I35" s="242">
        <f t="shared" si="26"/>
        <v>0</v>
      </c>
      <c r="J35" s="430"/>
      <c r="K35" s="224"/>
      <c r="L35" s="242">
        <f t="shared" si="27"/>
        <v>0</v>
      </c>
      <c r="M35" s="430"/>
      <c r="N35" s="224"/>
      <c r="O35" s="242">
        <f t="shared" si="28"/>
        <v>0</v>
      </c>
      <c r="P35" s="430"/>
      <c r="Q35" s="224"/>
      <c r="R35" s="242">
        <f t="shared" si="29"/>
        <v>0</v>
      </c>
      <c r="S35" s="430"/>
      <c r="T35" s="224">
        <f t="shared" si="30"/>
        <v>0</v>
      </c>
      <c r="U35" s="242">
        <f t="shared" si="30"/>
        <v>0</v>
      </c>
      <c r="V35" s="402"/>
      <c r="W35" s="79"/>
      <c r="X35" s="79"/>
      <c r="Y35" s="79"/>
      <c r="Z35" s="79"/>
      <c r="AA35" s="79"/>
      <c r="AB35" s="79"/>
      <c r="AL35" s="169">
        <f>IF(AU35=0,0,IFERROR(INDEX(RanglisteST2!K:K,MATCH(AU35,RanglisteST2!A:A,0)),0))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0</v>
      </c>
      <c r="BH35" s="169" t="str">
        <f t="shared" si="47"/>
        <v>Highroller Rosenheim 1</v>
      </c>
      <c r="BI35" s="168">
        <f t="shared" si="43"/>
        <v>2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0</v>
      </c>
      <c r="BM35" s="168">
        <f t="shared" si="46"/>
        <v>0</v>
      </c>
    </row>
    <row r="36" spans="1:65" ht="16.95" customHeight="1">
      <c r="A36" s="403" t="s">
        <v>2</v>
      </c>
      <c r="B36" s="58" t="str">
        <f>IF(C36=0,"",VLOOKUP(C36,Starter!$A$1:$D$196,2,FALSE))</f>
        <v>Weiss, Luisa Samira</v>
      </c>
      <c r="C36" s="235">
        <v>38773</v>
      </c>
      <c r="D36" s="238">
        <f t="shared" si="24"/>
        <v>5</v>
      </c>
      <c r="E36" s="221">
        <v>146</v>
      </c>
      <c r="F36" s="240">
        <f t="shared" si="25"/>
        <v>151</v>
      </c>
      <c r="G36" s="428">
        <f>IF(SUM(F36:F38)+E49=0,0,IF(ABS(SUM(F36:F38))=E49,Spielorte!$A$30/2,IF(ABS(SUM(F36:F38))&gt;E49,Spielorte!$A$30,0)))</f>
        <v>0</v>
      </c>
      <c r="H36" s="221">
        <v>135</v>
      </c>
      <c r="I36" s="240">
        <f t="shared" si="26"/>
        <v>140</v>
      </c>
      <c r="J36" s="428">
        <f>IF(SUM(I36:I38)+H49=0,0,IF(ABS(SUM(I36:I38))=H49,Spielorte!$A$30/2,IF(ABS(SUM(I36:I38))&gt;H49,Spielorte!$A$30,0)))</f>
        <v>0</v>
      </c>
      <c r="K36" s="221">
        <v>138</v>
      </c>
      <c r="L36" s="240">
        <f t="shared" si="27"/>
        <v>143</v>
      </c>
      <c r="M36" s="428">
        <f>IF(SUM(L36:L38)+K49=0,0,IF(ABS(SUM(L36:L38))=K49,Spielorte!$A$30/2,IF(ABS(SUM(L36:L38))&gt;K49,Spielorte!$A$30,0)))</f>
        <v>1</v>
      </c>
      <c r="N36" s="221"/>
      <c r="O36" s="240">
        <f t="shared" si="28"/>
        <v>0</v>
      </c>
      <c r="P36" s="428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8">
        <f>IF(SUM(R36:R38)+Q49=0,0,IF(ABS(SUM(R36:R38))=Q49,Spielorte!$A$30/2,IF(ABS(SUM(R36:R38))&gt;Q49,Spielorte!$A$30,0)))</f>
        <v>0</v>
      </c>
      <c r="T36" s="221">
        <f t="shared" si="30"/>
        <v>419</v>
      </c>
      <c r="U36" s="240">
        <f t="shared" si="30"/>
        <v>434</v>
      </c>
      <c r="V36" s="400">
        <f>SUM(G36+J36+M36+P36+S36)</f>
        <v>1</v>
      </c>
      <c r="W36" s="79"/>
      <c r="X36" s="79"/>
      <c r="Y36" s="79"/>
      <c r="Z36" s="79"/>
      <c r="AA36" s="79"/>
      <c r="AB36" s="79"/>
      <c r="AL36" s="169">
        <f>IF(AU36=0,0,IFERROR(INDEX(RanglisteST2!K:K,MATCH(AU36,RanglisteST2!A:A,0)),0))</f>
        <v>153.91</v>
      </c>
      <c r="AM36" s="169">
        <f>IF(AU36=0,0,SUMIF(AU33:AU41,AU36,AV33:AV41))</f>
        <v>598</v>
      </c>
      <c r="AN36" s="169">
        <f>IF(AU36=0,0,SUMIF(AU33:AU41,AU36,AW33:AW41))</f>
        <v>4</v>
      </c>
      <c r="AO36" s="169">
        <f t="shared" si="31"/>
        <v>149.5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5</v>
      </c>
      <c r="AQ36" s="166"/>
      <c r="AR36" s="167"/>
      <c r="AS36" s="167"/>
      <c r="AT36" s="168"/>
      <c r="AU36" s="171">
        <f t="shared" si="32"/>
        <v>38773</v>
      </c>
      <c r="AV36" s="167">
        <f t="shared" si="33"/>
        <v>419</v>
      </c>
      <c r="AW36" s="169">
        <f t="shared" si="34"/>
        <v>3</v>
      </c>
      <c r="AX36" s="169">
        <f t="shared" si="35"/>
        <v>3</v>
      </c>
      <c r="AY36" s="169">
        <f t="shared" si="36"/>
        <v>146</v>
      </c>
      <c r="AZ36" s="169">
        <f t="shared" si="37"/>
        <v>135</v>
      </c>
      <c r="BA36" s="169">
        <f t="shared" si="38"/>
        <v>138</v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146</v>
      </c>
      <c r="BG36" s="169">
        <f t="shared" si="42"/>
        <v>0</v>
      </c>
      <c r="BH36" s="169" t="str">
        <f t="shared" si="47"/>
        <v>Highroller Rosenheim 1</v>
      </c>
      <c r="BI36" s="168">
        <f t="shared" si="43"/>
        <v>2</v>
      </c>
      <c r="BJ36" s="169">
        <f t="shared" si="44"/>
        <v>419</v>
      </c>
      <c r="BK36" s="169">
        <f>IF(COUNTIF(AY36:BC36,"&gt;0")&lt;Spielorte!$A$23,0,AV36/Spielorte!$A$23)</f>
        <v>0</v>
      </c>
      <c r="BL36" s="169">
        <f t="shared" si="45"/>
        <v>0</v>
      </c>
      <c r="BM36" s="168">
        <f t="shared" si="46"/>
        <v>0</v>
      </c>
    </row>
    <row r="37" spans="1:65" ht="16.95" customHeight="1">
      <c r="A37" s="404"/>
      <c r="B37" s="58" t="str">
        <f>IF(C37=0,"",VLOOKUP(C37,Starter!$A$1:$D$196,2,FALSE))</f>
        <v>Stölzel, Celia</v>
      </c>
      <c r="C37" s="233">
        <v>38759</v>
      </c>
      <c r="D37" s="239">
        <f t="shared" si="24"/>
        <v>6</v>
      </c>
      <c r="E37" s="222"/>
      <c r="F37" s="241">
        <f t="shared" si="25"/>
        <v>0</v>
      </c>
      <c r="G37" s="429"/>
      <c r="H37" s="222"/>
      <c r="I37" s="241">
        <f t="shared" si="26"/>
        <v>0</v>
      </c>
      <c r="J37" s="429"/>
      <c r="K37" s="222"/>
      <c r="L37" s="241">
        <f t="shared" si="27"/>
        <v>0</v>
      </c>
      <c r="M37" s="429"/>
      <c r="N37" s="222">
        <v>125</v>
      </c>
      <c r="O37" s="241">
        <f t="shared" si="28"/>
        <v>131</v>
      </c>
      <c r="P37" s="429"/>
      <c r="Q37" s="222">
        <v>135</v>
      </c>
      <c r="R37" s="241">
        <f t="shared" si="29"/>
        <v>141</v>
      </c>
      <c r="S37" s="429"/>
      <c r="T37" s="222">
        <f t="shared" si="30"/>
        <v>260</v>
      </c>
      <c r="U37" s="241">
        <f t="shared" si="30"/>
        <v>272</v>
      </c>
      <c r="V37" s="401"/>
      <c r="W37" s="79"/>
      <c r="X37" s="79"/>
      <c r="Y37" s="79"/>
      <c r="Z37" s="79"/>
      <c r="AA37" s="79"/>
      <c r="AB37" s="79"/>
      <c r="AL37" s="169">
        <f>IF(AU37=0,0,IFERROR(INDEX(RanglisteST2!K:K,MATCH(AU37,RanglisteST2!A:A,0)),0))</f>
        <v>152.22</v>
      </c>
      <c r="AM37" s="169">
        <f>IF(AU37=0,0,SUMIF(AU33:AU41,AU37,AV33:AV41))</f>
        <v>599</v>
      </c>
      <c r="AN37" s="169">
        <f>IF(AU37=0,0,SUMIF(AU33:AU41,AU37,AW33:AW41))</f>
        <v>4</v>
      </c>
      <c r="AO37" s="169">
        <f t="shared" si="31"/>
        <v>149.75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6</v>
      </c>
      <c r="AQ37" s="166"/>
      <c r="AR37" s="167"/>
      <c r="AS37" s="167"/>
      <c r="AT37" s="168"/>
      <c r="AU37" s="171">
        <f t="shared" si="32"/>
        <v>38759</v>
      </c>
      <c r="AV37" s="167">
        <f t="shared" si="33"/>
        <v>260</v>
      </c>
      <c r="AW37" s="169">
        <f t="shared" si="34"/>
        <v>2</v>
      </c>
      <c r="AX37" s="169">
        <f t="shared" si="35"/>
        <v>2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>
        <f t="shared" si="39"/>
        <v>125</v>
      </c>
      <c r="BC37" s="169">
        <f t="shared" si="40"/>
        <v>135</v>
      </c>
      <c r="BD37" s="170"/>
      <c r="BE37" s="168"/>
      <c r="BF37" s="169">
        <f t="shared" si="41"/>
        <v>135</v>
      </c>
      <c r="BG37" s="169">
        <f t="shared" si="42"/>
        <v>0</v>
      </c>
      <c r="BH37" s="169" t="str">
        <f t="shared" si="47"/>
        <v>Highroller Rosenheim 1</v>
      </c>
      <c r="BI37" s="168">
        <f t="shared" si="43"/>
        <v>2</v>
      </c>
      <c r="BJ37" s="169">
        <f t="shared" si="44"/>
        <v>260</v>
      </c>
      <c r="BK37" s="169">
        <f>IF(COUNTIF(AY37:BC37,"&gt;0")&lt;Spielorte!$A$23,0,AV37/Spielorte!$A$23)</f>
        <v>0</v>
      </c>
      <c r="BL37" s="169">
        <f t="shared" si="45"/>
        <v>0</v>
      </c>
      <c r="BM37" s="168">
        <f t="shared" si="46"/>
        <v>0</v>
      </c>
    </row>
    <row r="38" spans="1:65" ht="16.95" customHeight="1" thickBot="1">
      <c r="A38" s="405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30"/>
      <c r="H38" s="224"/>
      <c r="I38" s="242">
        <f t="shared" si="26"/>
        <v>0</v>
      </c>
      <c r="J38" s="430"/>
      <c r="K38" s="224"/>
      <c r="L38" s="242">
        <f t="shared" si="27"/>
        <v>0</v>
      </c>
      <c r="M38" s="430"/>
      <c r="N38" s="224"/>
      <c r="O38" s="242">
        <f t="shared" si="28"/>
        <v>0</v>
      </c>
      <c r="P38" s="430"/>
      <c r="Q38" s="224"/>
      <c r="R38" s="242">
        <f t="shared" si="29"/>
        <v>0</v>
      </c>
      <c r="S38" s="430"/>
      <c r="T38" s="224">
        <f t="shared" si="30"/>
        <v>0</v>
      </c>
      <c r="U38" s="242">
        <f t="shared" si="30"/>
        <v>0</v>
      </c>
      <c r="V38" s="402"/>
      <c r="W38" s="79"/>
      <c r="X38" s="79"/>
      <c r="Y38" s="79"/>
      <c r="Z38" s="79"/>
      <c r="AA38" s="79"/>
      <c r="AB38" s="79"/>
      <c r="AL38" s="169">
        <f>IF(AU38=0,0,IFERROR(INDEX(RanglisteST2!K:K,MATCH(AU38,RanglisteST2!A:A,0)),0))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0</v>
      </c>
      <c r="BH38" s="169" t="str">
        <f t="shared" si="47"/>
        <v>Highroller Rosenheim 1</v>
      </c>
      <c r="BI38" s="168">
        <f t="shared" si="43"/>
        <v>2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0</v>
      </c>
      <c r="BM38" s="168">
        <f t="shared" si="46"/>
        <v>0</v>
      </c>
    </row>
    <row r="39" spans="1:65" ht="16.95" customHeight="1">
      <c r="A39" s="403" t="s">
        <v>3</v>
      </c>
      <c r="B39" s="58" t="str">
        <f>IF(C39=0,"",VLOOKUP(C39,Starter!$A$1:$D$196,2,FALSE))</f>
        <v>Stölzel, Celia</v>
      </c>
      <c r="C39" s="235">
        <v>38759</v>
      </c>
      <c r="D39" s="238">
        <f t="shared" si="24"/>
        <v>6</v>
      </c>
      <c r="E39" s="221">
        <v>151</v>
      </c>
      <c r="F39" s="240">
        <f t="shared" si="25"/>
        <v>157</v>
      </c>
      <c r="G39" s="428">
        <f>IF(SUM(F39:F41)+E50=0,0,IF(ABS(SUM(F39:F41))=E50,Spielorte!$A$30/2,IF(ABS(SUM(F39:F41))&gt;E50,Spielorte!$A$30,0)))</f>
        <v>1</v>
      </c>
      <c r="H39" s="221">
        <v>188</v>
      </c>
      <c r="I39" s="240">
        <f t="shared" si="26"/>
        <v>194</v>
      </c>
      <c r="J39" s="428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8">
        <f>IF(SUM(L39:L41)+K50=0,0,IF(ABS(SUM(L39:L41))=K50,Spielorte!$A$30/2,IF(ABS(SUM(L39:L41))&gt;K50,Spielorte!$A$30,0)))</f>
        <v>1</v>
      </c>
      <c r="N39" s="221"/>
      <c r="O39" s="240">
        <f t="shared" si="28"/>
        <v>0</v>
      </c>
      <c r="P39" s="428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8">
        <f>IF(SUM(R39:R41)+Q50=0,0,IF(ABS(SUM(R39:R41))=Q50,Spielorte!$A$30/2,IF(ABS(SUM(R39:R41))&gt;Q50,Spielorte!$A$30,0)))</f>
        <v>0</v>
      </c>
      <c r="T39" s="221">
        <f t="shared" si="30"/>
        <v>339</v>
      </c>
      <c r="U39" s="240">
        <f t="shared" si="30"/>
        <v>351</v>
      </c>
      <c r="V39" s="400">
        <f>SUM(G39+J39+M39+P39+S39)</f>
        <v>2</v>
      </c>
      <c r="W39" s="79"/>
      <c r="X39" s="79"/>
      <c r="Y39" s="79"/>
      <c r="Z39" s="79"/>
      <c r="AA39" s="79"/>
      <c r="AB39" s="79"/>
      <c r="AL39" s="169">
        <f>IF(AU39=0,0,IFERROR(INDEX(RanglisteST2!K:K,MATCH(AU39,RanglisteST2!A:A,0)),0))</f>
        <v>152.22</v>
      </c>
      <c r="AM39" s="169">
        <f>IF(AU39=0,0,SUMIF(AU33:AU41,AU39,AV33:AV41))</f>
        <v>599</v>
      </c>
      <c r="AN39" s="169">
        <f>IF(AU39=0,0,SUMIF(AU33:AU41,AU39,AW33:AW41))</f>
        <v>4</v>
      </c>
      <c r="AO39" s="169">
        <f t="shared" si="31"/>
        <v>149.75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6</v>
      </c>
      <c r="AQ39" s="166"/>
      <c r="AR39" s="167"/>
      <c r="AS39" s="167"/>
      <c r="AT39" s="168"/>
      <c r="AU39" s="171">
        <f t="shared" si="32"/>
        <v>38759</v>
      </c>
      <c r="AV39" s="167">
        <f t="shared" si="33"/>
        <v>339</v>
      </c>
      <c r="AW39" s="169">
        <f t="shared" si="34"/>
        <v>2</v>
      </c>
      <c r="AX39" s="169">
        <f t="shared" si="35"/>
        <v>2</v>
      </c>
      <c r="AY39" s="169">
        <f t="shared" si="36"/>
        <v>151</v>
      </c>
      <c r="AZ39" s="169">
        <f t="shared" si="37"/>
        <v>188</v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188</v>
      </c>
      <c r="BG39" s="169">
        <f t="shared" si="42"/>
        <v>0</v>
      </c>
      <c r="BH39" s="169" t="str">
        <f t="shared" si="47"/>
        <v>Highroller Rosenheim 1</v>
      </c>
      <c r="BI39" s="168">
        <f t="shared" si="43"/>
        <v>2</v>
      </c>
      <c r="BJ39" s="169">
        <f t="shared" si="44"/>
        <v>339</v>
      </c>
      <c r="BK39" s="169">
        <f>IF(COUNTIF(AY39:BC39,"&gt;0")&lt;Spielorte!$A$23,0,AV39/Spielorte!$A$23)</f>
        <v>0</v>
      </c>
      <c r="BL39" s="169">
        <f t="shared" si="45"/>
        <v>0</v>
      </c>
      <c r="BM39" s="168">
        <f t="shared" si="46"/>
        <v>0</v>
      </c>
    </row>
    <row r="40" spans="1:65" ht="16.95" customHeight="1">
      <c r="A40" s="404"/>
      <c r="B40" s="58" t="str">
        <f>IF(C40=0,"",VLOOKUP(C40,Starter!$A$1:$D$196,2,FALSE))</f>
        <v>Thiele, Isabelle</v>
      </c>
      <c r="C40" s="233">
        <v>38831</v>
      </c>
      <c r="D40" s="239">
        <f t="shared" si="24"/>
        <v>46</v>
      </c>
      <c r="E40" s="222"/>
      <c r="F40" s="241">
        <f t="shared" si="25"/>
        <v>0</v>
      </c>
      <c r="G40" s="429"/>
      <c r="H40" s="222"/>
      <c r="I40" s="241">
        <f t="shared" si="26"/>
        <v>0</v>
      </c>
      <c r="J40" s="429"/>
      <c r="K40" s="222">
        <v>135</v>
      </c>
      <c r="L40" s="241">
        <f t="shared" si="27"/>
        <v>181</v>
      </c>
      <c r="M40" s="429"/>
      <c r="N40" s="222">
        <v>126</v>
      </c>
      <c r="O40" s="241">
        <f t="shared" si="28"/>
        <v>172</v>
      </c>
      <c r="P40" s="429"/>
      <c r="Q40" s="222"/>
      <c r="R40" s="241">
        <f t="shared" si="29"/>
        <v>0</v>
      </c>
      <c r="S40" s="429"/>
      <c r="T40" s="222">
        <f t="shared" si="30"/>
        <v>261</v>
      </c>
      <c r="U40" s="241">
        <f t="shared" si="30"/>
        <v>353</v>
      </c>
      <c r="V40" s="401"/>
      <c r="W40" s="79"/>
      <c r="X40" s="79"/>
      <c r="Y40" s="79"/>
      <c r="Z40" s="79"/>
      <c r="AA40" s="79"/>
      <c r="AB40" s="79"/>
      <c r="AL40" s="169">
        <f>IF(AU40=0,0,IFERROR(INDEX(RanglisteST2!K:K,MATCH(AU40,RanglisteST2!A:A,0)),0))</f>
        <v>101.89</v>
      </c>
      <c r="AM40" s="169">
        <f>IF(AU40=0,0,SUMIF(AU33:AU41,AU40,AV33:AV41))</f>
        <v>351</v>
      </c>
      <c r="AN40" s="169">
        <f>IF(AU40=0,0,SUMIF(AU33:AU41,AU40,AW33:AW41))</f>
        <v>3</v>
      </c>
      <c r="AO40" s="169">
        <f t="shared" si="31"/>
        <v>117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46</v>
      </c>
      <c r="AQ40" s="166"/>
      <c r="AR40" s="167"/>
      <c r="AS40" s="167"/>
      <c r="AT40" s="168"/>
      <c r="AU40" s="171">
        <f t="shared" si="32"/>
        <v>38831</v>
      </c>
      <c r="AV40" s="167">
        <f t="shared" si="33"/>
        <v>261</v>
      </c>
      <c r="AW40" s="169">
        <f t="shared" si="34"/>
        <v>2</v>
      </c>
      <c r="AX40" s="169">
        <f t="shared" si="35"/>
        <v>2</v>
      </c>
      <c r="AY40" s="169" t="str">
        <f t="shared" si="36"/>
        <v/>
      </c>
      <c r="AZ40" s="169" t="str">
        <f t="shared" si="37"/>
        <v/>
      </c>
      <c r="BA40" s="169">
        <f t="shared" si="38"/>
        <v>135</v>
      </c>
      <c r="BB40" s="169">
        <f t="shared" si="39"/>
        <v>126</v>
      </c>
      <c r="BC40" s="169" t="str">
        <f t="shared" si="40"/>
        <v/>
      </c>
      <c r="BD40" s="170"/>
      <c r="BE40" s="168"/>
      <c r="BF40" s="169">
        <f t="shared" si="41"/>
        <v>135</v>
      </c>
      <c r="BG40" s="169">
        <f t="shared" si="42"/>
        <v>0</v>
      </c>
      <c r="BH40" s="169" t="str">
        <f t="shared" si="47"/>
        <v>Highroller Rosenheim 1</v>
      </c>
      <c r="BI40" s="168">
        <f t="shared" si="43"/>
        <v>2</v>
      </c>
      <c r="BJ40" s="169">
        <f t="shared" si="44"/>
        <v>261</v>
      </c>
      <c r="BK40" s="169">
        <f>IF(COUNTIF(AY40:BC40,"&gt;0")&lt;Spielorte!$A$23,0,AV40/Spielorte!$A$23)</f>
        <v>0</v>
      </c>
      <c r="BL40" s="169">
        <f t="shared" si="45"/>
        <v>0</v>
      </c>
      <c r="BM40" s="168">
        <f t="shared" si="46"/>
        <v>0</v>
      </c>
    </row>
    <row r="41" spans="1:65" ht="16.95" customHeight="1" thickBot="1">
      <c r="A41" s="405"/>
      <c r="B41" s="60" t="str">
        <f>IF(C41=0,"",VLOOKUP(C41,Starter!$A$1:$D$196,2,FALSE))</f>
        <v>Weiss, Luisa Samira</v>
      </c>
      <c r="C41" s="236">
        <v>38773</v>
      </c>
      <c r="D41" s="223">
        <f t="shared" si="24"/>
        <v>5</v>
      </c>
      <c r="E41" s="224"/>
      <c r="F41" s="242">
        <f t="shared" si="25"/>
        <v>0</v>
      </c>
      <c r="G41" s="430"/>
      <c r="H41" s="224"/>
      <c r="I41" s="242">
        <f t="shared" si="26"/>
        <v>0</v>
      </c>
      <c r="J41" s="430"/>
      <c r="K41" s="224"/>
      <c r="L41" s="242">
        <f t="shared" si="27"/>
        <v>0</v>
      </c>
      <c r="M41" s="430"/>
      <c r="N41" s="224"/>
      <c r="O41" s="242">
        <f t="shared" si="28"/>
        <v>0</v>
      </c>
      <c r="P41" s="430"/>
      <c r="Q41" s="224">
        <v>179</v>
      </c>
      <c r="R41" s="242">
        <f t="shared" si="29"/>
        <v>184</v>
      </c>
      <c r="S41" s="430"/>
      <c r="T41" s="224">
        <f t="shared" si="30"/>
        <v>179</v>
      </c>
      <c r="U41" s="242">
        <f t="shared" si="30"/>
        <v>184</v>
      </c>
      <c r="V41" s="402"/>
      <c r="W41" s="79"/>
      <c r="X41" s="79"/>
      <c r="Y41" s="79"/>
      <c r="Z41" s="79"/>
      <c r="AA41" s="79"/>
      <c r="AB41" s="79"/>
      <c r="AL41" s="169">
        <f>IF(AU41=0,0,IFERROR(INDEX(RanglisteST2!K:K,MATCH(AU41,RanglisteST2!A:A,0)),0))</f>
        <v>153.91</v>
      </c>
      <c r="AM41" s="169">
        <f>IF(AU41=0,0,SUMIF(AU33:AU41,AU41,AV33:AV41))</f>
        <v>598</v>
      </c>
      <c r="AN41" s="169">
        <f>IF(AU41=0,0,SUMIF(AU33:AU41,AU41,AW33:AW41))</f>
        <v>4</v>
      </c>
      <c r="AO41" s="169">
        <f t="shared" si="31"/>
        <v>149.5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5</v>
      </c>
      <c r="AQ41" s="166"/>
      <c r="AR41" s="167"/>
      <c r="AS41" s="167"/>
      <c r="AT41" s="168"/>
      <c r="AU41" s="171">
        <f t="shared" si="32"/>
        <v>38773</v>
      </c>
      <c r="AV41" s="167">
        <f t="shared" si="33"/>
        <v>179</v>
      </c>
      <c r="AW41" s="169">
        <f t="shared" si="34"/>
        <v>1</v>
      </c>
      <c r="AX41" s="169">
        <f t="shared" si="35"/>
        <v>1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>
        <f t="shared" si="40"/>
        <v>179</v>
      </c>
      <c r="BD41" s="170"/>
      <c r="BE41" s="168"/>
      <c r="BF41" s="169">
        <f t="shared" si="41"/>
        <v>179</v>
      </c>
      <c r="BG41" s="169">
        <f t="shared" si="42"/>
        <v>0</v>
      </c>
      <c r="BH41" s="169" t="str">
        <f t="shared" si="47"/>
        <v>Highroller Rosenheim 1</v>
      </c>
      <c r="BI41" s="168">
        <f t="shared" si="43"/>
        <v>2</v>
      </c>
      <c r="BJ41" s="169">
        <f t="shared" si="44"/>
        <v>179</v>
      </c>
      <c r="BK41" s="169">
        <f>IF(COUNTIF(AY41:BC41,"&gt;0")&lt;Spielorte!$A$23,0,AV41/Spielorte!$A$23)</f>
        <v>0</v>
      </c>
      <c r="BL41" s="169">
        <f t="shared" si="45"/>
        <v>0</v>
      </c>
      <c r="BM41" s="168">
        <f t="shared" si="46"/>
        <v>0</v>
      </c>
    </row>
    <row r="42" spans="1:65" ht="27.75" customHeight="1" thickBot="1">
      <c r="B42" s="218" t="s">
        <v>1792</v>
      </c>
      <c r="C42" s="204"/>
      <c r="D42" s="219"/>
      <c r="E42" s="226">
        <f>ABS(SUM(E33:E35))+ABS(SUM(E36:E38))+ABS(SUM(E39:E41))</f>
        <v>387</v>
      </c>
      <c r="F42" s="225">
        <f>ABS(SUM(F33:F35))+ABS(SUM(F36:F38))+ABS(SUM(F39:F41))</f>
        <v>444</v>
      </c>
      <c r="G42" s="81">
        <f>IF(F42+E51=0,0,IF(F42=E51,Spielorte!$A$31/2,IF(F42&gt;E51,Spielorte!$A$31,0)))</f>
        <v>2</v>
      </c>
      <c r="H42" s="226">
        <f>ABS(SUM(H33:H35))+ABS(SUM(H36:H38))+ABS(SUM(H39:H41))</f>
        <v>442</v>
      </c>
      <c r="I42" s="225">
        <f>ABS(SUM(I33:I35))+ABS(SUM(I36:I38))+ABS(SUM(I39:I41))</f>
        <v>458</v>
      </c>
      <c r="J42" s="81">
        <f>IF(I42+H51=0,0,IF(I42=H51,Spielorte!$A$31/2,IF(I42&gt;H51,Spielorte!$A$31,0)))</f>
        <v>0</v>
      </c>
      <c r="K42" s="226">
        <f>ABS(SUM(K33:K35))+ABS(SUM(K36:K38))+ABS(SUM(K39:K41))</f>
        <v>402</v>
      </c>
      <c r="L42" s="225">
        <f>ABS(SUM(L33:L35))+ABS(SUM(L36:L38))+ABS(SUM(L39:L41))</f>
        <v>458</v>
      </c>
      <c r="M42" s="81">
        <f>IF(L42+K51=0,0,IF(L42=K51,Spielorte!$A$31/2,IF(L42&gt;K51,Spielorte!$A$31,0)))</f>
        <v>0</v>
      </c>
      <c r="N42" s="226">
        <f>ABS(SUM(N33:N35))+ABS(SUM(N36:N38))+ABS(SUM(N39:N41))</f>
        <v>405</v>
      </c>
      <c r="O42" s="225">
        <f>ABS(SUM(O33:O35))+ABS(SUM(O36:O38))+ABS(SUM(O39:O41))</f>
        <v>462</v>
      </c>
      <c r="P42" s="81">
        <f>IF(O42+N51=0,0,IF(O42=N51,Spielorte!$A$31/2,IF(O42&gt;N51,Spielorte!$A$31,0)))</f>
        <v>0</v>
      </c>
      <c r="Q42" s="226">
        <f>ABS(SUM(Q33:Q35))+ABS(SUM(Q36:Q38))+ABS(SUM(Q39:Q41))</f>
        <v>451</v>
      </c>
      <c r="R42" s="225">
        <f>ABS(SUM(R33:R35))+ABS(SUM(R36:R38))+ABS(SUM(R39:R41))</f>
        <v>467</v>
      </c>
      <c r="S42" s="81">
        <f>IF(R42+Q51=0,0,IF(R42=Q51,Spielorte!$A$31/2,IF(R42&gt;Q51,Spielorte!$A$31,0)))</f>
        <v>0</v>
      </c>
      <c r="T42" s="228">
        <f>SUM(E42+H42+K42+N42+Q42)</f>
        <v>2087</v>
      </c>
      <c r="U42" s="229">
        <f>SUM(F42+I42+L42+O42+R42)</f>
        <v>2289</v>
      </c>
      <c r="V42" s="12">
        <f>SUM(G42+J42+M42+P42+S42)</f>
        <v>2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>
      <c r="B43" s="230" t="s">
        <v>1803</v>
      </c>
      <c r="C43" s="1"/>
      <c r="D43" s="1"/>
      <c r="E43" s="1"/>
      <c r="F43" s="1"/>
      <c r="G43" s="61">
        <f>SUM(G33:G42)</f>
        <v>4</v>
      </c>
      <c r="H43" s="1"/>
      <c r="I43" s="1"/>
      <c r="J43" s="61">
        <f>SUM(J33:J42)</f>
        <v>0</v>
      </c>
      <c r="K43" s="1"/>
      <c r="L43" s="1"/>
      <c r="M43" s="61">
        <f>SUM(M33:M42)</f>
        <v>2</v>
      </c>
      <c r="N43" s="1"/>
      <c r="O43" s="1"/>
      <c r="P43" s="61">
        <f>SUM(P33:P42)</f>
        <v>1</v>
      </c>
      <c r="Q43" s="1"/>
      <c r="R43" s="1"/>
      <c r="S43" s="61">
        <f>SUM(S33:S42)</f>
        <v>0</v>
      </c>
      <c r="T43" s="1"/>
      <c r="U43" s="1"/>
      <c r="V43" s="61">
        <f>SUM(V33:V42)</f>
        <v>7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7</v>
      </c>
      <c r="AR43" s="167">
        <f>+T42</f>
        <v>2087</v>
      </c>
      <c r="AS43" s="167">
        <f>+U42</f>
        <v>2289</v>
      </c>
      <c r="AT43" s="168">
        <f>+B28</f>
        <v>2</v>
      </c>
      <c r="AW43" s="169">
        <f>SUM(AW27:AW42)</f>
        <v>15</v>
      </c>
      <c r="BD43" s="166">
        <f>+AS43/1000000+AQ43+AR43/1000000000000</f>
        <v>7.0022890020870001</v>
      </c>
      <c r="BE43" s="168">
        <f>RANK(BD43,BD:BD)</f>
        <v>7</v>
      </c>
      <c r="BI43" s="168"/>
      <c r="BM43" s="168"/>
    </row>
    <row r="44" spans="1:65" ht="11.25" customHeight="1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>
      <c r="B45" s="231" t="s">
        <v>1790</v>
      </c>
      <c r="C45" s="210"/>
      <c r="D45" s="42"/>
      <c r="E45" s="434">
        <f>VLOOKUP($B28,Schlüssel!$A$5:$EK$12,23)</f>
        <v>3</v>
      </c>
      <c r="F45" s="435"/>
      <c r="G45" s="436"/>
      <c r="H45" s="434">
        <f>VLOOKUP($B28,Schlüssel!$A$5:$EK$12,24)</f>
        <v>8</v>
      </c>
      <c r="I45" s="435"/>
      <c r="J45" s="436"/>
      <c r="K45" s="434">
        <f>VLOOKUP($B28,Schlüssel!$A$5:$EK$12,25)</f>
        <v>4</v>
      </c>
      <c r="L45" s="435"/>
      <c r="M45" s="436"/>
      <c r="N45" s="434">
        <f>VLOOKUP($B28,Schlüssel!$A$5:$EK$12,26)</f>
        <v>6</v>
      </c>
      <c r="O45" s="435"/>
      <c r="P45" s="436"/>
      <c r="Q45" s="434">
        <f>VLOOKUP($B28,Schlüssel!$A$5:$EK$12,27)</f>
        <v>7</v>
      </c>
      <c r="R45" s="435"/>
      <c r="S45" s="436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>
      <c r="B46" s="3" t="s">
        <v>9</v>
      </c>
      <c r="C46" s="1"/>
      <c r="D46" s="1"/>
      <c r="E46" s="395" t="str">
        <f>VLOOKUP(E45,Schlüssel!$A$5:$K$12,2)</f>
        <v>Highroller Rosenheim 2</v>
      </c>
      <c r="F46" s="438"/>
      <c r="G46" s="396"/>
      <c r="H46" s="395" t="str">
        <f>VLOOKUP(H45,Schlüssel!$A$5:$K$12,2)</f>
        <v>EMAX 1</v>
      </c>
      <c r="I46" s="438"/>
      <c r="J46" s="396"/>
      <c r="K46" s="395" t="str">
        <f>VLOOKUP(K45,Schlüssel!$A$5:$K$12,2)</f>
        <v>Highroller Rosenheim 3</v>
      </c>
      <c r="L46" s="438"/>
      <c r="M46" s="396"/>
      <c r="N46" s="395" t="str">
        <f>VLOOKUP(N45,Schlüssel!$A$5:$K$12,2)</f>
        <v>Bowling Jugend Bayern 1</v>
      </c>
      <c r="O46" s="438"/>
      <c r="P46" s="396"/>
      <c r="Q46" s="395" t="str">
        <f>VLOOKUP(Q45,Schlüssel!$A$5:$K$12,2)</f>
        <v>BK München 1</v>
      </c>
      <c r="R46" s="438"/>
      <c r="S46" s="396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" customHeight="1">
      <c r="B48" s="417" t="s">
        <v>2275</v>
      </c>
      <c r="C48" s="418"/>
      <c r="D48" s="419"/>
      <c r="E48" s="431">
        <f>ABS(INDEX(F:F,MATCH(E45,$B:$B,0)+5)+INDEX(F:F,MATCH(E45,$B:$B,0)+6)+INDEX(F:F,MATCH(E45,$B:$B,0)+7))</f>
        <v>125</v>
      </c>
      <c r="F48" s="432"/>
      <c r="G48" s="433"/>
      <c r="H48" s="431">
        <f>ABS(INDEX(I:I,MATCH(H45,$B:$B,0)+5)+INDEX(I:I,MATCH(H45,$B:$B,0)+6)+INDEX(I:I,MATCH(H45,$B:$B,0)+7))</f>
        <v>178</v>
      </c>
      <c r="I48" s="432"/>
      <c r="J48" s="433"/>
      <c r="K48" s="431">
        <f>ABS(INDEX(L:L,MATCH(K45,$B:$B,0)+5)+INDEX(L:L,MATCH(K45,$B:$B,0)+6)+INDEX(L:L,MATCH(K45,$B:$B,0)+7))</f>
        <v>161</v>
      </c>
      <c r="L48" s="432"/>
      <c r="M48" s="433"/>
      <c r="N48" s="431">
        <f>ABS(INDEX(O:O,MATCH(N45,$B:$B,0)+5)+INDEX(O:O,MATCH(N45,$B:$B,0)+6)+INDEX(O:O,MATCH(N45,$B:$B,0)+7))</f>
        <v>148</v>
      </c>
      <c r="O48" s="432"/>
      <c r="P48" s="433"/>
      <c r="Q48" s="431">
        <f>ABS(INDEX(R:R,MATCH(Q45,$B:$B,0)+5)+INDEX(R:R,MATCH(Q45,$B:$B,0)+6)+INDEX(R:R,MATCH(Q45,$B:$B,0)+7))</f>
        <v>224</v>
      </c>
      <c r="R48" s="432"/>
      <c r="S48" s="433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" customHeight="1">
      <c r="B49" s="417" t="s">
        <v>2276</v>
      </c>
      <c r="C49" s="418"/>
      <c r="D49" s="419"/>
      <c r="E49" s="424">
        <f>ABS(INDEX(F:F,MATCH(E45,$B:$B,0)+8)+INDEX(F:F,MATCH(E45,$B:$B,0)+9)+INDEX(F:F,MATCH(E45,$B:$B,0)+10))</f>
        <v>159</v>
      </c>
      <c r="F49" s="425"/>
      <c r="G49" s="426"/>
      <c r="H49" s="424">
        <f>ABS(INDEX(I:I,MATCH(H45,$B:$B,0)+8)+INDEX(I:I,MATCH(H45,$B:$B,0)+9)+INDEX(I:I,MATCH(H45,$B:$B,0)+10))</f>
        <v>169</v>
      </c>
      <c r="I49" s="425"/>
      <c r="J49" s="426"/>
      <c r="K49" s="424">
        <f>ABS(INDEX(L:L,MATCH(K45,$B:$B,0)+8)+INDEX(L:L,MATCH(K45,$B:$B,0)+9)+INDEX(L:L,MATCH(K45,$B:$B,0)+10))</f>
        <v>130</v>
      </c>
      <c r="L49" s="425"/>
      <c r="M49" s="426"/>
      <c r="N49" s="424">
        <f>ABS(INDEX(O:O,MATCH(N45,$B:$B,0)+8)+INDEX(O:O,MATCH(N45,$B:$B,0)+9)+INDEX(O:O,MATCH(N45,$B:$B,0)+10))</f>
        <v>141</v>
      </c>
      <c r="O49" s="425"/>
      <c r="P49" s="426"/>
      <c r="Q49" s="424">
        <f>ABS(INDEX(R:R,MATCH(Q45,$B:$B,0)+8)+INDEX(R:R,MATCH(Q45,$B:$B,0)+9)+INDEX(R:R,MATCH(Q45,$B:$B,0)+10))</f>
        <v>167</v>
      </c>
      <c r="R49" s="425"/>
      <c r="S49" s="426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" customHeight="1">
      <c r="B50" s="417" t="s">
        <v>2277</v>
      </c>
      <c r="C50" s="418"/>
      <c r="D50" s="419"/>
      <c r="E50" s="424">
        <f>ABS(INDEX(F:F,MATCH(E45,$B:$B,0)+11)+INDEX(F:F,MATCH(E45,$B:$B,0)+12)+INDEX(F:F,MATCH(E45,$B:$B,0)+13))</f>
        <v>120</v>
      </c>
      <c r="F50" s="425"/>
      <c r="G50" s="426"/>
      <c r="H50" s="424">
        <f>ABS(INDEX(I:I,MATCH(H45,$B:$B,0)+11)+INDEX(I:I,MATCH(H45,$B:$B,0)+12)+INDEX(I:I,MATCH(H45,$B:$B,0)+13))</f>
        <v>211</v>
      </c>
      <c r="I50" s="425"/>
      <c r="J50" s="426"/>
      <c r="K50" s="424">
        <f>ABS(INDEX(L:L,MATCH(K45,$B:$B,0)+11)+INDEX(L:L,MATCH(K45,$B:$B,0)+12)+INDEX(L:L,MATCH(K45,$B:$B,0)+13))</f>
        <v>180</v>
      </c>
      <c r="L50" s="425"/>
      <c r="M50" s="426"/>
      <c r="N50" s="424">
        <f>ABS(INDEX(O:O,MATCH(N45,$B:$B,0)+11)+INDEX(O:O,MATCH(N45,$B:$B,0)+12)+INDEX(O:O,MATCH(N45,$B:$B,0)+13))</f>
        <v>187</v>
      </c>
      <c r="O50" s="425"/>
      <c r="P50" s="426"/>
      <c r="Q50" s="424">
        <f>ABS(INDEX(R:R,MATCH(Q45,$B:$B,0)+11)+INDEX(R:R,MATCH(Q45,$B:$B,0)+12)+INDEX(R:R,MATCH(Q45,$B:$B,0)+13))</f>
        <v>279</v>
      </c>
      <c r="R50" s="425"/>
      <c r="S50" s="426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" customHeight="1">
      <c r="B51" s="420" t="s">
        <v>2278</v>
      </c>
      <c r="C51" s="421"/>
      <c r="D51" s="422"/>
      <c r="E51" s="407">
        <f>SUM(E48:E50)</f>
        <v>404</v>
      </c>
      <c r="F51" s="423"/>
      <c r="G51" s="408"/>
      <c r="H51" s="407">
        <f>SUM(H48:H50)</f>
        <v>558</v>
      </c>
      <c r="I51" s="423"/>
      <c r="J51" s="408"/>
      <c r="K51" s="407">
        <f>SUM(K48:K50)</f>
        <v>471</v>
      </c>
      <c r="L51" s="423"/>
      <c r="M51" s="408"/>
      <c r="N51" s="407">
        <f>SUM(N48:N50)</f>
        <v>476</v>
      </c>
      <c r="O51" s="423"/>
      <c r="P51" s="408"/>
      <c r="Q51" s="407">
        <f>SUM(Q48:Q50)</f>
        <v>670</v>
      </c>
      <c r="R51" s="423"/>
      <c r="S51" s="408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>
      <c r="A53" s="255"/>
      <c r="B53" s="7" t="s">
        <v>1802</v>
      </c>
      <c r="C53" s="24"/>
      <c r="D53" s="24"/>
      <c r="E53" s="35" t="s">
        <v>1786</v>
      </c>
      <c r="F53" s="35"/>
      <c r="G53" s="427" t="str">
        <f>Schlüssel!$C$1</f>
        <v>Landesliga Jugend</v>
      </c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  <c r="S53" s="406">
        <f>Schlüssel!$AG$1</f>
        <v>45717</v>
      </c>
      <c r="T53" s="406"/>
      <c r="U53" s="406"/>
      <c r="V53" s="406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>
      <c r="A54" s="53"/>
      <c r="B54" s="54">
        <v>3</v>
      </c>
      <c r="E54" s="35" t="s">
        <v>1787</v>
      </c>
      <c r="F54" s="35"/>
      <c r="G54" s="413" t="str">
        <f>Schlüssel!$W$2</f>
        <v>Unterföhring Dreambowl Palace</v>
      </c>
      <c r="H54" s="413"/>
      <c r="I54" s="413"/>
      <c r="J54" s="413"/>
      <c r="K54" s="413"/>
      <c r="L54" s="413"/>
      <c r="M54" s="413"/>
      <c r="N54" s="413"/>
      <c r="O54" s="413"/>
      <c r="P54" s="66"/>
      <c r="Q54" s="411" t="s">
        <v>1785</v>
      </c>
      <c r="R54" s="412"/>
      <c r="S54" s="38">
        <v>2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>
      <c r="B55" s="414" t="str">
        <f>VLOOKUP(B54,Schlüssel!$A$5:$B$12,2)</f>
        <v>Highroller Rosenheim 2</v>
      </c>
      <c r="C55" s="415"/>
      <c r="D55" s="415"/>
      <c r="E55" s="415"/>
      <c r="F55" s="415"/>
      <c r="G55" s="416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3.8" hidden="1" thickBot="1">
      <c r="A56" s="6"/>
      <c r="B56" s="7"/>
      <c r="C56" s="43"/>
      <c r="D56" s="43"/>
      <c r="E56" s="162" t="s">
        <v>10</v>
      </c>
      <c r="F56" s="220"/>
      <c r="G56" s="159">
        <f>VLOOKUP(B54,Schlüssel!$A$5:$EK$12,33)</f>
        <v>10</v>
      </c>
      <c r="H56" s="161" t="s">
        <v>10</v>
      </c>
      <c r="I56" s="220"/>
      <c r="J56" s="159">
        <f>VLOOKUP(B54,Schlüssel!$A$5:$EK$12,34)</f>
        <v>15</v>
      </c>
      <c r="K56" s="161" t="s">
        <v>10</v>
      </c>
      <c r="L56" s="220"/>
      <c r="M56" s="159">
        <f>VLOOKUP(B54,Schlüssel!$A$5:$EK$12,35)</f>
        <v>12</v>
      </c>
      <c r="N56" s="161" t="s">
        <v>10</v>
      </c>
      <c r="O56" s="220"/>
      <c r="P56" s="159">
        <f>VLOOKUP(B54,Schlüssel!$A$5:$EK$12,36)</f>
        <v>10</v>
      </c>
      <c r="Q56" s="161" t="s">
        <v>10</v>
      </c>
      <c r="R56" s="220"/>
      <c r="S56" s="160">
        <f>VLOOKUP(B54,Schlüssel!$A$5:$EK$12,37)</f>
        <v>15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>
      <c r="B57" s="44" t="s">
        <v>1</v>
      </c>
      <c r="C57" s="208"/>
      <c r="D57" s="217"/>
      <c r="E57" s="423" t="s">
        <v>1793</v>
      </c>
      <c r="F57" s="423"/>
      <c r="G57" s="408"/>
      <c r="H57" s="407" t="s">
        <v>1794</v>
      </c>
      <c r="I57" s="423"/>
      <c r="J57" s="408"/>
      <c r="K57" s="407" t="s">
        <v>1795</v>
      </c>
      <c r="L57" s="423"/>
      <c r="M57" s="408"/>
      <c r="N57" s="407" t="s">
        <v>1796</v>
      </c>
      <c r="O57" s="423"/>
      <c r="P57" s="408"/>
      <c r="Q57" s="407" t="s">
        <v>1797</v>
      </c>
      <c r="R57" s="423"/>
      <c r="S57" s="437"/>
      <c r="T57" s="439" t="s">
        <v>1792</v>
      </c>
      <c r="U57" s="440"/>
      <c r="V57" s="410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6.95" customHeight="1">
      <c r="A59" s="403" t="s">
        <v>0</v>
      </c>
      <c r="B59" s="58" t="str">
        <f>IF(C59=0,"",VLOOKUP(C59,Starter!$A$1:$D$196,2,FALSE))</f>
        <v>Schimanski, Theodor</v>
      </c>
      <c r="C59" s="232">
        <v>38922</v>
      </c>
      <c r="D59" s="238">
        <f t="shared" ref="D59:D67" si="48">+AP59</f>
        <v>48</v>
      </c>
      <c r="E59" s="221">
        <v>77</v>
      </c>
      <c r="F59" s="240">
        <f t="shared" ref="F59:F67" si="49">IF(E59&gt;0,E59+$D59,0)</f>
        <v>125</v>
      </c>
      <c r="G59" s="428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8">
        <f>IF(SUM(I59:I61)+H74=0,0,IF(ABS(SUM(I59:I61))=H74,Spielorte!$A$30/2,IF(ABS(SUM(I59:I61))&gt;H74,Spielorte!$A$30,0)))</f>
        <v>1</v>
      </c>
      <c r="K59" s="221"/>
      <c r="L59" s="240">
        <f t="shared" ref="L59:L67" si="51">IF(K59&gt;0,K59+$D59,0)</f>
        <v>0</v>
      </c>
      <c r="M59" s="428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8">
        <f>IF(SUM(O59:O61)+N74=0,0,IF(ABS(SUM(O59:O61))=N74,Spielorte!$A$30/2,IF(ABS(SUM(O59:O61))&gt;N74,Spielorte!$A$30,0)))</f>
        <v>1</v>
      </c>
      <c r="Q59" s="221">
        <v>93</v>
      </c>
      <c r="R59" s="240">
        <f t="shared" ref="R59:R67" si="53">IF(Q59&gt;0,Q59+$D59,0)</f>
        <v>141</v>
      </c>
      <c r="S59" s="428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170</v>
      </c>
      <c r="U59" s="240">
        <f t="shared" si="54"/>
        <v>266</v>
      </c>
      <c r="V59" s="400">
        <f>SUM(G59+J59+M59+P59+S59)</f>
        <v>2</v>
      </c>
      <c r="W59" s="79"/>
      <c r="X59" s="79"/>
      <c r="Y59" s="79"/>
      <c r="Z59" s="79"/>
      <c r="AA59" s="79"/>
      <c r="AB59" s="79"/>
      <c r="AL59" s="169">
        <f>IF(AU59=0,0,IFERROR(INDEX(RanglisteST2!K:K,MATCH(AU59,RanglisteST2!A:A,0)),0))</f>
        <v>99.53</v>
      </c>
      <c r="AM59" s="169">
        <f>IF(AU59=0,0,SUMIF(AU59:AU67,AU59,AV59:AV67))</f>
        <v>294</v>
      </c>
      <c r="AN59" s="169">
        <f>IF(AU59=0,0,SUMIF(AU59:AU67,AU59,AW59:AW67))</f>
        <v>3</v>
      </c>
      <c r="AO59" s="169">
        <f t="shared" ref="AO59:AO67" si="55">IFERROR(AM59/AN59,0)</f>
        <v>98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48</v>
      </c>
      <c r="AQ59" s="166"/>
      <c r="AR59" s="167"/>
      <c r="AS59" s="167"/>
      <c r="AT59" s="168"/>
      <c r="AU59" s="171">
        <f t="shared" ref="AU59:AU67" si="56">C59</f>
        <v>38922</v>
      </c>
      <c r="AV59" s="167">
        <f t="shared" ref="AV59:AV67" si="57">T59</f>
        <v>170</v>
      </c>
      <c r="AW59" s="169">
        <f t="shared" ref="AW59:AW67" si="58">COUNT(AY59:BC59)</f>
        <v>2</v>
      </c>
      <c r="AX59" s="169">
        <f t="shared" ref="AX59:AX67" si="59">COUNTIF(AY59:BC59,"&gt;0")</f>
        <v>2</v>
      </c>
      <c r="AY59" s="169">
        <f t="shared" ref="AY59:AY67" si="60">IF(E59=0,"",E59)</f>
        <v>77</v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>
        <f t="shared" ref="BC59:BC67" si="64">IF(Q59=0,"",Q59)</f>
        <v>93</v>
      </c>
      <c r="BD59" s="170"/>
      <c r="BE59" s="168"/>
      <c r="BF59" s="169">
        <f t="shared" ref="BF59:BF67" si="65">MAX(AY59:BC59)</f>
        <v>93</v>
      </c>
      <c r="BG59" s="169">
        <f t="shared" ref="BG59:BG67" si="66">IF(BF59&lt;MAX(BF:BF),0,BF59+ROW()/1000000000)</f>
        <v>0</v>
      </c>
      <c r="BH59" s="169" t="str">
        <f>+B55</f>
        <v>Highroller Rosenheim 2</v>
      </c>
      <c r="BI59" s="168">
        <f t="shared" ref="BI59:BI67" si="67">RANK(BG59,BG:BG)</f>
        <v>2</v>
      </c>
      <c r="BJ59" s="169">
        <f t="shared" ref="BJ59:BJ67" si="68">SUMIF(AY59:BC59,"&gt;0")</f>
        <v>170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0</v>
      </c>
      <c r="BM59" s="168">
        <f t="shared" ref="BM59:BM67" si="70">IF(BL59=0,0,RANK(BL59,BL:BL))</f>
        <v>0</v>
      </c>
    </row>
    <row r="60" spans="1:65" ht="16.95" customHeight="1">
      <c r="A60" s="404"/>
      <c r="B60" s="58" t="str">
        <f>IF(C60=0,"",VLOOKUP(C60,Starter!$A$1:$D$196,2,FALSE))</f>
        <v>Elze, Julian</v>
      </c>
      <c r="C60" s="233">
        <v>38809</v>
      </c>
      <c r="D60" s="239">
        <f t="shared" si="48"/>
        <v>5</v>
      </c>
      <c r="E60" s="222"/>
      <c r="F60" s="241">
        <f t="shared" si="49"/>
        <v>0</v>
      </c>
      <c r="G60" s="429"/>
      <c r="H60" s="222">
        <v>161</v>
      </c>
      <c r="I60" s="241">
        <f t="shared" si="50"/>
        <v>166</v>
      </c>
      <c r="J60" s="429"/>
      <c r="K60" s="222">
        <v>136</v>
      </c>
      <c r="L60" s="241">
        <f t="shared" si="51"/>
        <v>141</v>
      </c>
      <c r="M60" s="429"/>
      <c r="N60" s="222">
        <v>188</v>
      </c>
      <c r="O60" s="241">
        <f t="shared" si="52"/>
        <v>193</v>
      </c>
      <c r="P60" s="429"/>
      <c r="Q60" s="222"/>
      <c r="R60" s="241">
        <f t="shared" si="53"/>
        <v>0</v>
      </c>
      <c r="S60" s="429"/>
      <c r="T60" s="222">
        <f t="shared" si="54"/>
        <v>485</v>
      </c>
      <c r="U60" s="241">
        <f t="shared" si="54"/>
        <v>500</v>
      </c>
      <c r="V60" s="401"/>
      <c r="W60" s="79"/>
      <c r="X60" s="79"/>
      <c r="Y60" s="79"/>
      <c r="Z60" s="79"/>
      <c r="AA60" s="79"/>
      <c r="AB60" s="79"/>
      <c r="AL60" s="169">
        <f>IF(AU60=0,0,IFERROR(INDEX(RanglisteST2!K:K,MATCH(AU60,RanglisteST2!A:A,0)),0))</f>
        <v>153.66999999999999</v>
      </c>
      <c r="AM60" s="169">
        <f>IF(AU60=0,0,SUMIF(AU59:AU67,AU60,AV59:AV67))</f>
        <v>485</v>
      </c>
      <c r="AN60" s="169">
        <f>IF(AU60=0,0,SUMIF(AU59:AU67,AU60,AW59:AW67))</f>
        <v>3</v>
      </c>
      <c r="AO60" s="169">
        <f t="shared" si="55"/>
        <v>161.66666666666666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5</v>
      </c>
      <c r="AQ60" s="166"/>
      <c r="AR60" s="167"/>
      <c r="AS60" s="167"/>
      <c r="AT60" s="168"/>
      <c r="AU60" s="171">
        <f t="shared" si="56"/>
        <v>38809</v>
      </c>
      <c r="AV60" s="167">
        <f t="shared" si="57"/>
        <v>485</v>
      </c>
      <c r="AW60" s="169">
        <f t="shared" si="58"/>
        <v>3</v>
      </c>
      <c r="AX60" s="169">
        <f t="shared" si="59"/>
        <v>3</v>
      </c>
      <c r="AY60" s="169" t="str">
        <f t="shared" si="60"/>
        <v/>
      </c>
      <c r="AZ60" s="169">
        <f t="shared" si="61"/>
        <v>161</v>
      </c>
      <c r="BA60" s="169">
        <f t="shared" si="62"/>
        <v>136</v>
      </c>
      <c r="BB60" s="169">
        <f t="shared" si="63"/>
        <v>188</v>
      </c>
      <c r="BC60" s="169" t="str">
        <f t="shared" si="64"/>
        <v/>
      </c>
      <c r="BD60" s="170"/>
      <c r="BE60" s="168"/>
      <c r="BF60" s="169">
        <f t="shared" si="65"/>
        <v>188</v>
      </c>
      <c r="BG60" s="169">
        <f t="shared" si="66"/>
        <v>0</v>
      </c>
      <c r="BH60" s="169" t="str">
        <f t="shared" ref="BH60:BH67" si="71">+BH59</f>
        <v>Highroller Rosenheim 2</v>
      </c>
      <c r="BI60" s="168">
        <f t="shared" si="67"/>
        <v>2</v>
      </c>
      <c r="BJ60" s="169">
        <f t="shared" si="68"/>
        <v>485</v>
      </c>
      <c r="BK60" s="169">
        <f>IF(COUNTIF(AY60:BC60,"&gt;0")&lt;Spielorte!$A$23,0,AV60/Spielorte!$A$23)</f>
        <v>0</v>
      </c>
      <c r="BL60" s="169">
        <f t="shared" si="69"/>
        <v>0</v>
      </c>
      <c r="BM60" s="168">
        <f t="shared" si="70"/>
        <v>0</v>
      </c>
    </row>
    <row r="61" spans="1:65" ht="16.95" customHeight="1" thickBot="1">
      <c r="A61" s="405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30"/>
      <c r="H61" s="224"/>
      <c r="I61" s="242">
        <f t="shared" si="50"/>
        <v>0</v>
      </c>
      <c r="J61" s="430"/>
      <c r="K61" s="224"/>
      <c r="L61" s="242">
        <f t="shared" si="51"/>
        <v>0</v>
      </c>
      <c r="M61" s="430"/>
      <c r="N61" s="224"/>
      <c r="O61" s="242">
        <f t="shared" si="52"/>
        <v>0</v>
      </c>
      <c r="P61" s="430"/>
      <c r="Q61" s="224"/>
      <c r="R61" s="242">
        <f t="shared" si="53"/>
        <v>0</v>
      </c>
      <c r="S61" s="430"/>
      <c r="T61" s="224">
        <f t="shared" si="54"/>
        <v>0</v>
      </c>
      <c r="U61" s="242">
        <f t="shared" si="54"/>
        <v>0</v>
      </c>
      <c r="V61" s="402"/>
      <c r="W61" s="79"/>
      <c r="X61" s="79"/>
      <c r="Y61" s="79"/>
      <c r="Z61" s="79"/>
      <c r="AA61" s="79"/>
      <c r="AB61" s="79"/>
      <c r="AL61" s="169">
        <f>IF(AU61=0,0,IFERROR(INDEX(RanglisteST2!K:K,MATCH(AU61,RanglisteST2!A:A,0)),0))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0</v>
      </c>
      <c r="BH61" s="169" t="str">
        <f t="shared" si="71"/>
        <v>Highroller Rosenheim 2</v>
      </c>
      <c r="BI61" s="168">
        <f t="shared" si="67"/>
        <v>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0</v>
      </c>
      <c r="BM61" s="168">
        <f t="shared" si="70"/>
        <v>0</v>
      </c>
    </row>
    <row r="62" spans="1:65" ht="16.95" customHeight="1">
      <c r="A62" s="403" t="s">
        <v>2</v>
      </c>
      <c r="B62" s="58" t="str">
        <f>IF(C62=0,"",VLOOKUP(C62,Starter!$A$1:$D$196,2,FALSE))</f>
        <v>Schimanski, Johanna</v>
      </c>
      <c r="C62" s="235">
        <v>38921</v>
      </c>
      <c r="D62" s="238">
        <f t="shared" si="48"/>
        <v>74</v>
      </c>
      <c r="E62" s="221">
        <v>85</v>
      </c>
      <c r="F62" s="240">
        <f t="shared" si="49"/>
        <v>159</v>
      </c>
      <c r="G62" s="428">
        <f>IF(SUM(F62:F64)+E75=0,0,IF(ABS(SUM(F62:F64))=E75,Spielorte!$A$30/2,IF(ABS(SUM(F62:F64))&gt;E75,Spielorte!$A$30,0)))</f>
        <v>1</v>
      </c>
      <c r="H62" s="221"/>
      <c r="I62" s="240">
        <f t="shared" si="50"/>
        <v>0</v>
      </c>
      <c r="J62" s="428">
        <f>IF(SUM(I62:I64)+H75=0,0,IF(ABS(SUM(I62:I64))=H75,Spielorte!$A$30/2,IF(ABS(SUM(I62:I64))&gt;H75,Spielorte!$A$30,0)))</f>
        <v>0</v>
      </c>
      <c r="K62" s="221">
        <v>63</v>
      </c>
      <c r="L62" s="240">
        <f t="shared" si="51"/>
        <v>137</v>
      </c>
      <c r="M62" s="428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8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8">
        <f>IF(SUM(R62:R64)+Q75=0,0,IF(ABS(SUM(R62:R64))=Q75,Spielorte!$A$30/2,IF(ABS(SUM(R62:R64))&gt;Q75,Spielorte!$A$30,0)))</f>
        <v>0.5</v>
      </c>
      <c r="T62" s="221">
        <f t="shared" si="54"/>
        <v>148</v>
      </c>
      <c r="U62" s="240">
        <f t="shared" si="54"/>
        <v>296</v>
      </c>
      <c r="V62" s="400">
        <f>SUM(G62+J62+M62+P62+S62)</f>
        <v>1.5</v>
      </c>
      <c r="W62" s="79"/>
      <c r="X62" s="79"/>
      <c r="Y62" s="79"/>
      <c r="Z62" s="79"/>
      <c r="AA62" s="79"/>
      <c r="AB62" s="79"/>
      <c r="AL62" s="169">
        <f>IF(AU62=0,0,IFERROR(INDEX(RanglisteST2!K:K,MATCH(AU62,RanglisteST2!A:A,0)),0))</f>
        <v>67</v>
      </c>
      <c r="AM62" s="169">
        <f>IF(AU62=0,0,SUMIF(AU59:AU67,AU62,AV59:AV67))</f>
        <v>246</v>
      </c>
      <c r="AN62" s="169">
        <f>IF(AU62=0,0,SUMIF(AU59:AU67,AU62,AW59:AW67))</f>
        <v>3</v>
      </c>
      <c r="AO62" s="169">
        <f t="shared" si="55"/>
        <v>82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74</v>
      </c>
      <c r="AQ62" s="166"/>
      <c r="AR62" s="167"/>
      <c r="AS62" s="167"/>
      <c r="AT62" s="168"/>
      <c r="AU62" s="171">
        <f t="shared" si="56"/>
        <v>38921</v>
      </c>
      <c r="AV62" s="167">
        <f t="shared" si="57"/>
        <v>148</v>
      </c>
      <c r="AW62" s="169">
        <f t="shared" si="58"/>
        <v>2</v>
      </c>
      <c r="AX62" s="169">
        <f t="shared" si="59"/>
        <v>2</v>
      </c>
      <c r="AY62" s="169">
        <f t="shared" si="60"/>
        <v>85</v>
      </c>
      <c r="AZ62" s="169" t="str">
        <f t="shared" si="61"/>
        <v/>
      </c>
      <c r="BA62" s="169">
        <f t="shared" si="62"/>
        <v>63</v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85</v>
      </c>
      <c r="BG62" s="169">
        <f t="shared" si="66"/>
        <v>0</v>
      </c>
      <c r="BH62" s="169" t="str">
        <f t="shared" si="71"/>
        <v>Highroller Rosenheim 2</v>
      </c>
      <c r="BI62" s="168">
        <f t="shared" si="67"/>
        <v>2</v>
      </c>
      <c r="BJ62" s="169">
        <f t="shared" si="68"/>
        <v>148</v>
      </c>
      <c r="BK62" s="169">
        <f>IF(COUNTIF(AY62:BC62,"&gt;0")&lt;Spielorte!$A$23,0,AV62/Spielorte!$A$23)</f>
        <v>0</v>
      </c>
      <c r="BL62" s="169">
        <f t="shared" si="69"/>
        <v>0</v>
      </c>
      <c r="BM62" s="168">
        <f t="shared" si="70"/>
        <v>0</v>
      </c>
    </row>
    <row r="63" spans="1:65" ht="16.95" customHeight="1">
      <c r="A63" s="404"/>
      <c r="B63" s="58" t="str">
        <f>IF(C63=0,"",VLOOKUP(C63,Starter!$A$1:$D$196,2,FALSE))</f>
        <v>Weinrich, Lena</v>
      </c>
      <c r="C63" s="233">
        <v>38923</v>
      </c>
      <c r="D63" s="239">
        <f t="shared" si="48"/>
        <v>39</v>
      </c>
      <c r="E63" s="222"/>
      <c r="F63" s="241">
        <f t="shared" si="49"/>
        <v>0</v>
      </c>
      <c r="G63" s="429"/>
      <c r="H63" s="222">
        <v>121</v>
      </c>
      <c r="I63" s="241">
        <f t="shared" si="50"/>
        <v>160</v>
      </c>
      <c r="J63" s="429"/>
      <c r="K63" s="222"/>
      <c r="L63" s="241">
        <f t="shared" si="51"/>
        <v>0</v>
      </c>
      <c r="M63" s="429"/>
      <c r="N63" s="222">
        <v>104</v>
      </c>
      <c r="O63" s="241">
        <f t="shared" si="52"/>
        <v>143</v>
      </c>
      <c r="P63" s="429"/>
      <c r="Q63" s="222">
        <v>125</v>
      </c>
      <c r="R63" s="241">
        <f t="shared" si="53"/>
        <v>164</v>
      </c>
      <c r="S63" s="429"/>
      <c r="T63" s="222">
        <f t="shared" si="54"/>
        <v>350</v>
      </c>
      <c r="U63" s="241">
        <f t="shared" si="54"/>
        <v>467</v>
      </c>
      <c r="V63" s="401"/>
      <c r="W63" s="79"/>
      <c r="X63" s="79"/>
      <c r="Y63" s="79"/>
      <c r="Z63" s="79"/>
      <c r="AA63" s="79"/>
      <c r="AB63" s="79"/>
      <c r="AL63" s="169">
        <f>IF(AU63=0,0,IFERROR(INDEX(RanglisteST2!K:K,MATCH(AU63,RanglisteST2!A:A,0)),0))</f>
        <v>110.71</v>
      </c>
      <c r="AM63" s="169">
        <f>IF(AU63=0,0,SUMIF(AU59:AU67,AU63,AV59:AV67))</f>
        <v>350</v>
      </c>
      <c r="AN63" s="169">
        <f>IF(AU63=0,0,SUMIF(AU59:AU67,AU63,AW59:AW67))</f>
        <v>3</v>
      </c>
      <c r="AO63" s="169">
        <f t="shared" si="55"/>
        <v>116.66666666666667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39</v>
      </c>
      <c r="AQ63" s="166"/>
      <c r="AR63" s="167"/>
      <c r="AS63" s="167"/>
      <c r="AT63" s="168"/>
      <c r="AU63" s="171">
        <f t="shared" si="56"/>
        <v>38923</v>
      </c>
      <c r="AV63" s="167">
        <f t="shared" si="57"/>
        <v>350</v>
      </c>
      <c r="AW63" s="169">
        <f t="shared" si="58"/>
        <v>3</v>
      </c>
      <c r="AX63" s="169">
        <f t="shared" si="59"/>
        <v>3</v>
      </c>
      <c r="AY63" s="169" t="str">
        <f t="shared" si="60"/>
        <v/>
      </c>
      <c r="AZ63" s="169">
        <f t="shared" si="61"/>
        <v>121</v>
      </c>
      <c r="BA63" s="169" t="str">
        <f t="shared" si="62"/>
        <v/>
      </c>
      <c r="BB63" s="169">
        <f t="shared" si="63"/>
        <v>104</v>
      </c>
      <c r="BC63" s="169">
        <f t="shared" si="64"/>
        <v>125</v>
      </c>
      <c r="BD63" s="170"/>
      <c r="BE63" s="168"/>
      <c r="BF63" s="169">
        <f t="shared" si="65"/>
        <v>125</v>
      </c>
      <c r="BG63" s="169">
        <f t="shared" si="66"/>
        <v>0</v>
      </c>
      <c r="BH63" s="169" t="str">
        <f t="shared" si="71"/>
        <v>Highroller Rosenheim 2</v>
      </c>
      <c r="BI63" s="168">
        <f t="shared" si="67"/>
        <v>2</v>
      </c>
      <c r="BJ63" s="169">
        <f t="shared" si="68"/>
        <v>350</v>
      </c>
      <c r="BK63" s="169">
        <f>IF(COUNTIF(AY63:BC63,"&gt;0")&lt;Spielorte!$A$23,0,AV63/Spielorte!$A$23)</f>
        <v>0</v>
      </c>
      <c r="BL63" s="169">
        <f t="shared" si="69"/>
        <v>0</v>
      </c>
      <c r="BM63" s="168">
        <f t="shared" si="70"/>
        <v>0</v>
      </c>
    </row>
    <row r="64" spans="1:65" ht="16.95" customHeight="1" thickBot="1">
      <c r="A64" s="405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30"/>
      <c r="H64" s="224"/>
      <c r="I64" s="242">
        <f t="shared" si="50"/>
        <v>0</v>
      </c>
      <c r="J64" s="430"/>
      <c r="K64" s="224"/>
      <c r="L64" s="242">
        <f t="shared" si="51"/>
        <v>0</v>
      </c>
      <c r="M64" s="430"/>
      <c r="N64" s="224"/>
      <c r="O64" s="242">
        <f t="shared" si="52"/>
        <v>0</v>
      </c>
      <c r="P64" s="430"/>
      <c r="Q64" s="224"/>
      <c r="R64" s="242">
        <f t="shared" si="53"/>
        <v>0</v>
      </c>
      <c r="S64" s="430"/>
      <c r="T64" s="224">
        <f t="shared" si="54"/>
        <v>0</v>
      </c>
      <c r="U64" s="242">
        <f t="shared" si="54"/>
        <v>0</v>
      </c>
      <c r="V64" s="402"/>
      <c r="W64" s="79"/>
      <c r="X64" s="79"/>
      <c r="Y64" s="79"/>
      <c r="Z64" s="79"/>
      <c r="AA64" s="79"/>
      <c r="AB64" s="79"/>
      <c r="AL64" s="169">
        <f>IF(AU64=0,0,IFERROR(INDEX(RanglisteST2!K:K,MATCH(AU64,RanglisteST2!A:A,0)),0))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0</v>
      </c>
      <c r="BH64" s="169" t="str">
        <f t="shared" si="71"/>
        <v>Highroller Rosenheim 2</v>
      </c>
      <c r="BI64" s="168">
        <f t="shared" si="67"/>
        <v>2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0</v>
      </c>
      <c r="BM64" s="168">
        <f t="shared" si="70"/>
        <v>0</v>
      </c>
    </row>
    <row r="65" spans="1:65" ht="16.95" customHeight="1">
      <c r="A65" s="403" t="s">
        <v>3</v>
      </c>
      <c r="B65" s="58" t="str">
        <f>IF(C65=0,"",VLOOKUP(C65,Starter!$A$1:$D$196,2,FALSE))</f>
        <v>Schwarzfischer, Leon</v>
      </c>
      <c r="C65" s="235">
        <v>38920</v>
      </c>
      <c r="D65" s="238">
        <f t="shared" si="48"/>
        <v>44</v>
      </c>
      <c r="E65" s="221">
        <v>76</v>
      </c>
      <c r="F65" s="240">
        <f t="shared" si="49"/>
        <v>120</v>
      </c>
      <c r="G65" s="428">
        <f>IF(SUM(F65:F67)+E76=0,0,IF(ABS(SUM(F65:F67))=E76,Spielorte!$A$30/2,IF(ABS(SUM(F65:F67))&gt;E76,Spielorte!$A$30,0)))</f>
        <v>0</v>
      </c>
      <c r="H65" s="221">
        <v>86</v>
      </c>
      <c r="I65" s="240">
        <f t="shared" si="50"/>
        <v>130</v>
      </c>
      <c r="J65" s="428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8">
        <f>IF(SUM(L65:L67)+K76=0,0,IF(ABS(SUM(L65:L67))=K76,Spielorte!$A$30/2,IF(ABS(SUM(L65:L67))&gt;K76,Spielorte!$A$30,0)))</f>
        <v>1</v>
      </c>
      <c r="N65" s="221">
        <v>130</v>
      </c>
      <c r="O65" s="240">
        <f t="shared" si="52"/>
        <v>174</v>
      </c>
      <c r="P65" s="428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8">
        <f>IF(SUM(R65:R67)+Q76=0,0,IF(ABS(SUM(R65:R67))=Q76,Spielorte!$A$30/2,IF(ABS(SUM(R65:R67))&gt;Q76,Spielorte!$A$30,0)))</f>
        <v>0</v>
      </c>
      <c r="T65" s="221">
        <f t="shared" si="54"/>
        <v>292</v>
      </c>
      <c r="U65" s="240">
        <f t="shared" si="54"/>
        <v>424</v>
      </c>
      <c r="V65" s="400">
        <f>SUM(G65+J65+M65+P65+S65)</f>
        <v>1</v>
      </c>
      <c r="W65" s="79"/>
      <c r="X65" s="79"/>
      <c r="Y65" s="79"/>
      <c r="Z65" s="79"/>
      <c r="AA65" s="79"/>
      <c r="AB65" s="79"/>
      <c r="AL65" s="169">
        <f>IF(AU65=0,0,IFERROR(INDEX(RanglisteST2!K:K,MATCH(AU65,RanglisteST2!A:A,0)),0))</f>
        <v>105.06</v>
      </c>
      <c r="AM65" s="169">
        <f>IF(AU65=0,0,SUMIF(AU59:AU67,AU65,AV59:AV67))</f>
        <v>292</v>
      </c>
      <c r="AN65" s="169">
        <f>IF(AU65=0,0,SUMIF(AU59:AU67,AU65,AW59:AW67))</f>
        <v>3</v>
      </c>
      <c r="AO65" s="169">
        <f t="shared" si="55"/>
        <v>97.333333333333329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44</v>
      </c>
      <c r="AQ65" s="166"/>
      <c r="AR65" s="167"/>
      <c r="AS65" s="167"/>
      <c r="AT65" s="168"/>
      <c r="AU65" s="171">
        <f t="shared" si="56"/>
        <v>38920</v>
      </c>
      <c r="AV65" s="167">
        <f t="shared" si="57"/>
        <v>292</v>
      </c>
      <c r="AW65" s="169">
        <f t="shared" si="58"/>
        <v>3</v>
      </c>
      <c r="AX65" s="169">
        <f t="shared" si="59"/>
        <v>3</v>
      </c>
      <c r="AY65" s="169">
        <f t="shared" si="60"/>
        <v>76</v>
      </c>
      <c r="AZ65" s="169">
        <f t="shared" si="61"/>
        <v>86</v>
      </c>
      <c r="BA65" s="169" t="str">
        <f t="shared" si="62"/>
        <v/>
      </c>
      <c r="BB65" s="169">
        <f t="shared" si="63"/>
        <v>130</v>
      </c>
      <c r="BC65" s="169" t="str">
        <f t="shared" si="64"/>
        <v/>
      </c>
      <c r="BD65" s="170"/>
      <c r="BE65" s="168"/>
      <c r="BF65" s="169">
        <f t="shared" si="65"/>
        <v>130</v>
      </c>
      <c r="BG65" s="169">
        <f t="shared" si="66"/>
        <v>0</v>
      </c>
      <c r="BH65" s="169" t="str">
        <f t="shared" si="71"/>
        <v>Highroller Rosenheim 2</v>
      </c>
      <c r="BI65" s="168">
        <f t="shared" si="67"/>
        <v>2</v>
      </c>
      <c r="BJ65" s="169">
        <f t="shared" si="68"/>
        <v>292</v>
      </c>
      <c r="BK65" s="169">
        <f>IF(COUNTIF(AY65:BC65,"&gt;0")&lt;Spielorte!$A$23,0,AV65/Spielorte!$A$23)</f>
        <v>0</v>
      </c>
      <c r="BL65" s="169">
        <f t="shared" si="69"/>
        <v>0</v>
      </c>
      <c r="BM65" s="168">
        <f t="shared" si="70"/>
        <v>0</v>
      </c>
    </row>
    <row r="66" spans="1:65" ht="16.95" customHeight="1">
      <c r="A66" s="404"/>
      <c r="B66" s="58" t="str">
        <f>IF(C66=0,"",VLOOKUP(C66,Starter!$A$1:$D$196,2,FALSE))</f>
        <v>Schimanski, Theodor</v>
      </c>
      <c r="C66" s="233">
        <v>38922</v>
      </c>
      <c r="D66" s="239">
        <f t="shared" si="48"/>
        <v>48</v>
      </c>
      <c r="E66" s="222"/>
      <c r="F66" s="241">
        <f t="shared" si="49"/>
        <v>0</v>
      </c>
      <c r="G66" s="429"/>
      <c r="H66" s="222"/>
      <c r="I66" s="241">
        <f t="shared" si="50"/>
        <v>0</v>
      </c>
      <c r="J66" s="429"/>
      <c r="K66" s="222">
        <v>124</v>
      </c>
      <c r="L66" s="241">
        <f t="shared" si="51"/>
        <v>172</v>
      </c>
      <c r="M66" s="429"/>
      <c r="N66" s="222"/>
      <c r="O66" s="241">
        <f t="shared" si="52"/>
        <v>0</v>
      </c>
      <c r="P66" s="429"/>
      <c r="Q66" s="222"/>
      <c r="R66" s="241">
        <f t="shared" si="53"/>
        <v>0</v>
      </c>
      <c r="S66" s="429"/>
      <c r="T66" s="222">
        <f t="shared" si="54"/>
        <v>124</v>
      </c>
      <c r="U66" s="241">
        <f t="shared" si="54"/>
        <v>172</v>
      </c>
      <c r="V66" s="401"/>
      <c r="W66" s="79"/>
      <c r="X66" s="79"/>
      <c r="Y66" s="79"/>
      <c r="Z66" s="79"/>
      <c r="AA66" s="79"/>
      <c r="AB66" s="79"/>
      <c r="AL66" s="169">
        <f>IF(AU66=0,0,IFERROR(INDEX(RanglisteST2!K:K,MATCH(AU66,RanglisteST2!A:A,0)),0))</f>
        <v>99.53</v>
      </c>
      <c r="AM66" s="169">
        <f>IF(AU66=0,0,SUMIF(AU59:AU67,AU66,AV59:AV67))</f>
        <v>294</v>
      </c>
      <c r="AN66" s="169">
        <f>IF(AU66=0,0,SUMIF(AU59:AU67,AU66,AW59:AW67))</f>
        <v>3</v>
      </c>
      <c r="AO66" s="169">
        <f t="shared" si="55"/>
        <v>98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48</v>
      </c>
      <c r="AQ66" s="166"/>
      <c r="AR66" s="167"/>
      <c r="AS66" s="167"/>
      <c r="AT66" s="168"/>
      <c r="AU66" s="171">
        <f t="shared" si="56"/>
        <v>38922</v>
      </c>
      <c r="AV66" s="167">
        <f t="shared" si="57"/>
        <v>124</v>
      </c>
      <c r="AW66" s="169">
        <f t="shared" si="58"/>
        <v>1</v>
      </c>
      <c r="AX66" s="169">
        <f t="shared" si="59"/>
        <v>1</v>
      </c>
      <c r="AY66" s="169" t="str">
        <f t="shared" si="60"/>
        <v/>
      </c>
      <c r="AZ66" s="169" t="str">
        <f t="shared" si="61"/>
        <v/>
      </c>
      <c r="BA66" s="169">
        <f t="shared" si="62"/>
        <v>124</v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124</v>
      </c>
      <c r="BG66" s="169">
        <f t="shared" si="66"/>
        <v>0</v>
      </c>
      <c r="BH66" s="169" t="str">
        <f t="shared" si="71"/>
        <v>Highroller Rosenheim 2</v>
      </c>
      <c r="BI66" s="168">
        <f t="shared" si="67"/>
        <v>2</v>
      </c>
      <c r="BJ66" s="169">
        <f t="shared" si="68"/>
        <v>124</v>
      </c>
      <c r="BK66" s="169">
        <f>IF(COUNTIF(AY66:BC66,"&gt;0")&lt;Spielorte!$A$23,0,AV66/Spielorte!$A$23)</f>
        <v>0</v>
      </c>
      <c r="BL66" s="169">
        <f t="shared" si="69"/>
        <v>0</v>
      </c>
      <c r="BM66" s="168">
        <f t="shared" si="70"/>
        <v>0</v>
      </c>
    </row>
    <row r="67" spans="1:65" ht="16.95" customHeight="1" thickBot="1">
      <c r="A67" s="405"/>
      <c r="B67" s="60" t="str">
        <f>IF(C67=0,"",VLOOKUP(C67,Starter!$A$1:$D$196,2,FALSE))</f>
        <v>Schimanski, Johanna</v>
      </c>
      <c r="C67" s="236">
        <v>38921</v>
      </c>
      <c r="D67" s="223">
        <f t="shared" si="48"/>
        <v>74</v>
      </c>
      <c r="E67" s="224"/>
      <c r="F67" s="242">
        <f t="shared" si="49"/>
        <v>0</v>
      </c>
      <c r="G67" s="430"/>
      <c r="H67" s="224"/>
      <c r="I67" s="242">
        <f t="shared" si="50"/>
        <v>0</v>
      </c>
      <c r="J67" s="430"/>
      <c r="K67" s="224"/>
      <c r="L67" s="242">
        <f t="shared" si="51"/>
        <v>0</v>
      </c>
      <c r="M67" s="430"/>
      <c r="N67" s="224"/>
      <c r="O67" s="242">
        <f t="shared" si="52"/>
        <v>0</v>
      </c>
      <c r="P67" s="430"/>
      <c r="Q67" s="224">
        <v>98</v>
      </c>
      <c r="R67" s="242">
        <f t="shared" si="53"/>
        <v>172</v>
      </c>
      <c r="S67" s="430"/>
      <c r="T67" s="224">
        <f t="shared" si="54"/>
        <v>98</v>
      </c>
      <c r="U67" s="242">
        <f t="shared" si="54"/>
        <v>172</v>
      </c>
      <c r="V67" s="402"/>
      <c r="W67" s="79"/>
      <c r="X67" s="79"/>
      <c r="Y67" s="79"/>
      <c r="Z67" s="79"/>
      <c r="AA67" s="79"/>
      <c r="AB67" s="79"/>
      <c r="AL67" s="169">
        <f>IF(AU67=0,0,IFERROR(INDEX(RanglisteST2!K:K,MATCH(AU67,RanglisteST2!A:A,0)),0))</f>
        <v>67</v>
      </c>
      <c r="AM67" s="169">
        <f>IF(AU67=0,0,SUMIF(AU59:AU67,AU67,AV59:AV67))</f>
        <v>246</v>
      </c>
      <c r="AN67" s="169">
        <f>IF(AU67=0,0,SUMIF(AU59:AU67,AU67,AW59:AW67))</f>
        <v>3</v>
      </c>
      <c r="AO67" s="169">
        <f t="shared" si="55"/>
        <v>82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74</v>
      </c>
      <c r="AQ67" s="166"/>
      <c r="AR67" s="167"/>
      <c r="AS67" s="167"/>
      <c r="AT67" s="168"/>
      <c r="AU67" s="171">
        <f t="shared" si="56"/>
        <v>38921</v>
      </c>
      <c r="AV67" s="167">
        <f t="shared" si="57"/>
        <v>98</v>
      </c>
      <c r="AW67" s="169">
        <f t="shared" si="58"/>
        <v>1</v>
      </c>
      <c r="AX67" s="169">
        <f t="shared" si="59"/>
        <v>1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>
        <f t="shared" si="64"/>
        <v>98</v>
      </c>
      <c r="BD67" s="170"/>
      <c r="BE67" s="168"/>
      <c r="BF67" s="169">
        <f t="shared" si="65"/>
        <v>98</v>
      </c>
      <c r="BG67" s="169">
        <f t="shared" si="66"/>
        <v>0</v>
      </c>
      <c r="BH67" s="169" t="str">
        <f t="shared" si="71"/>
        <v>Highroller Rosenheim 2</v>
      </c>
      <c r="BI67" s="168">
        <f t="shared" si="67"/>
        <v>2</v>
      </c>
      <c r="BJ67" s="169">
        <f t="shared" si="68"/>
        <v>98</v>
      </c>
      <c r="BK67" s="169">
        <f>IF(COUNTIF(AY67:BC67,"&gt;0")&lt;Spielorte!$A$23,0,AV67/Spielorte!$A$23)</f>
        <v>0</v>
      </c>
      <c r="BL67" s="169">
        <f t="shared" si="69"/>
        <v>0</v>
      </c>
      <c r="BM67" s="168">
        <f t="shared" si="70"/>
        <v>0</v>
      </c>
    </row>
    <row r="68" spans="1:65" ht="27.75" customHeight="1" thickBot="1">
      <c r="B68" s="218" t="s">
        <v>1792</v>
      </c>
      <c r="C68" s="204"/>
      <c r="D68" s="219"/>
      <c r="E68" s="226">
        <f>ABS(SUM(E59:E61))+ABS(SUM(E62:E64))+ABS(SUM(E65:E67))</f>
        <v>238</v>
      </c>
      <c r="F68" s="225">
        <f>ABS(SUM(F59:F61))+ABS(SUM(F62:F64))+ABS(SUM(F65:F67))</f>
        <v>404</v>
      </c>
      <c r="G68" s="81">
        <f>IF(F68+E77=0,0,IF(F68=E77,Spielorte!$A$31/2,IF(F68&gt;E77,Spielorte!$A$31,0)))</f>
        <v>0</v>
      </c>
      <c r="H68" s="226">
        <f>ABS(SUM(H59:H61))+ABS(SUM(H62:H64))+ABS(SUM(H65:H67))</f>
        <v>368</v>
      </c>
      <c r="I68" s="225">
        <f>ABS(SUM(I59:I61))+ABS(SUM(I62:I64))+ABS(SUM(I65:I67))</f>
        <v>456</v>
      </c>
      <c r="J68" s="81">
        <f>IF(I68+H77=0,0,IF(I68=H77,Spielorte!$A$31/2,IF(I68&gt;H77,Spielorte!$A$31,0)))</f>
        <v>0</v>
      </c>
      <c r="K68" s="226">
        <f>ABS(SUM(K59:K61))+ABS(SUM(K62:K64))+ABS(SUM(K65:K67))</f>
        <v>323</v>
      </c>
      <c r="L68" s="225">
        <f>ABS(SUM(L59:L61))+ABS(SUM(L62:L64))+ABS(SUM(L65:L67))</f>
        <v>450</v>
      </c>
      <c r="M68" s="81">
        <f>IF(L68+K77=0,0,IF(L68=K77,Spielorte!$A$31/2,IF(L68&gt;K77,Spielorte!$A$31,0)))</f>
        <v>0</v>
      </c>
      <c r="N68" s="226">
        <f>ABS(SUM(N59:N61))+ABS(SUM(N62:N64))+ABS(SUM(N65:N67))</f>
        <v>422</v>
      </c>
      <c r="O68" s="225">
        <f>ABS(SUM(O59:O61))+ABS(SUM(O62:O64))+ABS(SUM(O65:O67))</f>
        <v>510</v>
      </c>
      <c r="P68" s="81">
        <f>IF(O68+N77=0,0,IF(O68=N77,Spielorte!$A$31/2,IF(O68&gt;N77,Spielorte!$A$31,0)))</f>
        <v>0</v>
      </c>
      <c r="Q68" s="226">
        <f>ABS(SUM(Q59:Q61))+ABS(SUM(Q62:Q64))+ABS(SUM(Q65:Q67))</f>
        <v>316</v>
      </c>
      <c r="R68" s="225">
        <f>ABS(SUM(R59:R61))+ABS(SUM(R62:R64))+ABS(SUM(R65:R67))</f>
        <v>477</v>
      </c>
      <c r="S68" s="81">
        <f>IF(R68+Q77=0,0,IF(R68=Q77,Spielorte!$A$31/2,IF(R68&gt;Q77,Spielorte!$A$31,0)))</f>
        <v>0</v>
      </c>
      <c r="T68" s="228">
        <f>SUM(E68+H68+K68+N68+Q68)</f>
        <v>1667</v>
      </c>
      <c r="U68" s="229">
        <f>SUM(F68+I68+L68+O68+R68)</f>
        <v>2297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>
      <c r="B69" s="230" t="s">
        <v>1803</v>
      </c>
      <c r="C69" s="1"/>
      <c r="D69" s="1"/>
      <c r="E69" s="1"/>
      <c r="F69" s="1"/>
      <c r="G69" s="61">
        <f>SUM(G59:G68)</f>
        <v>1</v>
      </c>
      <c r="H69" s="1"/>
      <c r="I69" s="1"/>
      <c r="J69" s="61">
        <f>SUM(J59:J68)</f>
        <v>1</v>
      </c>
      <c r="K69" s="1"/>
      <c r="L69" s="1"/>
      <c r="M69" s="61">
        <f>SUM(M59:M68)</f>
        <v>1</v>
      </c>
      <c r="N69" s="1"/>
      <c r="O69" s="1"/>
      <c r="P69" s="61">
        <f>SUM(P59:P68)</f>
        <v>1</v>
      </c>
      <c r="Q69" s="1"/>
      <c r="R69" s="1"/>
      <c r="S69" s="61">
        <f>SUM(S59:S68)</f>
        <v>0.5</v>
      </c>
      <c r="T69" s="1"/>
      <c r="U69" s="1"/>
      <c r="V69" s="61">
        <f>SUM(V59:V68)</f>
        <v>4.5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4.5</v>
      </c>
      <c r="AR69" s="167">
        <f>+T68</f>
        <v>1667</v>
      </c>
      <c r="AS69" s="167">
        <f>+U68</f>
        <v>2297</v>
      </c>
      <c r="AT69" s="168">
        <f>+B54</f>
        <v>3</v>
      </c>
      <c r="AW69" s="169">
        <f>SUM(AW53:AW68)</f>
        <v>15</v>
      </c>
      <c r="BD69" s="166">
        <f>+AS69/1000000+AQ69+AR69/1000000000000</f>
        <v>4.5022970016670003</v>
      </c>
      <c r="BE69" s="168">
        <f>RANK(BD69,BD:BD)</f>
        <v>8</v>
      </c>
      <c r="BI69" s="168"/>
      <c r="BM69" s="168"/>
    </row>
    <row r="70" spans="1:65" ht="11.25" customHeight="1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>
      <c r="B71" s="231" t="s">
        <v>1790</v>
      </c>
      <c r="C71" s="210"/>
      <c r="D71" s="42"/>
      <c r="E71" s="434">
        <f>VLOOKUP($B54,Schlüssel!$A$5:$EK$12,23)</f>
        <v>2</v>
      </c>
      <c r="F71" s="435"/>
      <c r="G71" s="436"/>
      <c r="H71" s="434">
        <f>VLOOKUP($B54,Schlüssel!$A$5:$EK$12,24)</f>
        <v>5</v>
      </c>
      <c r="I71" s="435"/>
      <c r="J71" s="436"/>
      <c r="K71" s="434">
        <f>VLOOKUP($B54,Schlüssel!$A$5:$EK$12,25)</f>
        <v>1</v>
      </c>
      <c r="L71" s="435"/>
      <c r="M71" s="436"/>
      <c r="N71" s="434">
        <f>VLOOKUP($B54,Schlüssel!$A$5:$EK$12,26)</f>
        <v>7</v>
      </c>
      <c r="O71" s="435"/>
      <c r="P71" s="436"/>
      <c r="Q71" s="434">
        <f>VLOOKUP($B54,Schlüssel!$A$5:$EK$12,27)</f>
        <v>6</v>
      </c>
      <c r="R71" s="435"/>
      <c r="S71" s="436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>
      <c r="B72" s="3" t="s">
        <v>9</v>
      </c>
      <c r="C72" s="1"/>
      <c r="D72" s="1"/>
      <c r="E72" s="395" t="str">
        <f>VLOOKUP(E71,Schlüssel!$A$5:$K$12,2)</f>
        <v>Highroller Rosenheim 1</v>
      </c>
      <c r="F72" s="438"/>
      <c r="G72" s="396"/>
      <c r="H72" s="395" t="str">
        <f>VLOOKUP(H71,Schlüssel!$A$5:$K$12,2)</f>
        <v>Berchtesgaden 1</v>
      </c>
      <c r="I72" s="438"/>
      <c r="J72" s="396"/>
      <c r="K72" s="395" t="str">
        <f>VLOOKUP(K71,Schlüssel!$A$5:$K$12,2)</f>
        <v>Bad Tölz 1</v>
      </c>
      <c r="L72" s="438"/>
      <c r="M72" s="396"/>
      <c r="N72" s="395" t="str">
        <f>VLOOKUP(N71,Schlüssel!$A$5:$K$12,2)</f>
        <v>BK München 1</v>
      </c>
      <c r="O72" s="438"/>
      <c r="P72" s="396"/>
      <c r="Q72" s="395" t="str">
        <f>VLOOKUP(Q71,Schlüssel!$A$5:$K$12,2)</f>
        <v>Bowling Jugend Bayern 1</v>
      </c>
      <c r="R72" s="438"/>
      <c r="S72" s="396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" customHeight="1">
      <c r="B74" s="417" t="s">
        <v>2275</v>
      </c>
      <c r="C74" s="418"/>
      <c r="D74" s="419"/>
      <c r="E74" s="431">
        <f>ABS(INDEX(F:F,MATCH(E71,$B:$B,0)+5)+INDEX(F:F,MATCH(E71,$B:$B,0)+6)+INDEX(F:F,MATCH(E71,$B:$B,0)+7))</f>
        <v>136</v>
      </c>
      <c r="F74" s="432"/>
      <c r="G74" s="433"/>
      <c r="H74" s="431">
        <f>ABS(INDEX(I:I,MATCH(H71,$B:$B,0)+5)+INDEX(I:I,MATCH(H71,$B:$B,0)+6)+INDEX(I:I,MATCH(H71,$B:$B,0)+7))</f>
        <v>143</v>
      </c>
      <c r="I74" s="432"/>
      <c r="J74" s="433"/>
      <c r="K74" s="431">
        <f>ABS(INDEX(L:L,MATCH(K71,$B:$B,0)+5)+INDEX(L:L,MATCH(K71,$B:$B,0)+6)+INDEX(L:L,MATCH(K71,$B:$B,0)+7))</f>
        <v>211</v>
      </c>
      <c r="L74" s="432"/>
      <c r="M74" s="433"/>
      <c r="N74" s="431">
        <f>ABS(INDEX(O:O,MATCH(N71,$B:$B,0)+5)+INDEX(O:O,MATCH(N71,$B:$B,0)+6)+INDEX(O:O,MATCH(N71,$B:$B,0)+7))</f>
        <v>191</v>
      </c>
      <c r="O74" s="432"/>
      <c r="P74" s="433"/>
      <c r="Q74" s="431">
        <f>ABS(INDEX(R:R,MATCH(Q71,$B:$B,0)+5)+INDEX(R:R,MATCH(Q71,$B:$B,0)+6)+INDEX(R:R,MATCH(Q71,$B:$B,0)+7))</f>
        <v>189</v>
      </c>
      <c r="R74" s="432"/>
      <c r="S74" s="433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" customHeight="1">
      <c r="B75" s="417" t="s">
        <v>2276</v>
      </c>
      <c r="C75" s="418"/>
      <c r="D75" s="419"/>
      <c r="E75" s="424">
        <f>ABS(INDEX(F:F,MATCH(E71,$B:$B,0)+8)+INDEX(F:F,MATCH(E71,$B:$B,0)+9)+INDEX(F:F,MATCH(E71,$B:$B,0)+10))</f>
        <v>151</v>
      </c>
      <c r="F75" s="425"/>
      <c r="G75" s="426"/>
      <c r="H75" s="424">
        <f>ABS(INDEX(I:I,MATCH(H71,$B:$B,0)+8)+INDEX(I:I,MATCH(H71,$B:$B,0)+9)+INDEX(I:I,MATCH(H71,$B:$B,0)+10))</f>
        <v>211</v>
      </c>
      <c r="I75" s="425"/>
      <c r="J75" s="426"/>
      <c r="K75" s="424">
        <f>ABS(INDEX(L:L,MATCH(K71,$B:$B,0)+8)+INDEX(L:L,MATCH(K71,$B:$B,0)+9)+INDEX(L:L,MATCH(K71,$B:$B,0)+10))</f>
        <v>138</v>
      </c>
      <c r="L75" s="425"/>
      <c r="M75" s="426"/>
      <c r="N75" s="424">
        <f>ABS(INDEX(O:O,MATCH(N71,$B:$B,0)+8)+INDEX(O:O,MATCH(N71,$B:$B,0)+9)+INDEX(O:O,MATCH(N71,$B:$B,0)+10))</f>
        <v>200</v>
      </c>
      <c r="O75" s="425"/>
      <c r="P75" s="426"/>
      <c r="Q75" s="424">
        <f>ABS(INDEX(R:R,MATCH(Q71,$B:$B,0)+8)+INDEX(R:R,MATCH(Q71,$B:$B,0)+9)+INDEX(R:R,MATCH(Q71,$B:$B,0)+10))</f>
        <v>164</v>
      </c>
      <c r="R75" s="425"/>
      <c r="S75" s="426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" customHeight="1">
      <c r="B76" s="417" t="s">
        <v>2277</v>
      </c>
      <c r="C76" s="418"/>
      <c r="D76" s="419"/>
      <c r="E76" s="424">
        <f>ABS(INDEX(F:F,MATCH(E71,$B:$B,0)+11)+INDEX(F:F,MATCH(E71,$B:$B,0)+12)+INDEX(F:F,MATCH(E71,$B:$B,0)+13))</f>
        <v>157</v>
      </c>
      <c r="F76" s="425"/>
      <c r="G76" s="426"/>
      <c r="H76" s="424">
        <f>ABS(INDEX(I:I,MATCH(H71,$B:$B,0)+11)+INDEX(I:I,MATCH(H71,$B:$B,0)+12)+INDEX(I:I,MATCH(H71,$B:$B,0)+13))</f>
        <v>208</v>
      </c>
      <c r="I76" s="425"/>
      <c r="J76" s="426"/>
      <c r="K76" s="424">
        <f>ABS(INDEX(L:L,MATCH(K71,$B:$B,0)+11)+INDEX(L:L,MATCH(K71,$B:$B,0)+12)+INDEX(L:L,MATCH(K71,$B:$B,0)+13))</f>
        <v>151</v>
      </c>
      <c r="L76" s="425"/>
      <c r="M76" s="426"/>
      <c r="N76" s="424">
        <f>ABS(INDEX(O:O,MATCH(N71,$B:$B,0)+11)+INDEX(O:O,MATCH(N71,$B:$B,0)+12)+INDEX(O:O,MATCH(N71,$B:$B,0)+13))</f>
        <v>201</v>
      </c>
      <c r="O76" s="425"/>
      <c r="P76" s="426"/>
      <c r="Q76" s="424">
        <f>ABS(INDEX(R:R,MATCH(Q71,$B:$B,0)+11)+INDEX(R:R,MATCH(Q71,$B:$B,0)+12)+INDEX(R:R,MATCH(Q71,$B:$B,0)+13))</f>
        <v>207</v>
      </c>
      <c r="R76" s="425"/>
      <c r="S76" s="426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" customHeight="1">
      <c r="B77" s="420" t="s">
        <v>2278</v>
      </c>
      <c r="C77" s="421"/>
      <c r="D77" s="422"/>
      <c r="E77" s="407">
        <f>SUM(E74:E76)</f>
        <v>444</v>
      </c>
      <c r="F77" s="423"/>
      <c r="G77" s="408"/>
      <c r="H77" s="407">
        <f>SUM(H74:H76)</f>
        <v>562</v>
      </c>
      <c r="I77" s="423"/>
      <c r="J77" s="408"/>
      <c r="K77" s="407">
        <f>SUM(K74:K76)</f>
        <v>500</v>
      </c>
      <c r="L77" s="423"/>
      <c r="M77" s="408"/>
      <c r="N77" s="407">
        <f>SUM(N74:N76)</f>
        <v>592</v>
      </c>
      <c r="O77" s="423"/>
      <c r="P77" s="408"/>
      <c r="Q77" s="407">
        <f>SUM(Q74:Q76)</f>
        <v>560</v>
      </c>
      <c r="R77" s="423"/>
      <c r="S77" s="408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>
      <c r="A79" s="255"/>
      <c r="B79" s="7" t="s">
        <v>1802</v>
      </c>
      <c r="C79" s="24"/>
      <c r="D79" s="24"/>
      <c r="E79" s="35" t="s">
        <v>1786</v>
      </c>
      <c r="F79" s="35"/>
      <c r="G79" s="427" t="str">
        <f>Schlüssel!$C$1</f>
        <v>Landesliga Jugend</v>
      </c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  <c r="S79" s="406">
        <f>Schlüssel!$AG$1</f>
        <v>45717</v>
      </c>
      <c r="T79" s="406"/>
      <c r="U79" s="406"/>
      <c r="V79" s="406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>
      <c r="A80" s="53"/>
      <c r="B80" s="54">
        <v>4</v>
      </c>
      <c r="E80" s="35" t="s">
        <v>1787</v>
      </c>
      <c r="F80" s="35"/>
      <c r="G80" s="413" t="str">
        <f>Schlüssel!$W$2</f>
        <v>Unterföhring Dreambowl Palace</v>
      </c>
      <c r="H80" s="413"/>
      <c r="I80" s="413"/>
      <c r="J80" s="413"/>
      <c r="K80" s="413"/>
      <c r="L80" s="413"/>
      <c r="M80" s="413"/>
      <c r="N80" s="413"/>
      <c r="O80" s="413"/>
      <c r="P80" s="66"/>
      <c r="Q80" s="411" t="s">
        <v>1785</v>
      </c>
      <c r="R80" s="412"/>
      <c r="S80" s="38">
        <v>2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>
      <c r="B81" s="414" t="str">
        <f>VLOOKUP(B80,Schlüssel!$A$5:$B$12,2)</f>
        <v>Highroller Rosenheim 3</v>
      </c>
      <c r="C81" s="415"/>
      <c r="D81" s="415"/>
      <c r="E81" s="415"/>
      <c r="F81" s="415"/>
      <c r="G81" s="416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3.8" hidden="1" thickBot="1">
      <c r="A82" s="6"/>
      <c r="B82" s="7"/>
      <c r="C82" s="43"/>
      <c r="D82" s="43"/>
      <c r="E82" s="162" t="s">
        <v>10</v>
      </c>
      <c r="F82" s="220"/>
      <c r="G82" s="159">
        <f>VLOOKUP(B80,Schlüssel!$A$5:$EK$12,33)</f>
        <v>13</v>
      </c>
      <c r="H82" s="161" t="s">
        <v>10</v>
      </c>
      <c r="I82" s="220"/>
      <c r="J82" s="159">
        <f>VLOOKUP(B80,Schlüssel!$A$5:$EK$12,34)</f>
        <v>9</v>
      </c>
      <c r="K82" s="161" t="s">
        <v>10</v>
      </c>
      <c r="L82" s="220"/>
      <c r="M82" s="159">
        <f>VLOOKUP(B80,Schlüssel!$A$5:$EK$12,35)</f>
        <v>10</v>
      </c>
      <c r="N82" s="161" t="s">
        <v>10</v>
      </c>
      <c r="O82" s="220"/>
      <c r="P82" s="159">
        <f>VLOOKUP(B80,Schlüssel!$A$5:$EK$12,36)</f>
        <v>16</v>
      </c>
      <c r="Q82" s="161" t="s">
        <v>10</v>
      </c>
      <c r="R82" s="220"/>
      <c r="S82" s="160">
        <f>VLOOKUP(B80,Schlüssel!$A$5:$EK$12,37)</f>
        <v>12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>
      <c r="B83" s="44" t="s">
        <v>1</v>
      </c>
      <c r="C83" s="208"/>
      <c r="D83" s="217"/>
      <c r="E83" s="423" t="s">
        <v>1793</v>
      </c>
      <c r="F83" s="423"/>
      <c r="G83" s="408"/>
      <c r="H83" s="407" t="s">
        <v>1794</v>
      </c>
      <c r="I83" s="423"/>
      <c r="J83" s="408"/>
      <c r="K83" s="407" t="s">
        <v>1795</v>
      </c>
      <c r="L83" s="423"/>
      <c r="M83" s="408"/>
      <c r="N83" s="407" t="s">
        <v>1796</v>
      </c>
      <c r="O83" s="423"/>
      <c r="P83" s="408"/>
      <c r="Q83" s="407" t="s">
        <v>1797</v>
      </c>
      <c r="R83" s="423"/>
      <c r="S83" s="437"/>
      <c r="T83" s="439" t="s">
        <v>1792</v>
      </c>
      <c r="U83" s="440"/>
      <c r="V83" s="410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6.95" customHeight="1">
      <c r="A85" s="403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2">+AP85</f>
        <v>39</v>
      </c>
      <c r="E85" s="221">
        <v>89</v>
      </c>
      <c r="F85" s="240">
        <f t="shared" ref="F85:F93" si="73">IF(E85&gt;0,E85+$D85,0)</f>
        <v>128</v>
      </c>
      <c r="G85" s="428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8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8">
        <f>IF(SUM(L85:L87)+K100=0,0,IF(ABS(SUM(L85:L87))=K100,Spielorte!$A$30/2,IF(ABS(SUM(L85:L87))&gt;K100,Spielorte!$A$30,0)))</f>
        <v>1</v>
      </c>
      <c r="N85" s="221"/>
      <c r="O85" s="240">
        <f t="shared" ref="O85:O93" si="76">IF(N85&gt;0,N85+$D85,0)</f>
        <v>0</v>
      </c>
      <c r="P85" s="428">
        <f>IF(SUM(O85:O87)+N100=0,0,IF(ABS(SUM(O85:O87))=N100,Spielorte!$A$30/2,IF(ABS(SUM(O85:O87))&gt;N100,Spielorte!$A$30,0)))</f>
        <v>1</v>
      </c>
      <c r="Q85" s="221"/>
      <c r="R85" s="240">
        <f t="shared" ref="R85:R93" si="77">IF(Q85&gt;0,Q85+$D85,0)</f>
        <v>0</v>
      </c>
      <c r="S85" s="428">
        <f>IF(SUM(R85:R87)+Q100=0,0,IF(ABS(SUM(R85:R87))=Q100,Spielorte!$A$30/2,IF(ABS(SUM(R85:R87))&gt;Q100,Spielorte!$A$30,0)))</f>
        <v>1</v>
      </c>
      <c r="T85" s="221">
        <f t="shared" ref="T85:U93" si="78">ABS(SUM(E85:E85))+ABS(SUM(H85:H85))+ABS(SUM(K85:K85))+ABS(SUM(N85:N85))+ABS(SUM(Q85:Q85))</f>
        <v>89</v>
      </c>
      <c r="U85" s="240">
        <f t="shared" si="78"/>
        <v>128</v>
      </c>
      <c r="V85" s="400">
        <f>SUM(G85+J85+M85+P85+S85)</f>
        <v>3</v>
      </c>
      <c r="W85" s="79"/>
      <c r="X85" s="79"/>
      <c r="Y85" s="79"/>
      <c r="Z85" s="79"/>
      <c r="AA85" s="79"/>
      <c r="AB85" s="79"/>
      <c r="AL85" s="169">
        <f>IF(AU85=0,0,IFERROR(INDEX(RanglisteST2!K:K,MATCH(AU85,RanglisteST2!A:A,0)),0))</f>
        <v>111.5</v>
      </c>
      <c r="AM85" s="169">
        <f>IF(AU85=0,0,SUMIF(AU85:AU93,AU85,AV85:AV93))</f>
        <v>89</v>
      </c>
      <c r="AN85" s="169">
        <f>IF(AU85=0,0,SUMIF(AU85:AU93,AU85,AW85:AW93))</f>
        <v>1</v>
      </c>
      <c r="AO85" s="169">
        <f t="shared" ref="AO85:AO93" si="79">IFERROR(AM85/AN85,0)</f>
        <v>89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39</v>
      </c>
      <c r="AQ85" s="166"/>
      <c r="AR85" s="167"/>
      <c r="AS85" s="167"/>
      <c r="AT85" s="168"/>
      <c r="AU85" s="171">
        <f t="shared" ref="AU85:AU93" si="80">C85</f>
        <v>38808</v>
      </c>
      <c r="AV85" s="167">
        <f t="shared" ref="AV85:AV93" si="81">T85</f>
        <v>89</v>
      </c>
      <c r="AW85" s="169">
        <f t="shared" ref="AW85:AW93" si="82">COUNT(AY85:BC85)</f>
        <v>1</v>
      </c>
      <c r="AX85" s="169">
        <f t="shared" ref="AX85:AX93" si="83">COUNTIF(AY85:BC85,"&gt;0")</f>
        <v>1</v>
      </c>
      <c r="AY85" s="169">
        <f t="shared" ref="AY85:AY93" si="84">IF(E85=0,"",E85)</f>
        <v>89</v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89</v>
      </c>
      <c r="BG85" s="169">
        <f t="shared" ref="BG85:BG93" si="90">IF(BF85&lt;MAX(BF:BF),0,BF85+ROW()/1000000000)</f>
        <v>0</v>
      </c>
      <c r="BH85" s="169" t="str">
        <f>+B81</f>
        <v>Highroller Rosenheim 3</v>
      </c>
      <c r="BI85" s="168">
        <f t="shared" ref="BI85:BI93" si="91">RANK(BG85,BG:BG)</f>
        <v>2</v>
      </c>
      <c r="BJ85" s="169">
        <f t="shared" ref="BJ85:BJ93" si="92">SUMIF(AY85:BC85,"&gt;0")</f>
        <v>89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0</v>
      </c>
      <c r="BM85" s="168">
        <f t="shared" ref="BM85:BM93" si="94">IF(BL85=0,0,RANK(BL85,BL:BL))</f>
        <v>0</v>
      </c>
    </row>
    <row r="86" spans="1:65" ht="16.95" customHeight="1">
      <c r="A86" s="404"/>
      <c r="B86" s="58" t="str">
        <f>IF(C86=0,"",VLOOKUP(C86,Starter!$A$1:$D$196,2,FALSE))</f>
        <v>Marker, Anna</v>
      </c>
      <c r="C86" s="233">
        <v>38848</v>
      </c>
      <c r="D86" s="239">
        <f t="shared" si="72"/>
        <v>32</v>
      </c>
      <c r="E86" s="222"/>
      <c r="F86" s="241">
        <f t="shared" si="73"/>
        <v>0</v>
      </c>
      <c r="G86" s="429"/>
      <c r="H86" s="222">
        <v>138</v>
      </c>
      <c r="I86" s="241">
        <f t="shared" si="74"/>
        <v>170</v>
      </c>
      <c r="J86" s="429"/>
      <c r="K86" s="222">
        <v>129</v>
      </c>
      <c r="L86" s="241">
        <f t="shared" si="75"/>
        <v>161</v>
      </c>
      <c r="M86" s="429"/>
      <c r="N86" s="222">
        <v>166</v>
      </c>
      <c r="O86" s="241">
        <f t="shared" si="76"/>
        <v>198</v>
      </c>
      <c r="P86" s="429"/>
      <c r="Q86" s="222">
        <v>140</v>
      </c>
      <c r="R86" s="241">
        <f t="shared" si="77"/>
        <v>172</v>
      </c>
      <c r="S86" s="429"/>
      <c r="T86" s="222">
        <f t="shared" si="78"/>
        <v>573</v>
      </c>
      <c r="U86" s="241">
        <f t="shared" si="78"/>
        <v>701</v>
      </c>
      <c r="V86" s="401"/>
      <c r="W86" s="79"/>
      <c r="X86" s="79"/>
      <c r="Y86" s="79"/>
      <c r="Z86" s="79"/>
      <c r="AA86" s="79"/>
      <c r="AB86" s="79"/>
      <c r="AL86" s="169">
        <f>IF(AU86=0,0,IFERROR(INDEX(RanglisteST2!K:K,MATCH(AU86,RanglisteST2!A:A,0)),0))</f>
        <v>119.49</v>
      </c>
      <c r="AM86" s="169">
        <f>IF(AU86=0,0,SUMIF(AU85:AU93,AU86,AV85:AV93))</f>
        <v>573</v>
      </c>
      <c r="AN86" s="169">
        <f>IF(AU86=0,0,SUMIF(AU85:AU93,AU86,AW85:AW93))</f>
        <v>4</v>
      </c>
      <c r="AO86" s="169">
        <f t="shared" si="79"/>
        <v>143.25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32</v>
      </c>
      <c r="AQ86" s="166"/>
      <c r="AR86" s="167"/>
      <c r="AS86" s="167"/>
      <c r="AT86" s="168"/>
      <c r="AU86" s="171">
        <f t="shared" si="80"/>
        <v>38848</v>
      </c>
      <c r="AV86" s="167">
        <f t="shared" si="81"/>
        <v>573</v>
      </c>
      <c r="AW86" s="169">
        <f t="shared" si="82"/>
        <v>4</v>
      </c>
      <c r="AX86" s="169">
        <f t="shared" si="83"/>
        <v>4</v>
      </c>
      <c r="AY86" s="169" t="str">
        <f t="shared" si="84"/>
        <v/>
      </c>
      <c r="AZ86" s="169">
        <f t="shared" si="85"/>
        <v>138</v>
      </c>
      <c r="BA86" s="169">
        <f t="shared" si="86"/>
        <v>129</v>
      </c>
      <c r="BB86" s="169">
        <f t="shared" si="87"/>
        <v>166</v>
      </c>
      <c r="BC86" s="169">
        <f t="shared" si="88"/>
        <v>140</v>
      </c>
      <c r="BD86" s="170"/>
      <c r="BE86" s="168"/>
      <c r="BF86" s="169">
        <f t="shared" si="89"/>
        <v>166</v>
      </c>
      <c r="BG86" s="169">
        <f t="shared" si="90"/>
        <v>0</v>
      </c>
      <c r="BH86" s="169" t="str">
        <f t="shared" ref="BH86:BH93" si="95">+BH85</f>
        <v>Highroller Rosenheim 3</v>
      </c>
      <c r="BI86" s="168">
        <f t="shared" si="91"/>
        <v>2</v>
      </c>
      <c r="BJ86" s="169">
        <f t="shared" si="92"/>
        <v>573</v>
      </c>
      <c r="BK86" s="169">
        <f>IF(COUNTIF(AY86:BC86,"&gt;0")&lt;Spielorte!$A$23,0,AV86/Spielorte!$A$23)</f>
        <v>0</v>
      </c>
      <c r="BL86" s="169">
        <f t="shared" si="93"/>
        <v>0</v>
      </c>
      <c r="BM86" s="168">
        <f t="shared" si="94"/>
        <v>0</v>
      </c>
    </row>
    <row r="87" spans="1:65" ht="16.95" customHeight="1" thickBot="1">
      <c r="A87" s="405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30"/>
      <c r="H87" s="224"/>
      <c r="I87" s="242">
        <f t="shared" si="74"/>
        <v>0</v>
      </c>
      <c r="J87" s="430"/>
      <c r="K87" s="224"/>
      <c r="L87" s="242">
        <f t="shared" si="75"/>
        <v>0</v>
      </c>
      <c r="M87" s="430"/>
      <c r="N87" s="224"/>
      <c r="O87" s="242">
        <f t="shared" si="76"/>
        <v>0</v>
      </c>
      <c r="P87" s="430"/>
      <c r="Q87" s="224"/>
      <c r="R87" s="242">
        <f t="shared" si="77"/>
        <v>0</v>
      </c>
      <c r="S87" s="430"/>
      <c r="T87" s="224">
        <f t="shared" si="78"/>
        <v>0</v>
      </c>
      <c r="U87" s="242">
        <f t="shared" si="78"/>
        <v>0</v>
      </c>
      <c r="V87" s="402"/>
      <c r="W87" s="79"/>
      <c r="X87" s="79"/>
      <c r="Y87" s="79"/>
      <c r="Z87" s="79"/>
      <c r="AA87" s="79"/>
      <c r="AB87" s="79"/>
      <c r="AL87" s="169">
        <f>IF(AU87=0,0,IFERROR(INDEX(RanglisteST2!K:K,MATCH(AU87,RanglisteST2!A:A,0)),0))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0</v>
      </c>
      <c r="BH87" s="169" t="str">
        <f t="shared" si="95"/>
        <v>Highroller Rosenheim 3</v>
      </c>
      <c r="BI87" s="168">
        <f t="shared" si="91"/>
        <v>2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0</v>
      </c>
      <c r="BM87" s="168">
        <f t="shared" si="94"/>
        <v>0</v>
      </c>
    </row>
    <row r="88" spans="1:65" ht="16.95" customHeight="1">
      <c r="A88" s="403" t="s">
        <v>2</v>
      </c>
      <c r="B88" s="58" t="str">
        <f>IF(C88=0,"",VLOOKUP(C88,Starter!$A$1:$D$196,2,FALSE))</f>
        <v>Vokshi, Finn</v>
      </c>
      <c r="C88" s="235">
        <v>38810</v>
      </c>
      <c r="D88" s="238">
        <f t="shared" si="72"/>
        <v>36</v>
      </c>
      <c r="E88" s="221">
        <v>113</v>
      </c>
      <c r="F88" s="240">
        <f t="shared" si="73"/>
        <v>149</v>
      </c>
      <c r="G88" s="428">
        <f>IF(SUM(F88:F90)+E101=0,0,IF(ABS(SUM(F88:F90))=E101,Spielorte!$A$30/2,IF(ABS(SUM(F88:F90))&gt;E101,Spielorte!$A$30,0)))</f>
        <v>0</v>
      </c>
      <c r="H88" s="221">
        <v>90</v>
      </c>
      <c r="I88" s="240">
        <f t="shared" si="74"/>
        <v>126</v>
      </c>
      <c r="J88" s="428">
        <f>IF(SUM(I88:I90)+H101=0,0,IF(ABS(SUM(I88:I90))=H101,Spielorte!$A$30/2,IF(ABS(SUM(I88:I90))&gt;H101,Spielorte!$A$30,0)))</f>
        <v>0</v>
      </c>
      <c r="K88" s="221">
        <v>94</v>
      </c>
      <c r="L88" s="240">
        <f t="shared" si="75"/>
        <v>130</v>
      </c>
      <c r="M88" s="428">
        <f>IF(SUM(L88:L90)+K101=0,0,IF(ABS(SUM(L88:L90))=K101,Spielorte!$A$30/2,IF(ABS(SUM(L88:L90))&gt;K101,Spielorte!$A$30,0)))</f>
        <v>0</v>
      </c>
      <c r="N88" s="221">
        <v>161</v>
      </c>
      <c r="O88" s="240">
        <f t="shared" si="76"/>
        <v>197</v>
      </c>
      <c r="P88" s="428">
        <f>IF(SUM(O88:O90)+N101=0,0,IF(ABS(SUM(O88:O90))=N101,Spielorte!$A$30/2,IF(ABS(SUM(O88:O90))&gt;N101,Spielorte!$A$30,0)))</f>
        <v>1</v>
      </c>
      <c r="Q88" s="221">
        <v>124</v>
      </c>
      <c r="R88" s="240">
        <f t="shared" si="77"/>
        <v>160</v>
      </c>
      <c r="S88" s="428">
        <f>IF(SUM(R88:R90)+Q101=0,0,IF(ABS(SUM(R88:R90))=Q101,Spielorte!$A$30/2,IF(ABS(SUM(R88:R90))&gt;Q101,Spielorte!$A$30,0)))</f>
        <v>0</v>
      </c>
      <c r="T88" s="221">
        <f t="shared" si="78"/>
        <v>582</v>
      </c>
      <c r="U88" s="240">
        <f t="shared" si="78"/>
        <v>762</v>
      </c>
      <c r="V88" s="400">
        <f>SUM(G88+J88+M88+P88+S88)</f>
        <v>1</v>
      </c>
      <c r="W88" s="79"/>
      <c r="X88" s="79"/>
      <c r="Y88" s="79"/>
      <c r="Z88" s="79"/>
      <c r="AA88" s="79"/>
      <c r="AB88" s="79"/>
      <c r="AL88" s="169">
        <f>IF(AU88=0,0,IFERROR(INDEX(RanglisteST2!K:K,MATCH(AU88,RanglisteST2!A:A,0)),0))</f>
        <v>115</v>
      </c>
      <c r="AM88" s="169">
        <f>IF(AU88=0,0,SUMIF(AU85:AU93,AU88,AV85:AV93))</f>
        <v>582</v>
      </c>
      <c r="AN88" s="169">
        <f>IF(AU88=0,0,SUMIF(AU85:AU93,AU88,AW85:AW93))</f>
        <v>5</v>
      </c>
      <c r="AO88" s="169">
        <f t="shared" si="79"/>
        <v>116.4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36</v>
      </c>
      <c r="AQ88" s="166"/>
      <c r="AR88" s="167"/>
      <c r="AS88" s="167"/>
      <c r="AT88" s="168"/>
      <c r="AU88" s="171">
        <f t="shared" si="80"/>
        <v>38810</v>
      </c>
      <c r="AV88" s="167">
        <f t="shared" si="81"/>
        <v>582</v>
      </c>
      <c r="AW88" s="169">
        <f t="shared" si="82"/>
        <v>5</v>
      </c>
      <c r="AX88" s="169">
        <f t="shared" si="83"/>
        <v>5</v>
      </c>
      <c r="AY88" s="169">
        <f t="shared" si="84"/>
        <v>113</v>
      </c>
      <c r="AZ88" s="169">
        <f t="shared" si="85"/>
        <v>90</v>
      </c>
      <c r="BA88" s="169">
        <f t="shared" si="86"/>
        <v>94</v>
      </c>
      <c r="BB88" s="169">
        <f t="shared" si="87"/>
        <v>161</v>
      </c>
      <c r="BC88" s="169">
        <f t="shared" si="88"/>
        <v>124</v>
      </c>
      <c r="BD88" s="170"/>
      <c r="BE88" s="168"/>
      <c r="BF88" s="169">
        <f t="shared" si="89"/>
        <v>161</v>
      </c>
      <c r="BG88" s="169">
        <f t="shared" si="90"/>
        <v>0</v>
      </c>
      <c r="BH88" s="169" t="str">
        <f t="shared" si="95"/>
        <v>Highroller Rosenheim 3</v>
      </c>
      <c r="BI88" s="168">
        <f t="shared" si="91"/>
        <v>2</v>
      </c>
      <c r="BJ88" s="169">
        <f t="shared" si="92"/>
        <v>582</v>
      </c>
      <c r="BK88" s="169">
        <f>IF(COUNTIF(AY88:BC88,"&gt;0")&lt;Spielorte!$A$23,0,AV88/Spielorte!$A$23)</f>
        <v>116.4</v>
      </c>
      <c r="BL88" s="169">
        <f t="shared" si="93"/>
        <v>0</v>
      </c>
      <c r="BM88" s="168">
        <f t="shared" si="94"/>
        <v>0</v>
      </c>
    </row>
    <row r="89" spans="1:65" ht="16.95" customHeight="1">
      <c r="A89" s="404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9"/>
      <c r="H89" s="222"/>
      <c r="I89" s="241">
        <f t="shared" si="74"/>
        <v>0</v>
      </c>
      <c r="J89" s="429"/>
      <c r="K89" s="222"/>
      <c r="L89" s="241">
        <f t="shared" si="75"/>
        <v>0</v>
      </c>
      <c r="M89" s="429"/>
      <c r="N89" s="222"/>
      <c r="O89" s="241">
        <f t="shared" si="76"/>
        <v>0</v>
      </c>
      <c r="P89" s="429"/>
      <c r="Q89" s="222"/>
      <c r="R89" s="241">
        <f t="shared" si="77"/>
        <v>0</v>
      </c>
      <c r="S89" s="429"/>
      <c r="T89" s="222">
        <f t="shared" si="78"/>
        <v>0</v>
      </c>
      <c r="U89" s="241">
        <f t="shared" si="78"/>
        <v>0</v>
      </c>
      <c r="V89" s="401"/>
      <c r="W89" s="79"/>
      <c r="X89" s="79"/>
      <c r="Y89" s="79"/>
      <c r="Z89" s="79"/>
      <c r="AA89" s="79"/>
      <c r="AB89" s="79"/>
      <c r="AL89" s="169">
        <f>IF(AU89=0,0,IFERROR(INDEX(RanglisteST2!K:K,MATCH(AU89,RanglisteST2!A:A,0)),0))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0</v>
      </c>
      <c r="BH89" s="169" t="str">
        <f t="shared" si="95"/>
        <v>Highroller Rosenheim 3</v>
      </c>
      <c r="BI89" s="168">
        <f t="shared" si="91"/>
        <v>2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0</v>
      </c>
      <c r="BM89" s="168">
        <f t="shared" si="94"/>
        <v>0</v>
      </c>
    </row>
    <row r="90" spans="1:65" ht="16.95" customHeight="1" thickBot="1">
      <c r="A90" s="405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30"/>
      <c r="H90" s="224"/>
      <c r="I90" s="242">
        <f t="shared" si="74"/>
        <v>0</v>
      </c>
      <c r="J90" s="430"/>
      <c r="K90" s="224"/>
      <c r="L90" s="242">
        <f t="shared" si="75"/>
        <v>0</v>
      </c>
      <c r="M90" s="430"/>
      <c r="N90" s="224"/>
      <c r="O90" s="242">
        <f t="shared" si="76"/>
        <v>0</v>
      </c>
      <c r="P90" s="430"/>
      <c r="Q90" s="224"/>
      <c r="R90" s="242">
        <f t="shared" si="77"/>
        <v>0</v>
      </c>
      <c r="S90" s="430"/>
      <c r="T90" s="224">
        <f t="shared" si="78"/>
        <v>0</v>
      </c>
      <c r="U90" s="242">
        <f t="shared" si="78"/>
        <v>0</v>
      </c>
      <c r="V90" s="402"/>
      <c r="W90" s="79"/>
      <c r="X90" s="79"/>
      <c r="Y90" s="79"/>
      <c r="Z90" s="79"/>
      <c r="AA90" s="79"/>
      <c r="AB90" s="79"/>
      <c r="AL90" s="169">
        <f>IF(AU90=0,0,IFERROR(INDEX(RanglisteST2!K:K,MATCH(AU90,RanglisteST2!A:A,0)),0))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0</v>
      </c>
      <c r="BH90" s="169" t="str">
        <f t="shared" si="95"/>
        <v>Highroller Rosenheim 3</v>
      </c>
      <c r="BI90" s="168">
        <f t="shared" si="91"/>
        <v>2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0</v>
      </c>
      <c r="BM90" s="168">
        <f t="shared" si="94"/>
        <v>0</v>
      </c>
    </row>
    <row r="91" spans="1:65" ht="16.95" customHeight="1">
      <c r="A91" s="403" t="s">
        <v>3</v>
      </c>
      <c r="B91" s="58" t="str">
        <f>IF(C91=0,"",VLOOKUP(C91,Starter!$A$1:$D$196,2,FALSE))</f>
        <v>Marker, Lena</v>
      </c>
      <c r="C91" s="235">
        <v>38849</v>
      </c>
      <c r="D91" s="216">
        <f t="shared" si="72"/>
        <v>35</v>
      </c>
      <c r="E91" s="221">
        <v>122</v>
      </c>
      <c r="F91" s="240">
        <f t="shared" si="73"/>
        <v>157</v>
      </c>
      <c r="G91" s="428">
        <f>IF(SUM(F91:F93)+E102=0,0,IF(ABS(SUM(F91:F93))=E102,Spielorte!$A$30/2,IF(ABS(SUM(F91:F93))&gt;E102,Spielorte!$A$30,0)))</f>
        <v>0.5</v>
      </c>
      <c r="H91" s="221">
        <v>170</v>
      </c>
      <c r="I91" s="240">
        <f t="shared" si="74"/>
        <v>205</v>
      </c>
      <c r="J91" s="428">
        <f>IF(SUM(I91:I93)+H102=0,0,IF(ABS(SUM(I91:I93))=H102,Spielorte!$A$30/2,IF(ABS(SUM(I91:I93))&gt;H102,Spielorte!$A$30,0)))</f>
        <v>1</v>
      </c>
      <c r="K91" s="221">
        <v>145</v>
      </c>
      <c r="L91" s="240">
        <f t="shared" si="75"/>
        <v>180</v>
      </c>
      <c r="M91" s="428">
        <f>IF(SUM(L91:L93)+K102=0,0,IF(ABS(SUM(L91:L93))=K102,Spielorte!$A$30/2,IF(ABS(SUM(L91:L93))&gt;K102,Spielorte!$A$30,0)))</f>
        <v>0</v>
      </c>
      <c r="N91" s="221">
        <v>109</v>
      </c>
      <c r="O91" s="240">
        <f t="shared" si="76"/>
        <v>144</v>
      </c>
      <c r="P91" s="428">
        <f>IF(SUM(O91:O93)+N102=0,0,IF(ABS(SUM(O91:O93))=N102,Spielorte!$A$30/2,IF(ABS(SUM(O91:O93))&gt;N102,Spielorte!$A$30,0)))</f>
        <v>0</v>
      </c>
      <c r="Q91" s="221">
        <v>116</v>
      </c>
      <c r="R91" s="240">
        <f t="shared" si="77"/>
        <v>151</v>
      </c>
      <c r="S91" s="428">
        <f>IF(SUM(R91:R93)+Q102=0,0,IF(ABS(SUM(R91:R93))=Q102,Spielorte!$A$30/2,IF(ABS(SUM(R91:R93))&gt;Q102,Spielorte!$A$30,0)))</f>
        <v>0</v>
      </c>
      <c r="T91" s="221">
        <f t="shared" si="78"/>
        <v>662</v>
      </c>
      <c r="U91" s="240">
        <f t="shared" si="78"/>
        <v>837</v>
      </c>
      <c r="V91" s="400">
        <f>SUM(G91+J91+M91+P91+S91)</f>
        <v>1.5</v>
      </c>
      <c r="W91" s="79"/>
      <c r="X91" s="79"/>
      <c r="Y91" s="79"/>
      <c r="Z91" s="79"/>
      <c r="AA91" s="79"/>
      <c r="AB91" s="79"/>
      <c r="AL91" s="169">
        <f>IF(AU91=0,0,IFERROR(INDEX(RanglisteST2!K:K,MATCH(AU91,RanglisteST2!A:A,0)),0))</f>
        <v>115.92</v>
      </c>
      <c r="AM91" s="169">
        <f>IF(AU91=0,0,SUMIF(AU85:AU93,AU91,AV85:AV93))</f>
        <v>662</v>
      </c>
      <c r="AN91" s="169">
        <f>IF(AU91=0,0,SUMIF(AU85:AU93,AU91,AW85:AW93))</f>
        <v>5</v>
      </c>
      <c r="AO91" s="169">
        <f t="shared" si="79"/>
        <v>132.4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35</v>
      </c>
      <c r="AQ91" s="166"/>
      <c r="AR91" s="167"/>
      <c r="AS91" s="167"/>
      <c r="AT91" s="168"/>
      <c r="AU91" s="171">
        <f t="shared" si="80"/>
        <v>38849</v>
      </c>
      <c r="AV91" s="167">
        <f t="shared" si="81"/>
        <v>662</v>
      </c>
      <c r="AW91" s="169">
        <f t="shared" si="82"/>
        <v>5</v>
      </c>
      <c r="AX91" s="169">
        <f t="shared" si="83"/>
        <v>5</v>
      </c>
      <c r="AY91" s="169">
        <f t="shared" si="84"/>
        <v>122</v>
      </c>
      <c r="AZ91" s="169">
        <f t="shared" si="85"/>
        <v>170</v>
      </c>
      <c r="BA91" s="169">
        <f t="shared" si="86"/>
        <v>145</v>
      </c>
      <c r="BB91" s="169">
        <f t="shared" si="87"/>
        <v>109</v>
      </c>
      <c r="BC91" s="169">
        <f t="shared" si="88"/>
        <v>116</v>
      </c>
      <c r="BD91" s="170"/>
      <c r="BE91" s="168"/>
      <c r="BF91" s="169">
        <f t="shared" si="89"/>
        <v>170</v>
      </c>
      <c r="BG91" s="169">
        <f t="shared" si="90"/>
        <v>0</v>
      </c>
      <c r="BH91" s="169" t="str">
        <f t="shared" si="95"/>
        <v>Highroller Rosenheim 3</v>
      </c>
      <c r="BI91" s="168">
        <f t="shared" si="91"/>
        <v>2</v>
      </c>
      <c r="BJ91" s="169">
        <f t="shared" si="92"/>
        <v>662</v>
      </c>
      <c r="BK91" s="169">
        <f>IF(COUNTIF(AY91:BC91,"&gt;0")&lt;Spielorte!$A$23,0,AV91/Spielorte!$A$23)</f>
        <v>132.4</v>
      </c>
      <c r="BL91" s="169">
        <f t="shared" si="93"/>
        <v>0</v>
      </c>
      <c r="BM91" s="168">
        <f t="shared" si="94"/>
        <v>0</v>
      </c>
    </row>
    <row r="92" spans="1:65" ht="16.95" customHeight="1">
      <c r="A92" s="404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9"/>
      <c r="H92" s="222"/>
      <c r="I92" s="241">
        <f t="shared" si="74"/>
        <v>0</v>
      </c>
      <c r="J92" s="429"/>
      <c r="K92" s="222"/>
      <c r="L92" s="241">
        <f t="shared" si="75"/>
        <v>0</v>
      </c>
      <c r="M92" s="429"/>
      <c r="N92" s="222"/>
      <c r="O92" s="241">
        <f t="shared" si="76"/>
        <v>0</v>
      </c>
      <c r="P92" s="429"/>
      <c r="Q92" s="222"/>
      <c r="R92" s="241">
        <f t="shared" si="77"/>
        <v>0</v>
      </c>
      <c r="S92" s="429"/>
      <c r="T92" s="222">
        <f t="shared" si="78"/>
        <v>0</v>
      </c>
      <c r="U92" s="241">
        <f t="shared" si="78"/>
        <v>0</v>
      </c>
      <c r="V92" s="401"/>
      <c r="W92" s="79"/>
      <c r="X92" s="79"/>
      <c r="Y92" s="79"/>
      <c r="Z92" s="79"/>
      <c r="AA92" s="79"/>
      <c r="AB92" s="79"/>
      <c r="AL92" s="169">
        <f>IF(AU92=0,0,IFERROR(INDEX(RanglisteST2!K:K,MATCH(AU92,RanglisteST2!A:A,0)),0))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0</v>
      </c>
      <c r="BH92" s="169" t="str">
        <f t="shared" si="95"/>
        <v>Highroller Rosenheim 3</v>
      </c>
      <c r="BI92" s="168">
        <f t="shared" si="91"/>
        <v>2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0</v>
      </c>
      <c r="BM92" s="168">
        <f t="shared" si="94"/>
        <v>0</v>
      </c>
    </row>
    <row r="93" spans="1:65" ht="16.95" customHeight="1" thickBot="1">
      <c r="A93" s="405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30"/>
      <c r="H93" s="224"/>
      <c r="I93" s="242">
        <f t="shared" si="74"/>
        <v>0</v>
      </c>
      <c r="J93" s="430"/>
      <c r="K93" s="224"/>
      <c r="L93" s="242">
        <f t="shared" si="75"/>
        <v>0</v>
      </c>
      <c r="M93" s="430"/>
      <c r="N93" s="224"/>
      <c r="O93" s="242">
        <f t="shared" si="76"/>
        <v>0</v>
      </c>
      <c r="P93" s="430"/>
      <c r="Q93" s="224"/>
      <c r="R93" s="242">
        <f t="shared" si="77"/>
        <v>0</v>
      </c>
      <c r="S93" s="430"/>
      <c r="T93" s="224">
        <f t="shared" si="78"/>
        <v>0</v>
      </c>
      <c r="U93" s="242">
        <f t="shared" si="78"/>
        <v>0</v>
      </c>
      <c r="V93" s="402"/>
      <c r="W93" s="79"/>
      <c r="X93" s="79"/>
      <c r="Y93" s="79"/>
      <c r="Z93" s="79"/>
      <c r="AA93" s="79"/>
      <c r="AB93" s="79"/>
      <c r="AL93" s="169">
        <f>IF(AU93=0,0,IFERROR(INDEX(RanglisteST2!K:K,MATCH(AU93,RanglisteST2!A:A,0)),0))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0</v>
      </c>
      <c r="BH93" s="169" t="str">
        <f t="shared" si="95"/>
        <v>Highroller Rosenheim 3</v>
      </c>
      <c r="BI93" s="168">
        <f t="shared" si="91"/>
        <v>2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0</v>
      </c>
      <c r="BM93" s="168">
        <f t="shared" si="94"/>
        <v>0</v>
      </c>
    </row>
    <row r="94" spans="1:65" ht="27.75" customHeight="1" thickBot="1">
      <c r="B94" s="218" t="s">
        <v>1792</v>
      </c>
      <c r="C94" s="204"/>
      <c r="D94" s="219"/>
      <c r="E94" s="226">
        <f>ABS(SUM(E85:E87))+ABS(SUM(E88:E90))+ABS(SUM(E91:E93))</f>
        <v>324</v>
      </c>
      <c r="F94" s="225">
        <f>ABS(SUM(F85:F87))+ABS(SUM(F88:F90))+ABS(SUM(F91:F93))</f>
        <v>434</v>
      </c>
      <c r="G94" s="81">
        <f>IF(F94+E103=0,0,IF(F94=E103,Spielorte!$A$31/2,IF(F94&gt;E103,Spielorte!$A$31,0)))</f>
        <v>0</v>
      </c>
      <c r="H94" s="226">
        <f>ABS(SUM(H85:H87))+ABS(SUM(H88:H90))+ABS(SUM(H91:H93))</f>
        <v>398</v>
      </c>
      <c r="I94" s="225">
        <f>ABS(SUM(I85:I87))+ABS(SUM(I88:I90))+ABS(SUM(I91:I93))</f>
        <v>501</v>
      </c>
      <c r="J94" s="81">
        <f>IF(I94+H103=0,0,IF(I94=H103,Spielorte!$A$31/2,IF(I94&gt;H103,Spielorte!$A$31,0)))</f>
        <v>0</v>
      </c>
      <c r="K94" s="226">
        <f>ABS(SUM(K85:K87))+ABS(SUM(K88:K90))+ABS(SUM(K91:K93))</f>
        <v>368</v>
      </c>
      <c r="L94" s="225">
        <f>ABS(SUM(L85:L87))+ABS(SUM(L88:L90))+ABS(SUM(L91:L93))</f>
        <v>471</v>
      </c>
      <c r="M94" s="81">
        <f>IF(L94+K103=0,0,IF(L94=K103,Spielorte!$A$31/2,IF(L94&gt;K103,Spielorte!$A$31,0)))</f>
        <v>2</v>
      </c>
      <c r="N94" s="226">
        <f>ABS(SUM(N85:N87))+ABS(SUM(N88:N90))+ABS(SUM(N91:N93))</f>
        <v>436</v>
      </c>
      <c r="O94" s="225">
        <f>ABS(SUM(O85:O87))+ABS(SUM(O88:O90))+ABS(SUM(O91:O93))</f>
        <v>539</v>
      </c>
      <c r="P94" s="81">
        <f>IF(O94+N103=0,0,IF(O94=N103,Spielorte!$A$31/2,IF(O94&gt;N103,Spielorte!$A$31,0)))</f>
        <v>2</v>
      </c>
      <c r="Q94" s="226">
        <f>ABS(SUM(Q85:Q87))+ABS(SUM(Q88:Q90))+ABS(SUM(Q91:Q93))</f>
        <v>380</v>
      </c>
      <c r="R94" s="225">
        <f>ABS(SUM(R85:R87))+ABS(SUM(R88:R90))+ABS(SUM(R91:R93))</f>
        <v>483</v>
      </c>
      <c r="S94" s="81">
        <f>IF(R94+Q103=0,0,IF(R94=Q103,Spielorte!$A$31/2,IF(R94&gt;Q103,Spielorte!$A$31,0)))</f>
        <v>2</v>
      </c>
      <c r="T94" s="228">
        <f>SUM(E94+H94+K94+N94+Q94)</f>
        <v>1906</v>
      </c>
      <c r="U94" s="229">
        <f>SUM(F94+I94+L94+O94+R94)</f>
        <v>2428</v>
      </c>
      <c r="V94" s="12">
        <f>SUM(G94+J94+M94+P94+S94)</f>
        <v>6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>
      <c r="B95" s="230" t="s">
        <v>1803</v>
      </c>
      <c r="C95" s="1"/>
      <c r="D95" s="1"/>
      <c r="E95" s="1"/>
      <c r="F95" s="1"/>
      <c r="G95" s="61">
        <f>SUM(G85:G94)</f>
        <v>0.5</v>
      </c>
      <c r="H95" s="1"/>
      <c r="I95" s="1"/>
      <c r="J95" s="61">
        <f>SUM(J85:J94)</f>
        <v>1</v>
      </c>
      <c r="K95" s="1"/>
      <c r="L95" s="1"/>
      <c r="M95" s="61">
        <f>SUM(M85:M94)</f>
        <v>3</v>
      </c>
      <c r="N95" s="1"/>
      <c r="O95" s="1"/>
      <c r="P95" s="61">
        <f>SUM(P85:P94)</f>
        <v>4</v>
      </c>
      <c r="Q95" s="1"/>
      <c r="R95" s="1"/>
      <c r="S95" s="61">
        <f>SUM(S85:S94)</f>
        <v>3</v>
      </c>
      <c r="T95" s="1"/>
      <c r="U95" s="1"/>
      <c r="V95" s="61">
        <f>SUM(V85:V94)</f>
        <v>11.5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11.5</v>
      </c>
      <c r="AR95" s="167">
        <f>+T94</f>
        <v>1906</v>
      </c>
      <c r="AS95" s="167">
        <f>+U94</f>
        <v>2428</v>
      </c>
      <c r="AT95" s="168">
        <f>+B80</f>
        <v>4</v>
      </c>
      <c r="AW95" s="169">
        <f>SUM(AW79:AW94)</f>
        <v>15</v>
      </c>
      <c r="BD95" s="166">
        <f>+AS95/1000000+AQ95+AR95/1000000000000</f>
        <v>11.502428001906001</v>
      </c>
      <c r="BE95" s="168">
        <f>RANK(BD95,BD:BD)</f>
        <v>5</v>
      </c>
      <c r="BI95" s="168"/>
      <c r="BM95" s="168"/>
    </row>
    <row r="96" spans="1:65" ht="11.25" customHeight="1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>
      <c r="B97" s="231" t="s">
        <v>1790</v>
      </c>
      <c r="C97" s="210"/>
      <c r="D97" s="42"/>
      <c r="E97" s="434">
        <f>VLOOKUP($B80,Schlüssel!$A$5:$EK$12,23)</f>
        <v>1</v>
      </c>
      <c r="F97" s="435"/>
      <c r="G97" s="436"/>
      <c r="H97" s="434">
        <f>VLOOKUP($B80,Schlüssel!$A$5:$EK$12,24)</f>
        <v>7</v>
      </c>
      <c r="I97" s="435"/>
      <c r="J97" s="436"/>
      <c r="K97" s="434">
        <f>VLOOKUP($B80,Schlüssel!$A$5:$EK$12,25)</f>
        <v>2</v>
      </c>
      <c r="L97" s="435"/>
      <c r="M97" s="436"/>
      <c r="N97" s="434">
        <f>VLOOKUP($B80,Schlüssel!$A$5:$EK$12,26)</f>
        <v>5</v>
      </c>
      <c r="O97" s="435"/>
      <c r="P97" s="436"/>
      <c r="Q97" s="434">
        <f>VLOOKUP($B80,Schlüssel!$A$5:$EK$12,27)</f>
        <v>8</v>
      </c>
      <c r="R97" s="435"/>
      <c r="S97" s="436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>
      <c r="B98" s="3" t="s">
        <v>9</v>
      </c>
      <c r="C98" s="1"/>
      <c r="D98" s="1"/>
      <c r="E98" s="395" t="str">
        <f>VLOOKUP(E97,Schlüssel!$A$5:$K$12,2)</f>
        <v>Bad Tölz 1</v>
      </c>
      <c r="F98" s="438"/>
      <c r="G98" s="396"/>
      <c r="H98" s="395" t="str">
        <f>VLOOKUP(H97,Schlüssel!$A$5:$K$12,2)</f>
        <v>BK München 1</v>
      </c>
      <c r="I98" s="438"/>
      <c r="J98" s="396"/>
      <c r="K98" s="395" t="str">
        <f>VLOOKUP(K97,Schlüssel!$A$5:$K$12,2)</f>
        <v>Highroller Rosenheim 1</v>
      </c>
      <c r="L98" s="438"/>
      <c r="M98" s="396"/>
      <c r="N98" s="395" t="str">
        <f>VLOOKUP(N97,Schlüssel!$A$5:$K$12,2)</f>
        <v>Berchtesgaden 1</v>
      </c>
      <c r="O98" s="438"/>
      <c r="P98" s="396"/>
      <c r="Q98" s="395" t="str">
        <f>VLOOKUP(Q97,Schlüssel!$A$5:$K$12,2)</f>
        <v>EMAX 1</v>
      </c>
      <c r="R98" s="438"/>
      <c r="S98" s="396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" customHeight="1">
      <c r="B100" s="417" t="s">
        <v>2275</v>
      </c>
      <c r="C100" s="418"/>
      <c r="D100" s="419"/>
      <c r="E100" s="431">
        <f>ABS(INDEX(F:F,MATCH(E97,$B:$B,0)+5)+INDEX(F:F,MATCH(E97,$B:$B,0)+6)+INDEX(F:F,MATCH(E97,$B:$B,0)+7))</f>
        <v>200</v>
      </c>
      <c r="F100" s="432"/>
      <c r="G100" s="433"/>
      <c r="H100" s="431">
        <f>ABS(INDEX(I:I,MATCH(H97,$B:$B,0)+5)+INDEX(I:I,MATCH(H97,$B:$B,0)+6)+INDEX(I:I,MATCH(H97,$B:$B,0)+7))</f>
        <v>248</v>
      </c>
      <c r="I100" s="432"/>
      <c r="J100" s="433"/>
      <c r="K100" s="431">
        <f>ABS(INDEX(L:L,MATCH(K97,$B:$B,0)+5)+INDEX(L:L,MATCH(K97,$B:$B,0)+6)+INDEX(L:L,MATCH(K97,$B:$B,0)+7))</f>
        <v>134</v>
      </c>
      <c r="L100" s="432"/>
      <c r="M100" s="433"/>
      <c r="N100" s="431">
        <f>ABS(INDEX(O:O,MATCH(N97,$B:$B,0)+5)+INDEX(O:O,MATCH(N97,$B:$B,0)+6)+INDEX(O:O,MATCH(N97,$B:$B,0)+7))</f>
        <v>154</v>
      </c>
      <c r="O100" s="432"/>
      <c r="P100" s="433"/>
      <c r="Q100" s="431">
        <f>ABS(INDEX(R:R,MATCH(Q97,$B:$B,0)+5)+INDEX(R:R,MATCH(Q97,$B:$B,0)+6)+INDEX(R:R,MATCH(Q97,$B:$B,0)+7))</f>
        <v>148</v>
      </c>
      <c r="R100" s="432"/>
      <c r="S100" s="433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" customHeight="1">
      <c r="B101" s="417" t="s">
        <v>2276</v>
      </c>
      <c r="C101" s="418"/>
      <c r="D101" s="419"/>
      <c r="E101" s="424">
        <f>ABS(INDEX(F:F,MATCH(E97,$B:$B,0)+8)+INDEX(F:F,MATCH(E97,$B:$B,0)+9)+INDEX(F:F,MATCH(E97,$B:$B,0)+10))</f>
        <v>160</v>
      </c>
      <c r="F101" s="425"/>
      <c r="G101" s="426"/>
      <c r="H101" s="424">
        <f>ABS(INDEX(I:I,MATCH(H97,$B:$B,0)+8)+INDEX(I:I,MATCH(H97,$B:$B,0)+9)+INDEX(I:I,MATCH(H97,$B:$B,0)+10))</f>
        <v>194</v>
      </c>
      <c r="I101" s="425"/>
      <c r="J101" s="426"/>
      <c r="K101" s="424">
        <f>ABS(INDEX(L:L,MATCH(K97,$B:$B,0)+8)+INDEX(L:L,MATCH(K97,$B:$B,0)+9)+INDEX(L:L,MATCH(K97,$B:$B,0)+10))</f>
        <v>143</v>
      </c>
      <c r="L101" s="425"/>
      <c r="M101" s="426"/>
      <c r="N101" s="424">
        <f>ABS(INDEX(O:O,MATCH(N97,$B:$B,0)+8)+INDEX(O:O,MATCH(N97,$B:$B,0)+9)+INDEX(O:O,MATCH(N97,$B:$B,0)+10))</f>
        <v>144</v>
      </c>
      <c r="O101" s="425"/>
      <c r="P101" s="426"/>
      <c r="Q101" s="424">
        <f>ABS(INDEX(R:R,MATCH(Q97,$B:$B,0)+8)+INDEX(R:R,MATCH(Q97,$B:$B,0)+9)+INDEX(R:R,MATCH(Q97,$B:$B,0)+10))</f>
        <v>170</v>
      </c>
      <c r="R101" s="425"/>
      <c r="S101" s="426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" customHeight="1">
      <c r="B102" s="417" t="s">
        <v>2277</v>
      </c>
      <c r="C102" s="418"/>
      <c r="D102" s="419"/>
      <c r="E102" s="424">
        <f>ABS(INDEX(F:F,MATCH(E97,$B:$B,0)+11)+INDEX(F:F,MATCH(E97,$B:$B,0)+12)+INDEX(F:F,MATCH(E97,$B:$B,0)+13))</f>
        <v>157</v>
      </c>
      <c r="F102" s="425"/>
      <c r="G102" s="426"/>
      <c r="H102" s="424">
        <f>ABS(INDEX(I:I,MATCH(H97,$B:$B,0)+11)+INDEX(I:I,MATCH(H97,$B:$B,0)+12)+INDEX(I:I,MATCH(H97,$B:$B,0)+13))</f>
        <v>182</v>
      </c>
      <c r="I102" s="425"/>
      <c r="J102" s="426"/>
      <c r="K102" s="424">
        <f>ABS(INDEX(L:L,MATCH(K97,$B:$B,0)+11)+INDEX(L:L,MATCH(K97,$B:$B,0)+12)+INDEX(L:L,MATCH(K97,$B:$B,0)+13))</f>
        <v>181</v>
      </c>
      <c r="L102" s="425"/>
      <c r="M102" s="426"/>
      <c r="N102" s="424">
        <f>ABS(INDEX(O:O,MATCH(N97,$B:$B,0)+11)+INDEX(O:O,MATCH(N97,$B:$B,0)+12)+INDEX(O:O,MATCH(N97,$B:$B,0)+13))</f>
        <v>153</v>
      </c>
      <c r="O102" s="425"/>
      <c r="P102" s="426"/>
      <c r="Q102" s="424">
        <f>ABS(INDEX(R:R,MATCH(Q97,$B:$B,0)+11)+INDEX(R:R,MATCH(Q97,$B:$B,0)+12)+INDEX(R:R,MATCH(Q97,$B:$B,0)+13))</f>
        <v>161</v>
      </c>
      <c r="R102" s="425"/>
      <c r="S102" s="426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" customHeight="1">
      <c r="B103" s="420" t="s">
        <v>2278</v>
      </c>
      <c r="C103" s="421"/>
      <c r="D103" s="422"/>
      <c r="E103" s="407">
        <f>SUM(E100:E102)</f>
        <v>517</v>
      </c>
      <c r="F103" s="423"/>
      <c r="G103" s="408"/>
      <c r="H103" s="407">
        <f>SUM(H100:H102)</f>
        <v>624</v>
      </c>
      <c r="I103" s="423"/>
      <c r="J103" s="408"/>
      <c r="K103" s="407">
        <f>SUM(K100:K102)</f>
        <v>458</v>
      </c>
      <c r="L103" s="423"/>
      <c r="M103" s="408"/>
      <c r="N103" s="407">
        <f>SUM(N100:N102)</f>
        <v>451</v>
      </c>
      <c r="O103" s="423"/>
      <c r="P103" s="408"/>
      <c r="Q103" s="407">
        <f>SUM(Q100:Q102)</f>
        <v>479</v>
      </c>
      <c r="R103" s="423"/>
      <c r="S103" s="408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>
      <c r="A105" s="255"/>
      <c r="B105" s="7" t="s">
        <v>1802</v>
      </c>
      <c r="C105" s="24"/>
      <c r="D105" s="24"/>
      <c r="E105" s="35" t="s">
        <v>1786</v>
      </c>
      <c r="F105" s="35"/>
      <c r="G105" s="427" t="str">
        <f>Schlüssel!$C$1</f>
        <v>Landesliga Jugend</v>
      </c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  <c r="S105" s="406">
        <f>Schlüssel!$AG$1</f>
        <v>45717</v>
      </c>
      <c r="T105" s="406"/>
      <c r="U105" s="406"/>
      <c r="V105" s="406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>
      <c r="A106" s="53"/>
      <c r="B106" s="54">
        <v>5</v>
      </c>
      <c r="E106" s="35" t="s">
        <v>1787</v>
      </c>
      <c r="F106" s="35"/>
      <c r="G106" s="413" t="str">
        <f>Schlüssel!$W$2</f>
        <v>Unterföhring Dreambowl Palace</v>
      </c>
      <c r="H106" s="413"/>
      <c r="I106" s="413"/>
      <c r="J106" s="413"/>
      <c r="K106" s="413"/>
      <c r="L106" s="413"/>
      <c r="M106" s="413"/>
      <c r="N106" s="413"/>
      <c r="O106" s="413"/>
      <c r="P106" s="66"/>
      <c r="Q106" s="411" t="s">
        <v>1785</v>
      </c>
      <c r="R106" s="412"/>
      <c r="S106" s="38">
        <v>2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>
      <c r="B107" s="414" t="str">
        <f>VLOOKUP(B106,Schlüssel!$A$5:$B$12,2)</f>
        <v>Berchtesgaden 1</v>
      </c>
      <c r="C107" s="415"/>
      <c r="D107" s="415"/>
      <c r="E107" s="415"/>
      <c r="F107" s="415"/>
      <c r="G107" s="416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3.8" hidden="1" thickBot="1">
      <c r="A108" s="6"/>
      <c r="B108" s="7"/>
      <c r="C108" s="43"/>
      <c r="D108" s="43"/>
      <c r="E108" s="162" t="s">
        <v>10</v>
      </c>
      <c r="F108" s="220"/>
      <c r="G108" s="159">
        <f>VLOOKUP(B106,Schlüssel!$A$5:$EK$12,33)</f>
        <v>12</v>
      </c>
      <c r="H108" s="161" t="s">
        <v>10</v>
      </c>
      <c r="I108" s="220"/>
      <c r="J108" s="159">
        <f>VLOOKUP(B106,Schlüssel!$A$5:$EK$12,34)</f>
        <v>16</v>
      </c>
      <c r="K108" s="161" t="s">
        <v>10</v>
      </c>
      <c r="L108" s="220"/>
      <c r="M108" s="159">
        <f>VLOOKUP(B106,Schlüssel!$A$5:$EK$12,35)</f>
        <v>13</v>
      </c>
      <c r="N108" s="161" t="s">
        <v>10</v>
      </c>
      <c r="O108" s="220"/>
      <c r="P108" s="159">
        <f>VLOOKUP(B106,Schlüssel!$A$5:$EK$12,36)</f>
        <v>15</v>
      </c>
      <c r="Q108" s="161" t="s">
        <v>10</v>
      </c>
      <c r="R108" s="220"/>
      <c r="S108" s="160">
        <f>VLOOKUP(B106,Schlüssel!$A$5:$EK$12,37)</f>
        <v>10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>
      <c r="B109" s="44" t="s">
        <v>1</v>
      </c>
      <c r="C109" s="208"/>
      <c r="D109" s="217"/>
      <c r="E109" s="423" t="s">
        <v>1793</v>
      </c>
      <c r="F109" s="423"/>
      <c r="G109" s="408"/>
      <c r="H109" s="407" t="s">
        <v>1794</v>
      </c>
      <c r="I109" s="423"/>
      <c r="J109" s="408"/>
      <c r="K109" s="407" t="s">
        <v>1795</v>
      </c>
      <c r="L109" s="423"/>
      <c r="M109" s="408"/>
      <c r="N109" s="407" t="s">
        <v>1796</v>
      </c>
      <c r="O109" s="423"/>
      <c r="P109" s="408"/>
      <c r="Q109" s="407" t="s">
        <v>1797</v>
      </c>
      <c r="R109" s="423"/>
      <c r="S109" s="437"/>
      <c r="T109" s="439" t="s">
        <v>1792</v>
      </c>
      <c r="U109" s="440"/>
      <c r="V109" s="410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6.95" customHeight="1">
      <c r="A111" s="403" t="s">
        <v>0</v>
      </c>
      <c r="B111" s="58" t="str">
        <f>IF(C111=0,"",VLOOKUP(C111,Starter!$A$1:$D$196,2,FALSE))</f>
        <v>Laubach, Nina</v>
      </c>
      <c r="C111" s="232">
        <v>38905</v>
      </c>
      <c r="D111" s="238">
        <f t="shared" ref="D111:D119" si="96">+AP111</f>
        <v>66</v>
      </c>
      <c r="E111" s="221">
        <v>64</v>
      </c>
      <c r="F111" s="240">
        <f t="shared" ref="F111:F119" si="97">IF(E111&gt;0,E111+$D111,0)</f>
        <v>130</v>
      </c>
      <c r="G111" s="428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8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8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8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8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64</v>
      </c>
      <c r="U111" s="240">
        <f t="shared" si="102"/>
        <v>130</v>
      </c>
      <c r="V111" s="400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IF(AU111=0,0,IFERROR(INDEX(RanglisteST2!K:K,MATCH(AU111,RanglisteST2!A:A,0)),0))</f>
        <v>78</v>
      </c>
      <c r="AM111" s="169">
        <f>IF(AU111=0,0,SUMIF(AU111:AU119,AU111,AV111:AV119))</f>
        <v>210</v>
      </c>
      <c r="AN111" s="169">
        <f>IF(AU111=0,0,SUMIF(AU111:AU119,AU111,AW111:AW119))</f>
        <v>3</v>
      </c>
      <c r="AO111" s="169">
        <f t="shared" ref="AO111:AO119" si="103">IFERROR(AM111/AN111,0)</f>
        <v>70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66</v>
      </c>
      <c r="AQ111" s="166"/>
      <c r="AR111" s="167"/>
      <c r="AS111" s="167"/>
      <c r="AT111" s="168"/>
      <c r="AU111" s="171">
        <f t="shared" ref="AU111:AU119" si="104">C111</f>
        <v>38905</v>
      </c>
      <c r="AV111" s="167">
        <f t="shared" ref="AV111:AV119" si="105">T111</f>
        <v>64</v>
      </c>
      <c r="AW111" s="169">
        <f t="shared" ref="AW111:AW119" si="106">COUNT(AY111:BC111)</f>
        <v>1</v>
      </c>
      <c r="AX111" s="169">
        <f t="shared" ref="AX111:AX119" si="107">COUNTIF(AY111:BC111,"&gt;0")</f>
        <v>1</v>
      </c>
      <c r="AY111" s="169">
        <f t="shared" ref="AY111:AY119" si="108">IF(E111=0,"",E111)</f>
        <v>64</v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64</v>
      </c>
      <c r="BG111" s="169">
        <f t="shared" ref="BG111:BG119" si="114">IF(BF111&lt;MAX(BF:BF),0,BF111+ROW()/1000000000)</f>
        <v>0</v>
      </c>
      <c r="BH111" s="169" t="str">
        <f>+B107</f>
        <v>Berchtesgaden 1</v>
      </c>
      <c r="BI111" s="168">
        <f t="shared" ref="BI111:BI119" si="115">RANK(BG111,BG:BG)</f>
        <v>2</v>
      </c>
      <c r="BJ111" s="169">
        <f t="shared" ref="BJ111:BJ119" si="116">SUMIF(AY111:BC111,"&gt;0")</f>
        <v>64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0</v>
      </c>
      <c r="BM111" s="168">
        <f t="shared" ref="BM111:BM119" si="118">IF(BL111=0,0,RANK(BL111,BL:BL))</f>
        <v>0</v>
      </c>
    </row>
    <row r="112" spans="1:65" ht="16.95" customHeight="1">
      <c r="A112" s="404"/>
      <c r="B112" s="58" t="str">
        <f>IF(C112=0,"",VLOOKUP(C112,Starter!$A$1:$D$196,2,FALSE))</f>
        <v>Labs, Leon</v>
      </c>
      <c r="C112" s="233">
        <v>38865</v>
      </c>
      <c r="D112" s="239">
        <f t="shared" si="96"/>
        <v>43</v>
      </c>
      <c r="E112" s="222"/>
      <c r="F112" s="241">
        <f t="shared" si="97"/>
        <v>0</v>
      </c>
      <c r="G112" s="429"/>
      <c r="H112" s="222">
        <v>100</v>
      </c>
      <c r="I112" s="241">
        <f t="shared" si="98"/>
        <v>143</v>
      </c>
      <c r="J112" s="429"/>
      <c r="K112" s="222">
        <v>100</v>
      </c>
      <c r="L112" s="241">
        <f t="shared" si="99"/>
        <v>143</v>
      </c>
      <c r="M112" s="429"/>
      <c r="N112" s="222">
        <v>111</v>
      </c>
      <c r="O112" s="241">
        <f t="shared" si="100"/>
        <v>154</v>
      </c>
      <c r="P112" s="429"/>
      <c r="Q112" s="222">
        <v>129</v>
      </c>
      <c r="R112" s="241">
        <f t="shared" si="101"/>
        <v>172</v>
      </c>
      <c r="S112" s="429"/>
      <c r="T112" s="222">
        <f t="shared" si="102"/>
        <v>440</v>
      </c>
      <c r="U112" s="241">
        <f t="shared" si="102"/>
        <v>612</v>
      </c>
      <c r="V112" s="401"/>
      <c r="W112" s="79"/>
      <c r="X112" s="79"/>
      <c r="Y112" s="79"/>
      <c r="Z112" s="79"/>
      <c r="AA112" s="79"/>
      <c r="AB112" s="79"/>
      <c r="AL112" s="169">
        <f>IF(AU112=0,0,IFERROR(INDEX(RanglisteST2!K:K,MATCH(AU112,RanglisteST2!A:A,0)),0))</f>
        <v>105.75</v>
      </c>
      <c r="AM112" s="169">
        <f>IF(AU112=0,0,SUMIF(AU111:AU119,AU112,AV111:AV119))</f>
        <v>440</v>
      </c>
      <c r="AN112" s="169">
        <f>IF(AU112=0,0,SUMIF(AU111:AU119,AU112,AW111:AW119))</f>
        <v>4</v>
      </c>
      <c r="AO112" s="169">
        <f t="shared" si="103"/>
        <v>110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43</v>
      </c>
      <c r="AQ112" s="166"/>
      <c r="AR112" s="167"/>
      <c r="AS112" s="167"/>
      <c r="AT112" s="168"/>
      <c r="AU112" s="171">
        <f t="shared" si="104"/>
        <v>38865</v>
      </c>
      <c r="AV112" s="167">
        <f t="shared" si="105"/>
        <v>440</v>
      </c>
      <c r="AW112" s="169">
        <f t="shared" si="106"/>
        <v>4</v>
      </c>
      <c r="AX112" s="169">
        <f t="shared" si="107"/>
        <v>4</v>
      </c>
      <c r="AY112" s="169" t="str">
        <f t="shared" si="108"/>
        <v/>
      </c>
      <c r="AZ112" s="169">
        <f t="shared" si="109"/>
        <v>100</v>
      </c>
      <c r="BA112" s="169">
        <f t="shared" si="110"/>
        <v>100</v>
      </c>
      <c r="BB112" s="169">
        <f t="shared" si="111"/>
        <v>111</v>
      </c>
      <c r="BC112" s="169">
        <f t="shared" si="112"/>
        <v>129</v>
      </c>
      <c r="BD112" s="170"/>
      <c r="BE112" s="168"/>
      <c r="BF112" s="169">
        <f t="shared" si="113"/>
        <v>129</v>
      </c>
      <c r="BG112" s="169">
        <f t="shared" si="114"/>
        <v>0</v>
      </c>
      <c r="BH112" s="169" t="str">
        <f t="shared" ref="BH112:BH119" si="119">+BH111</f>
        <v>Berchtesgaden 1</v>
      </c>
      <c r="BI112" s="168">
        <f t="shared" si="115"/>
        <v>2</v>
      </c>
      <c r="BJ112" s="169">
        <f t="shared" si="116"/>
        <v>440</v>
      </c>
      <c r="BK112" s="169">
        <f>IF(COUNTIF(AY112:BC112,"&gt;0")&lt;Spielorte!$A$23,0,AV112/Spielorte!$A$23)</f>
        <v>0</v>
      </c>
      <c r="BL112" s="169">
        <f t="shared" si="117"/>
        <v>0</v>
      </c>
      <c r="BM112" s="168">
        <f t="shared" si="118"/>
        <v>0</v>
      </c>
    </row>
    <row r="113" spans="1:65" ht="16.95" customHeight="1" thickBot="1">
      <c r="A113" s="405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30"/>
      <c r="H113" s="224"/>
      <c r="I113" s="242">
        <f t="shared" si="98"/>
        <v>0</v>
      </c>
      <c r="J113" s="430"/>
      <c r="K113" s="224"/>
      <c r="L113" s="242">
        <f t="shared" si="99"/>
        <v>0</v>
      </c>
      <c r="M113" s="430"/>
      <c r="N113" s="224"/>
      <c r="O113" s="242">
        <f t="shared" si="100"/>
        <v>0</v>
      </c>
      <c r="P113" s="430"/>
      <c r="Q113" s="224"/>
      <c r="R113" s="242">
        <f t="shared" si="101"/>
        <v>0</v>
      </c>
      <c r="S113" s="430"/>
      <c r="T113" s="224">
        <f t="shared" si="102"/>
        <v>0</v>
      </c>
      <c r="U113" s="242">
        <f t="shared" si="102"/>
        <v>0</v>
      </c>
      <c r="V113" s="402"/>
      <c r="W113" s="79"/>
      <c r="X113" s="79"/>
      <c r="Y113" s="79"/>
      <c r="Z113" s="79"/>
      <c r="AA113" s="79"/>
      <c r="AB113" s="79"/>
      <c r="AL113" s="169">
        <f>IF(AU113=0,0,IFERROR(INDEX(RanglisteST2!K:K,MATCH(AU113,RanglisteST2!A:A,0)),0))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0</v>
      </c>
      <c r="BH113" s="169" t="str">
        <f t="shared" si="119"/>
        <v>Berchtesgaden 1</v>
      </c>
      <c r="BI113" s="168">
        <f t="shared" si="115"/>
        <v>2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0</v>
      </c>
      <c r="BM113" s="168">
        <f t="shared" si="118"/>
        <v>0</v>
      </c>
    </row>
    <row r="114" spans="1:65" ht="16.95" customHeight="1">
      <c r="A114" s="403" t="s">
        <v>2</v>
      </c>
      <c r="B114" s="58" t="str">
        <f>IF(C114=0,"",VLOOKUP(C114,Starter!$A$1:$D$196,2,FALSE))</f>
        <v>Pittner, Gregor</v>
      </c>
      <c r="C114" s="235">
        <v>38819</v>
      </c>
      <c r="D114" s="238">
        <f t="shared" si="96"/>
        <v>34</v>
      </c>
      <c r="E114" s="221">
        <v>146</v>
      </c>
      <c r="F114" s="240">
        <f t="shared" si="97"/>
        <v>180</v>
      </c>
      <c r="G114" s="428">
        <f>IF(SUM(F114:F116)+E127=0,0,IF(ABS(SUM(F114:F116))=E127,Spielorte!$A$30/2,IF(ABS(SUM(F114:F116))&gt;E127,Spielorte!$A$30,0)))</f>
        <v>1</v>
      </c>
      <c r="H114" s="221">
        <v>177</v>
      </c>
      <c r="I114" s="240">
        <f t="shared" si="98"/>
        <v>211</v>
      </c>
      <c r="J114" s="428">
        <f>IF(SUM(I114:I116)+H127=0,0,IF(ABS(SUM(I114:I116))=H127,Spielorte!$A$30/2,IF(ABS(SUM(I114:I116))&gt;H127,Spielorte!$A$30,0)))</f>
        <v>1</v>
      </c>
      <c r="K114" s="221">
        <v>154</v>
      </c>
      <c r="L114" s="240">
        <f t="shared" si="99"/>
        <v>188</v>
      </c>
      <c r="M114" s="428">
        <f>IF(SUM(L114:L116)+K127=0,0,IF(ABS(SUM(L114:L116))=K127,Spielorte!$A$30/2,IF(ABS(SUM(L114:L116))&gt;K127,Spielorte!$A$30,0)))</f>
        <v>0</v>
      </c>
      <c r="N114" s="221">
        <v>110</v>
      </c>
      <c r="O114" s="240">
        <f t="shared" si="100"/>
        <v>144</v>
      </c>
      <c r="P114" s="428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8">
        <f>IF(SUM(R114:R116)+Q127=0,0,IF(ABS(SUM(R114:R116))=Q127,Spielorte!$A$30/2,IF(ABS(SUM(R114:R116))&gt;Q127,Spielorte!$A$30,0)))</f>
        <v>1</v>
      </c>
      <c r="T114" s="221">
        <f t="shared" si="102"/>
        <v>587</v>
      </c>
      <c r="U114" s="240">
        <f t="shared" si="102"/>
        <v>723</v>
      </c>
      <c r="V114" s="400">
        <f>SUM(G114+J114+M114+P114+S114)</f>
        <v>3</v>
      </c>
      <c r="W114" s="79"/>
      <c r="X114" s="79"/>
      <c r="Y114" s="79"/>
      <c r="Z114" s="79"/>
      <c r="AA114" s="79"/>
      <c r="AB114" s="79"/>
      <c r="AL114" s="169">
        <f>IF(AU114=0,0,IFERROR(INDEX(RanglisteST2!K:K,MATCH(AU114,RanglisteST2!A:A,0)),0))</f>
        <v>116.88</v>
      </c>
      <c r="AM114" s="169">
        <f>IF(AU114=0,0,SUMIF(AU111:AU119,AU114,AV111:AV119))</f>
        <v>587</v>
      </c>
      <c r="AN114" s="169">
        <f>IF(AU114=0,0,SUMIF(AU111:AU119,AU114,AW111:AW119))</f>
        <v>4</v>
      </c>
      <c r="AO114" s="169">
        <f t="shared" si="103"/>
        <v>146.75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34</v>
      </c>
      <c r="AQ114" s="166"/>
      <c r="AR114" s="167"/>
      <c r="AS114" s="167"/>
      <c r="AT114" s="168"/>
      <c r="AU114" s="171">
        <f t="shared" si="104"/>
        <v>38819</v>
      </c>
      <c r="AV114" s="167">
        <f t="shared" si="105"/>
        <v>587</v>
      </c>
      <c r="AW114" s="169">
        <f t="shared" si="106"/>
        <v>4</v>
      </c>
      <c r="AX114" s="169">
        <f t="shared" si="107"/>
        <v>4</v>
      </c>
      <c r="AY114" s="169">
        <f t="shared" si="108"/>
        <v>146</v>
      </c>
      <c r="AZ114" s="169">
        <f t="shared" si="109"/>
        <v>177</v>
      </c>
      <c r="BA114" s="169">
        <f t="shared" si="110"/>
        <v>154</v>
      </c>
      <c r="BB114" s="169">
        <f t="shared" si="111"/>
        <v>110</v>
      </c>
      <c r="BC114" s="169" t="str">
        <f t="shared" si="112"/>
        <v/>
      </c>
      <c r="BD114" s="170"/>
      <c r="BE114" s="168"/>
      <c r="BF114" s="169">
        <f t="shared" si="113"/>
        <v>177</v>
      </c>
      <c r="BG114" s="169">
        <f t="shared" si="114"/>
        <v>0</v>
      </c>
      <c r="BH114" s="169" t="str">
        <f t="shared" si="119"/>
        <v>Berchtesgaden 1</v>
      </c>
      <c r="BI114" s="168">
        <f t="shared" si="115"/>
        <v>2</v>
      </c>
      <c r="BJ114" s="169">
        <f t="shared" si="116"/>
        <v>587</v>
      </c>
      <c r="BK114" s="169">
        <f>IF(COUNTIF(AY114:BC114,"&gt;0")&lt;Spielorte!$A$23,0,AV114/Spielorte!$A$23)</f>
        <v>0</v>
      </c>
      <c r="BL114" s="169">
        <f t="shared" si="117"/>
        <v>0</v>
      </c>
      <c r="BM114" s="168">
        <f t="shared" si="118"/>
        <v>0</v>
      </c>
    </row>
    <row r="115" spans="1:65" ht="16.95" customHeight="1">
      <c r="A115" s="404"/>
      <c r="B115" s="58" t="str">
        <f>IF(C115=0,"",VLOOKUP(C115,Starter!$A$1:$D$196,2,FALSE))</f>
        <v>Wieser, Lukas</v>
      </c>
      <c r="C115" s="233">
        <v>38714</v>
      </c>
      <c r="D115" s="239">
        <f t="shared" si="96"/>
        <v>0</v>
      </c>
      <c r="E115" s="222"/>
      <c r="F115" s="241">
        <f t="shared" si="97"/>
        <v>0</v>
      </c>
      <c r="G115" s="429"/>
      <c r="H115" s="222"/>
      <c r="I115" s="241">
        <f t="shared" si="98"/>
        <v>0</v>
      </c>
      <c r="J115" s="429"/>
      <c r="K115" s="222"/>
      <c r="L115" s="241">
        <f t="shared" si="99"/>
        <v>0</v>
      </c>
      <c r="M115" s="429"/>
      <c r="N115" s="222"/>
      <c r="O115" s="241">
        <f t="shared" si="100"/>
        <v>0</v>
      </c>
      <c r="P115" s="429"/>
      <c r="Q115" s="222">
        <v>153</v>
      </c>
      <c r="R115" s="241">
        <f t="shared" si="101"/>
        <v>153</v>
      </c>
      <c r="S115" s="429"/>
      <c r="T115" s="222">
        <f t="shared" si="102"/>
        <v>153</v>
      </c>
      <c r="U115" s="241">
        <f t="shared" si="102"/>
        <v>153</v>
      </c>
      <c r="V115" s="401"/>
      <c r="W115" s="79"/>
      <c r="X115" s="79"/>
      <c r="Y115" s="79"/>
      <c r="Z115" s="79"/>
      <c r="AA115" s="79"/>
      <c r="AB115" s="79"/>
      <c r="AL115" s="169">
        <f>IF(AU115=0,0,IFERROR(INDEX(RanglisteST2!K:K,MATCH(AU115,RanglisteST2!A:A,0)),0))</f>
        <v>168.36</v>
      </c>
      <c r="AM115" s="169">
        <f>IF(AU115=0,0,SUMIF(AU111:AU119,AU115,AV111:AV119))</f>
        <v>646</v>
      </c>
      <c r="AN115" s="169">
        <f>IF(AU115=0,0,SUMIF(AU111:AU119,AU115,AW111:AW119))</f>
        <v>4</v>
      </c>
      <c r="AO115" s="169">
        <f t="shared" si="103"/>
        <v>161.5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38714</v>
      </c>
      <c r="AV115" s="167">
        <f t="shared" si="105"/>
        <v>153</v>
      </c>
      <c r="AW115" s="169">
        <f t="shared" si="106"/>
        <v>1</v>
      </c>
      <c r="AX115" s="169">
        <f t="shared" si="107"/>
        <v>1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>
        <f t="shared" si="112"/>
        <v>153</v>
      </c>
      <c r="BD115" s="170"/>
      <c r="BE115" s="168"/>
      <c r="BF115" s="169">
        <f t="shared" si="113"/>
        <v>153</v>
      </c>
      <c r="BG115" s="169">
        <f t="shared" si="114"/>
        <v>0</v>
      </c>
      <c r="BH115" s="169" t="str">
        <f t="shared" si="119"/>
        <v>Berchtesgaden 1</v>
      </c>
      <c r="BI115" s="168">
        <f t="shared" si="115"/>
        <v>2</v>
      </c>
      <c r="BJ115" s="169">
        <f t="shared" si="116"/>
        <v>153</v>
      </c>
      <c r="BK115" s="169">
        <f>IF(COUNTIF(AY115:BC115,"&gt;0")&lt;Spielorte!$A$23,0,AV115/Spielorte!$A$23)</f>
        <v>0</v>
      </c>
      <c r="BL115" s="169">
        <f t="shared" si="117"/>
        <v>0</v>
      </c>
      <c r="BM115" s="168">
        <f t="shared" si="118"/>
        <v>0</v>
      </c>
    </row>
    <row r="116" spans="1:65" ht="16.95" customHeight="1" thickBot="1">
      <c r="A116" s="405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30"/>
      <c r="H116" s="224"/>
      <c r="I116" s="242">
        <f t="shared" si="98"/>
        <v>0</v>
      </c>
      <c r="J116" s="430"/>
      <c r="K116" s="224"/>
      <c r="L116" s="242">
        <f t="shared" si="99"/>
        <v>0</v>
      </c>
      <c r="M116" s="430"/>
      <c r="N116" s="224"/>
      <c r="O116" s="242">
        <f t="shared" si="100"/>
        <v>0</v>
      </c>
      <c r="P116" s="430"/>
      <c r="Q116" s="224"/>
      <c r="R116" s="242">
        <f t="shared" si="101"/>
        <v>0</v>
      </c>
      <c r="S116" s="430"/>
      <c r="T116" s="224">
        <f t="shared" si="102"/>
        <v>0</v>
      </c>
      <c r="U116" s="242">
        <f t="shared" si="102"/>
        <v>0</v>
      </c>
      <c r="V116" s="402"/>
      <c r="W116" s="79"/>
      <c r="X116" s="79"/>
      <c r="Y116" s="79"/>
      <c r="Z116" s="79"/>
      <c r="AA116" s="79"/>
      <c r="AB116" s="79"/>
      <c r="AL116" s="169">
        <f>IF(AU116=0,0,IFERROR(INDEX(RanglisteST2!K:K,MATCH(AU116,RanglisteST2!A:A,0)),0))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0</v>
      </c>
      <c r="BH116" s="169" t="str">
        <f t="shared" si="119"/>
        <v>Berchtesgaden 1</v>
      </c>
      <c r="BI116" s="168">
        <f t="shared" si="115"/>
        <v>2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0</v>
      </c>
      <c r="BM116" s="168">
        <f t="shared" si="118"/>
        <v>0</v>
      </c>
    </row>
    <row r="117" spans="1:65" ht="16.95" customHeight="1">
      <c r="A117" s="403" t="s">
        <v>3</v>
      </c>
      <c r="B117" s="58" t="str">
        <f>IF(C117=0,"",VLOOKUP(C117,Starter!$A$1:$D$196,2,FALSE))</f>
        <v>Wieser, Lukas</v>
      </c>
      <c r="C117" s="235">
        <v>38714</v>
      </c>
      <c r="D117" s="238">
        <f t="shared" si="96"/>
        <v>0</v>
      </c>
      <c r="E117" s="221">
        <v>124</v>
      </c>
      <c r="F117" s="240">
        <f t="shared" si="97"/>
        <v>124</v>
      </c>
      <c r="G117" s="428">
        <f>IF(SUM(F117:F119)+E128=0,0,IF(ABS(SUM(F117:F119))=E128,Spielorte!$A$30/2,IF(ABS(SUM(F117:F119))&gt;E128,Spielorte!$A$30,0)))</f>
        <v>0</v>
      </c>
      <c r="H117" s="221">
        <v>208</v>
      </c>
      <c r="I117" s="240">
        <f t="shared" si="98"/>
        <v>208</v>
      </c>
      <c r="J117" s="428">
        <f>IF(SUM(I117:I119)+H128=0,0,IF(ABS(SUM(I117:I119))=H128,Spielorte!$A$30/2,IF(ABS(SUM(I117:I119))&gt;H128,Spielorte!$A$30,0)))</f>
        <v>1</v>
      </c>
      <c r="K117" s="221">
        <v>161</v>
      </c>
      <c r="L117" s="240">
        <f t="shared" si="99"/>
        <v>161</v>
      </c>
      <c r="M117" s="428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8">
        <f>IF(SUM(O117:O119)+N128=0,0,IF(ABS(SUM(O117:O119))=N128,Spielorte!$A$30/2,IF(ABS(SUM(O117:O119))&gt;N128,Spielorte!$A$30,0)))</f>
        <v>1</v>
      </c>
      <c r="Q117" s="221"/>
      <c r="R117" s="240">
        <f t="shared" si="101"/>
        <v>0</v>
      </c>
      <c r="S117" s="428">
        <f>IF(SUM(R117:R119)+Q128=0,0,IF(ABS(SUM(R117:R119))=Q128,Spielorte!$A$30/2,IF(ABS(SUM(R117:R119))&gt;Q128,Spielorte!$A$30,0)))</f>
        <v>0</v>
      </c>
      <c r="T117" s="221">
        <f t="shared" si="102"/>
        <v>493</v>
      </c>
      <c r="U117" s="240">
        <f t="shared" si="102"/>
        <v>493</v>
      </c>
      <c r="V117" s="400">
        <f>SUM(G117+J117+M117+P117+S117)</f>
        <v>2</v>
      </c>
      <c r="W117" s="79"/>
      <c r="X117" s="79"/>
      <c r="Y117" s="79"/>
      <c r="Z117" s="79"/>
      <c r="AA117" s="79"/>
      <c r="AB117" s="79"/>
      <c r="AL117" s="169">
        <f>IF(AU117=0,0,IFERROR(INDEX(RanglisteST2!K:K,MATCH(AU117,RanglisteST2!A:A,0)),0))</f>
        <v>168.36</v>
      </c>
      <c r="AM117" s="169">
        <f>IF(AU117=0,0,SUMIF(AU111:AU119,AU117,AV111:AV119))</f>
        <v>646</v>
      </c>
      <c r="AN117" s="169">
        <f>IF(AU117=0,0,SUMIF(AU111:AU119,AU117,AW111:AW119))</f>
        <v>4</v>
      </c>
      <c r="AO117" s="169">
        <f t="shared" si="103"/>
        <v>161.5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38714</v>
      </c>
      <c r="AV117" s="167">
        <f t="shared" si="105"/>
        <v>493</v>
      </c>
      <c r="AW117" s="169">
        <f t="shared" si="106"/>
        <v>3</v>
      </c>
      <c r="AX117" s="169">
        <f t="shared" si="107"/>
        <v>3</v>
      </c>
      <c r="AY117" s="169">
        <f t="shared" si="108"/>
        <v>124</v>
      </c>
      <c r="AZ117" s="169">
        <f t="shared" si="109"/>
        <v>208</v>
      </c>
      <c r="BA117" s="169">
        <f t="shared" si="110"/>
        <v>161</v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208</v>
      </c>
      <c r="BG117" s="169">
        <f t="shared" si="114"/>
        <v>0</v>
      </c>
      <c r="BH117" s="169" t="str">
        <f t="shared" si="119"/>
        <v>Berchtesgaden 1</v>
      </c>
      <c r="BI117" s="168">
        <f t="shared" si="115"/>
        <v>2</v>
      </c>
      <c r="BJ117" s="169">
        <f t="shared" si="116"/>
        <v>493</v>
      </c>
      <c r="BK117" s="169">
        <f>IF(COUNTIF(AY117:BC117,"&gt;0")&lt;Spielorte!$A$23,0,AV117/Spielorte!$A$23)</f>
        <v>0</v>
      </c>
      <c r="BL117" s="169">
        <f t="shared" si="117"/>
        <v>0</v>
      </c>
      <c r="BM117" s="168">
        <f t="shared" si="118"/>
        <v>0</v>
      </c>
    </row>
    <row r="118" spans="1:65" ht="16.95" customHeight="1">
      <c r="A118" s="404"/>
      <c r="B118" s="58" t="str">
        <f>IF(C118=0,"",VLOOKUP(C118,Starter!$A$1:$D$196,2,FALSE))</f>
        <v>Laubach, Nina</v>
      </c>
      <c r="C118" s="233">
        <v>38905</v>
      </c>
      <c r="D118" s="239">
        <f t="shared" si="96"/>
        <v>66</v>
      </c>
      <c r="E118" s="222"/>
      <c r="F118" s="241">
        <f t="shared" si="97"/>
        <v>0</v>
      </c>
      <c r="G118" s="429"/>
      <c r="H118" s="222"/>
      <c r="I118" s="241">
        <f t="shared" si="98"/>
        <v>0</v>
      </c>
      <c r="J118" s="429"/>
      <c r="K118" s="222"/>
      <c r="L118" s="241">
        <f t="shared" si="99"/>
        <v>0</v>
      </c>
      <c r="M118" s="429"/>
      <c r="N118" s="222">
        <v>87</v>
      </c>
      <c r="O118" s="241">
        <f t="shared" si="100"/>
        <v>153</v>
      </c>
      <c r="P118" s="429"/>
      <c r="Q118" s="222">
        <v>59</v>
      </c>
      <c r="R118" s="241">
        <f t="shared" si="101"/>
        <v>125</v>
      </c>
      <c r="S118" s="429"/>
      <c r="T118" s="222">
        <f t="shared" si="102"/>
        <v>146</v>
      </c>
      <c r="U118" s="241">
        <f t="shared" si="102"/>
        <v>278</v>
      </c>
      <c r="V118" s="401"/>
      <c r="W118" s="79"/>
      <c r="X118" s="79"/>
      <c r="Y118" s="79"/>
      <c r="Z118" s="79"/>
      <c r="AA118" s="79"/>
      <c r="AB118" s="79"/>
      <c r="AL118" s="169">
        <f>IF(AU118=0,0,IFERROR(INDEX(RanglisteST2!K:K,MATCH(AU118,RanglisteST2!A:A,0)),0))</f>
        <v>78</v>
      </c>
      <c r="AM118" s="169">
        <f>IF(AU118=0,0,SUMIF(AU111:AU119,AU118,AV111:AV119))</f>
        <v>210</v>
      </c>
      <c r="AN118" s="169">
        <f>IF(AU118=0,0,SUMIF(AU111:AU119,AU118,AW111:AW119))</f>
        <v>3</v>
      </c>
      <c r="AO118" s="169">
        <f t="shared" si="103"/>
        <v>70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66</v>
      </c>
      <c r="AQ118" s="166"/>
      <c r="AR118" s="167"/>
      <c r="AS118" s="167"/>
      <c r="AT118" s="168"/>
      <c r="AU118" s="171">
        <f t="shared" si="104"/>
        <v>38905</v>
      </c>
      <c r="AV118" s="167">
        <f t="shared" si="105"/>
        <v>146</v>
      </c>
      <c r="AW118" s="169">
        <f t="shared" si="106"/>
        <v>2</v>
      </c>
      <c r="AX118" s="169">
        <f t="shared" si="107"/>
        <v>2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>
        <f t="shared" si="111"/>
        <v>87</v>
      </c>
      <c r="BC118" s="169">
        <f t="shared" si="112"/>
        <v>59</v>
      </c>
      <c r="BD118" s="170"/>
      <c r="BE118" s="168"/>
      <c r="BF118" s="169">
        <f t="shared" si="113"/>
        <v>87</v>
      </c>
      <c r="BG118" s="169">
        <f t="shared" si="114"/>
        <v>0</v>
      </c>
      <c r="BH118" s="169" t="str">
        <f t="shared" si="119"/>
        <v>Berchtesgaden 1</v>
      </c>
      <c r="BI118" s="168">
        <f t="shared" si="115"/>
        <v>2</v>
      </c>
      <c r="BJ118" s="169">
        <f t="shared" si="116"/>
        <v>146</v>
      </c>
      <c r="BK118" s="169">
        <f>IF(COUNTIF(AY118:BC118,"&gt;0")&lt;Spielorte!$A$23,0,AV118/Spielorte!$A$23)</f>
        <v>0</v>
      </c>
      <c r="BL118" s="169">
        <f t="shared" si="117"/>
        <v>0</v>
      </c>
      <c r="BM118" s="168">
        <f t="shared" si="118"/>
        <v>0</v>
      </c>
    </row>
    <row r="119" spans="1:65" ht="16.95" customHeight="1" thickBot="1">
      <c r="A119" s="405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30"/>
      <c r="H119" s="224"/>
      <c r="I119" s="242">
        <f t="shared" si="98"/>
        <v>0</v>
      </c>
      <c r="J119" s="430"/>
      <c r="K119" s="224"/>
      <c r="L119" s="242">
        <f t="shared" si="99"/>
        <v>0</v>
      </c>
      <c r="M119" s="430"/>
      <c r="N119" s="224"/>
      <c r="O119" s="242">
        <f t="shared" si="100"/>
        <v>0</v>
      </c>
      <c r="P119" s="430"/>
      <c r="Q119" s="224"/>
      <c r="R119" s="242">
        <f t="shared" si="101"/>
        <v>0</v>
      </c>
      <c r="S119" s="430"/>
      <c r="T119" s="224">
        <f t="shared" si="102"/>
        <v>0</v>
      </c>
      <c r="U119" s="242">
        <f t="shared" si="102"/>
        <v>0</v>
      </c>
      <c r="V119" s="402"/>
      <c r="W119" s="79"/>
      <c r="X119" s="79"/>
      <c r="Y119" s="79"/>
      <c r="Z119" s="79"/>
      <c r="AA119" s="79"/>
      <c r="AB119" s="79"/>
      <c r="AL119" s="169">
        <f>IF(AU119=0,0,IFERROR(INDEX(RanglisteST2!K:K,MATCH(AU119,RanglisteST2!A:A,0)),0))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0</v>
      </c>
      <c r="BH119" s="169" t="str">
        <f t="shared" si="119"/>
        <v>Berchtesgaden 1</v>
      </c>
      <c r="BI119" s="168">
        <f t="shared" si="115"/>
        <v>2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0</v>
      </c>
      <c r="BM119" s="168">
        <f t="shared" si="118"/>
        <v>0</v>
      </c>
    </row>
    <row r="120" spans="1:65" ht="27.75" customHeight="1" thickBot="1">
      <c r="B120" s="218" t="s">
        <v>1792</v>
      </c>
      <c r="C120" s="204"/>
      <c r="D120" s="219"/>
      <c r="E120" s="226">
        <f>ABS(SUM(E111:E113))+ABS(SUM(E114:E116))+ABS(SUM(E117:E119))</f>
        <v>334</v>
      </c>
      <c r="F120" s="225">
        <f>ABS(SUM(F111:F113))+ABS(SUM(F114:F116))+ABS(SUM(F117:F119))</f>
        <v>434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485</v>
      </c>
      <c r="I120" s="225">
        <f>ABS(SUM(I111:I113))+ABS(SUM(I114:I116))+ABS(SUM(I117:I119))</f>
        <v>562</v>
      </c>
      <c r="J120" s="81">
        <f>IF(I120+H129=0,0,IF(I120=H129,Spielorte!$A$31/2,IF(I120&gt;H129,Spielorte!$A$31,0)))</f>
        <v>2</v>
      </c>
      <c r="K120" s="226">
        <f>ABS(SUM(K111:K113))+ABS(SUM(K114:K116))+ABS(SUM(K117:K119))</f>
        <v>415</v>
      </c>
      <c r="L120" s="225">
        <f>ABS(SUM(L111:L113))+ABS(SUM(L114:L116))+ABS(SUM(L117:L119))</f>
        <v>492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308</v>
      </c>
      <c r="O120" s="225">
        <f>ABS(SUM(O111:O113))+ABS(SUM(O114:O116))+ABS(SUM(O117:O119))</f>
        <v>451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341</v>
      </c>
      <c r="R120" s="225">
        <f>ABS(SUM(R111:R113))+ABS(SUM(R114:R116))+ABS(SUM(R117:R119))</f>
        <v>450</v>
      </c>
      <c r="S120" s="81">
        <f>IF(R120+Q129=0,0,IF(R120=Q129,Spielorte!$A$31/2,IF(R120&gt;Q129,Spielorte!$A$31,0)))</f>
        <v>0</v>
      </c>
      <c r="T120" s="228">
        <f>SUM(E120+H120+K120+N120+Q120)</f>
        <v>1883</v>
      </c>
      <c r="U120" s="229">
        <f>SUM(F120+I120+L120+O120+R120)</f>
        <v>2389</v>
      </c>
      <c r="V120" s="12">
        <f>SUM(G120+J120+M120+P120+S120)</f>
        <v>2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>
      <c r="B121" s="230" t="s">
        <v>1803</v>
      </c>
      <c r="C121" s="1"/>
      <c r="D121" s="1"/>
      <c r="E121" s="1"/>
      <c r="F121" s="1"/>
      <c r="G121" s="61">
        <f>SUM(G111:G120)</f>
        <v>1</v>
      </c>
      <c r="H121" s="1"/>
      <c r="I121" s="1"/>
      <c r="J121" s="61">
        <f>SUM(J111:J120)</f>
        <v>4</v>
      </c>
      <c r="K121" s="1"/>
      <c r="L121" s="1"/>
      <c r="M121" s="61">
        <f>SUM(M111:M120)</f>
        <v>0</v>
      </c>
      <c r="N121" s="1"/>
      <c r="O121" s="1"/>
      <c r="P121" s="61">
        <f>SUM(P111:P120)</f>
        <v>1</v>
      </c>
      <c r="Q121" s="1"/>
      <c r="R121" s="1"/>
      <c r="S121" s="61">
        <f>SUM(S111:S120)</f>
        <v>1</v>
      </c>
      <c r="T121" s="1"/>
      <c r="U121" s="1"/>
      <c r="V121" s="61">
        <f>SUM(V111:V120)</f>
        <v>7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7</v>
      </c>
      <c r="AR121" s="167">
        <f>+T120</f>
        <v>1883</v>
      </c>
      <c r="AS121" s="167">
        <f>+U120</f>
        <v>2389</v>
      </c>
      <c r="AT121" s="168">
        <f>+B106</f>
        <v>5</v>
      </c>
      <c r="AW121" s="169">
        <f>SUM(AW105:AW120)</f>
        <v>15</v>
      </c>
      <c r="BD121" s="166">
        <f>+AS121/1000000+AQ121+AR121/1000000000000</f>
        <v>7.0023890018830004</v>
      </c>
      <c r="BE121" s="168">
        <f>RANK(BD121,BD:BD)</f>
        <v>6</v>
      </c>
      <c r="BI121" s="168"/>
      <c r="BM121" s="168"/>
    </row>
    <row r="122" spans="1:65" ht="11.25" customHeight="1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>
      <c r="B123" s="231" t="s">
        <v>1790</v>
      </c>
      <c r="C123" s="210"/>
      <c r="D123" s="42"/>
      <c r="E123" s="434">
        <f>VLOOKUP($B106,Schlüssel!$A$5:$EK$12,23)</f>
        <v>8</v>
      </c>
      <c r="F123" s="435"/>
      <c r="G123" s="436"/>
      <c r="H123" s="434">
        <f>VLOOKUP($B106,Schlüssel!$A$5:$EK$12,24)</f>
        <v>3</v>
      </c>
      <c r="I123" s="435"/>
      <c r="J123" s="436"/>
      <c r="K123" s="434">
        <f>VLOOKUP($B106,Schlüssel!$A$5:$EK$12,25)</f>
        <v>7</v>
      </c>
      <c r="L123" s="435"/>
      <c r="M123" s="436"/>
      <c r="N123" s="434">
        <f>VLOOKUP($B106,Schlüssel!$A$5:$EK$12,26)</f>
        <v>4</v>
      </c>
      <c r="O123" s="435"/>
      <c r="P123" s="436"/>
      <c r="Q123" s="434">
        <f>VLOOKUP($B106,Schlüssel!$A$5:$EK$12,27)</f>
        <v>1</v>
      </c>
      <c r="R123" s="435"/>
      <c r="S123" s="436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>
      <c r="B124" s="3" t="s">
        <v>9</v>
      </c>
      <c r="C124" s="1"/>
      <c r="D124" s="1"/>
      <c r="E124" s="395" t="str">
        <f>VLOOKUP(E123,Schlüssel!$A$5:$K$12,2)</f>
        <v>EMAX 1</v>
      </c>
      <c r="F124" s="438"/>
      <c r="G124" s="396"/>
      <c r="H124" s="395" t="str">
        <f>VLOOKUP(H123,Schlüssel!$A$5:$K$12,2)</f>
        <v>Highroller Rosenheim 2</v>
      </c>
      <c r="I124" s="438"/>
      <c r="J124" s="396"/>
      <c r="K124" s="395" t="str">
        <f>VLOOKUP(K123,Schlüssel!$A$5:$K$12,2)</f>
        <v>BK München 1</v>
      </c>
      <c r="L124" s="438"/>
      <c r="M124" s="396"/>
      <c r="N124" s="395" t="str">
        <f>VLOOKUP(N123,Schlüssel!$A$5:$K$12,2)</f>
        <v>Highroller Rosenheim 3</v>
      </c>
      <c r="O124" s="438"/>
      <c r="P124" s="396"/>
      <c r="Q124" s="395" t="str">
        <f>VLOOKUP(Q123,Schlüssel!$A$5:$K$12,2)</f>
        <v>Bad Tölz 1</v>
      </c>
      <c r="R124" s="438"/>
      <c r="S124" s="396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" customHeight="1">
      <c r="B126" s="417" t="s">
        <v>2275</v>
      </c>
      <c r="C126" s="418"/>
      <c r="D126" s="419"/>
      <c r="E126" s="431">
        <f>ABS(INDEX(F:F,MATCH(E123,$B:$B,0)+5)+INDEX(F:F,MATCH(E123,$B:$B,0)+6)+INDEX(F:F,MATCH(E123,$B:$B,0)+7))</f>
        <v>144</v>
      </c>
      <c r="F126" s="432"/>
      <c r="G126" s="433"/>
      <c r="H126" s="431">
        <f>ABS(INDEX(I:I,MATCH(H123,$B:$B,0)+5)+INDEX(I:I,MATCH(H123,$B:$B,0)+6)+INDEX(I:I,MATCH(H123,$B:$B,0)+7))</f>
        <v>166</v>
      </c>
      <c r="I126" s="432"/>
      <c r="J126" s="433"/>
      <c r="K126" s="431">
        <f>ABS(INDEX(L:L,MATCH(K123,$B:$B,0)+5)+INDEX(L:L,MATCH(K123,$B:$B,0)+6)+INDEX(L:L,MATCH(K123,$B:$B,0)+7))</f>
        <v>243</v>
      </c>
      <c r="L126" s="432"/>
      <c r="M126" s="433"/>
      <c r="N126" s="431">
        <f>ABS(INDEX(O:O,MATCH(N123,$B:$B,0)+5)+INDEX(O:O,MATCH(N123,$B:$B,0)+6)+INDEX(O:O,MATCH(N123,$B:$B,0)+7))</f>
        <v>198</v>
      </c>
      <c r="O126" s="432"/>
      <c r="P126" s="433"/>
      <c r="Q126" s="431">
        <f>ABS(INDEX(R:R,MATCH(Q123,$B:$B,0)+5)+INDEX(R:R,MATCH(Q123,$B:$B,0)+6)+INDEX(R:R,MATCH(Q123,$B:$B,0)+7))</f>
        <v>204</v>
      </c>
      <c r="R126" s="432"/>
      <c r="S126" s="433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" customHeight="1">
      <c r="B127" s="417" t="s">
        <v>2276</v>
      </c>
      <c r="C127" s="418"/>
      <c r="D127" s="419"/>
      <c r="E127" s="424">
        <f>ABS(INDEX(F:F,MATCH(E123,$B:$B,0)+8)+INDEX(F:F,MATCH(E123,$B:$B,0)+9)+INDEX(F:F,MATCH(E123,$B:$B,0)+10))</f>
        <v>140</v>
      </c>
      <c r="F127" s="425"/>
      <c r="G127" s="426"/>
      <c r="H127" s="424">
        <f>ABS(INDEX(I:I,MATCH(H123,$B:$B,0)+8)+INDEX(I:I,MATCH(H123,$B:$B,0)+9)+INDEX(I:I,MATCH(H123,$B:$B,0)+10))</f>
        <v>160</v>
      </c>
      <c r="I127" s="425"/>
      <c r="J127" s="426"/>
      <c r="K127" s="424">
        <f>ABS(INDEX(L:L,MATCH(K123,$B:$B,0)+8)+INDEX(L:L,MATCH(K123,$B:$B,0)+9)+INDEX(L:L,MATCH(K123,$B:$B,0)+10))</f>
        <v>193</v>
      </c>
      <c r="L127" s="425"/>
      <c r="M127" s="426"/>
      <c r="N127" s="424">
        <f>ABS(INDEX(O:O,MATCH(N123,$B:$B,0)+8)+INDEX(O:O,MATCH(N123,$B:$B,0)+9)+INDEX(O:O,MATCH(N123,$B:$B,0)+10))</f>
        <v>197</v>
      </c>
      <c r="O127" s="425"/>
      <c r="P127" s="426"/>
      <c r="Q127" s="424">
        <f>ABS(INDEX(R:R,MATCH(Q123,$B:$B,0)+8)+INDEX(R:R,MATCH(Q123,$B:$B,0)+9)+INDEX(R:R,MATCH(Q123,$B:$B,0)+10))</f>
        <v>142</v>
      </c>
      <c r="R127" s="425"/>
      <c r="S127" s="426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" customHeight="1">
      <c r="B128" s="417" t="s">
        <v>2277</v>
      </c>
      <c r="C128" s="418"/>
      <c r="D128" s="419"/>
      <c r="E128" s="424">
        <f>ABS(INDEX(F:F,MATCH(E123,$B:$B,0)+11)+INDEX(F:F,MATCH(E123,$B:$B,0)+12)+INDEX(F:F,MATCH(E123,$B:$B,0)+13))</f>
        <v>172</v>
      </c>
      <c r="F128" s="425"/>
      <c r="G128" s="426"/>
      <c r="H128" s="424">
        <f>ABS(INDEX(I:I,MATCH(H123,$B:$B,0)+11)+INDEX(I:I,MATCH(H123,$B:$B,0)+12)+INDEX(I:I,MATCH(H123,$B:$B,0)+13))</f>
        <v>130</v>
      </c>
      <c r="I128" s="425"/>
      <c r="J128" s="426"/>
      <c r="K128" s="424">
        <f>ABS(INDEX(L:L,MATCH(K123,$B:$B,0)+11)+INDEX(L:L,MATCH(K123,$B:$B,0)+12)+INDEX(L:L,MATCH(K123,$B:$B,0)+13))</f>
        <v>218</v>
      </c>
      <c r="L128" s="425"/>
      <c r="M128" s="426"/>
      <c r="N128" s="424">
        <f>ABS(INDEX(O:O,MATCH(N123,$B:$B,0)+11)+INDEX(O:O,MATCH(N123,$B:$B,0)+12)+INDEX(O:O,MATCH(N123,$B:$B,0)+13))</f>
        <v>144</v>
      </c>
      <c r="O128" s="425"/>
      <c r="P128" s="426"/>
      <c r="Q128" s="424">
        <f>ABS(INDEX(R:R,MATCH(Q123,$B:$B,0)+11)+INDEX(R:R,MATCH(Q123,$B:$B,0)+12)+INDEX(R:R,MATCH(Q123,$B:$B,0)+13))</f>
        <v>201</v>
      </c>
      <c r="R128" s="425"/>
      <c r="S128" s="426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" customHeight="1">
      <c r="B129" s="420" t="s">
        <v>2278</v>
      </c>
      <c r="C129" s="421"/>
      <c r="D129" s="422"/>
      <c r="E129" s="407">
        <f>SUM(E126:E128)</f>
        <v>456</v>
      </c>
      <c r="F129" s="423"/>
      <c r="G129" s="408"/>
      <c r="H129" s="407">
        <f>SUM(H126:H128)</f>
        <v>456</v>
      </c>
      <c r="I129" s="423"/>
      <c r="J129" s="408"/>
      <c r="K129" s="407">
        <f>SUM(K126:K128)</f>
        <v>654</v>
      </c>
      <c r="L129" s="423"/>
      <c r="M129" s="408"/>
      <c r="N129" s="407">
        <f>SUM(N126:N128)</f>
        <v>539</v>
      </c>
      <c r="O129" s="423"/>
      <c r="P129" s="408"/>
      <c r="Q129" s="407">
        <f>SUM(Q126:Q128)</f>
        <v>547</v>
      </c>
      <c r="R129" s="423"/>
      <c r="S129" s="408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>
      <c r="A131" s="255"/>
      <c r="B131" s="7" t="s">
        <v>1802</v>
      </c>
      <c r="C131" s="24"/>
      <c r="D131" s="24"/>
      <c r="E131" s="35" t="s">
        <v>1786</v>
      </c>
      <c r="F131" s="35"/>
      <c r="G131" s="427" t="str">
        <f>Schlüssel!$C$1</f>
        <v>Landesliga Jugend</v>
      </c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  <c r="S131" s="406">
        <f>Schlüssel!$AG$1</f>
        <v>45717</v>
      </c>
      <c r="T131" s="406"/>
      <c r="U131" s="406"/>
      <c r="V131" s="406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>
      <c r="A132" s="53"/>
      <c r="B132" s="54">
        <v>6</v>
      </c>
      <c r="E132" s="35" t="s">
        <v>1787</v>
      </c>
      <c r="F132" s="35"/>
      <c r="G132" s="413" t="str">
        <f>Schlüssel!$W$2</f>
        <v>Unterföhring Dreambowl Palace</v>
      </c>
      <c r="H132" s="413"/>
      <c r="I132" s="413"/>
      <c r="J132" s="413"/>
      <c r="K132" s="413"/>
      <c r="L132" s="413"/>
      <c r="M132" s="413"/>
      <c r="N132" s="413"/>
      <c r="O132" s="413"/>
      <c r="P132" s="66"/>
      <c r="Q132" s="411" t="s">
        <v>1785</v>
      </c>
      <c r="R132" s="412"/>
      <c r="S132" s="38">
        <v>2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>
      <c r="B133" s="414" t="str">
        <f>VLOOKUP(B132,Schlüssel!$A$5:$B$12,2)</f>
        <v>Bowling Jugend Bayern 1</v>
      </c>
      <c r="C133" s="415"/>
      <c r="D133" s="415"/>
      <c r="E133" s="415"/>
      <c r="F133" s="415"/>
      <c r="G133" s="416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3.8" hidden="1" thickBot="1">
      <c r="A134" s="6"/>
      <c r="B134" s="7"/>
      <c r="C134" s="43"/>
      <c r="D134" s="43"/>
      <c r="E134" s="162" t="s">
        <v>10</v>
      </c>
      <c r="F134" s="220"/>
      <c r="G134" s="159">
        <f>VLOOKUP(B132,Schlüssel!$A$5:$EK$12,33)</f>
        <v>15</v>
      </c>
      <c r="H134" s="161" t="s">
        <v>10</v>
      </c>
      <c r="I134" s="220"/>
      <c r="J134" s="159">
        <f>VLOOKUP(B132,Schlüssel!$A$5:$EK$12,34)</f>
        <v>11</v>
      </c>
      <c r="K134" s="161" t="s">
        <v>10</v>
      </c>
      <c r="L134" s="220"/>
      <c r="M134" s="159">
        <f>VLOOKUP(B132,Schlüssel!$A$5:$EK$12,35)</f>
        <v>15</v>
      </c>
      <c r="N134" s="161" t="s">
        <v>10</v>
      </c>
      <c r="O134" s="220"/>
      <c r="P134" s="159">
        <f>VLOOKUP(B132,Schlüssel!$A$5:$EK$12,36)</f>
        <v>12</v>
      </c>
      <c r="Q134" s="161" t="s">
        <v>10</v>
      </c>
      <c r="R134" s="220"/>
      <c r="S134" s="160">
        <f>VLOOKUP(B132,Schlüssel!$A$5:$EK$12,37)</f>
        <v>16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>
      <c r="B135" s="44" t="s">
        <v>1</v>
      </c>
      <c r="C135" s="208"/>
      <c r="D135" s="217"/>
      <c r="E135" s="423" t="s">
        <v>1793</v>
      </c>
      <c r="F135" s="423"/>
      <c r="G135" s="408"/>
      <c r="H135" s="407" t="s">
        <v>1794</v>
      </c>
      <c r="I135" s="423"/>
      <c r="J135" s="408"/>
      <c r="K135" s="407" t="s">
        <v>1795</v>
      </c>
      <c r="L135" s="423"/>
      <c r="M135" s="408"/>
      <c r="N135" s="407" t="s">
        <v>1796</v>
      </c>
      <c r="O135" s="423"/>
      <c r="P135" s="408"/>
      <c r="Q135" s="407" t="s">
        <v>1797</v>
      </c>
      <c r="R135" s="423"/>
      <c r="S135" s="437"/>
      <c r="T135" s="439" t="s">
        <v>1792</v>
      </c>
      <c r="U135" s="440"/>
      <c r="V135" s="410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6.95" customHeight="1">
      <c r="A137" s="403" t="s">
        <v>0</v>
      </c>
      <c r="B137" s="58" t="str">
        <f>IF(C137=0,"",VLOOKUP(C137,Starter!$A$1:$D$196,2,FALSE))</f>
        <v>Reichenauer, Leon</v>
      </c>
      <c r="C137" s="232">
        <v>38781</v>
      </c>
      <c r="D137" s="238">
        <f t="shared" ref="D137:D145" si="120">+AP137</f>
        <v>18</v>
      </c>
      <c r="E137" s="221">
        <v>182</v>
      </c>
      <c r="F137" s="240">
        <f t="shared" ref="F137:F145" si="121">IF(E137&gt;0,E137+$D137,0)</f>
        <v>200</v>
      </c>
      <c r="G137" s="428">
        <f>IF(SUM(F137:F139)+E152=0,0,IF(ABS(SUM(F137:F139))=E152,Spielorte!$A$30/2,IF(ABS(SUM(F137:F139))&gt;E152,Spielorte!$A$30,0)))</f>
        <v>1</v>
      </c>
      <c r="H137" s="221">
        <v>173</v>
      </c>
      <c r="I137" s="240">
        <f t="shared" ref="I137:I145" si="122">IF(H137&gt;0,H137+$D137,0)</f>
        <v>191</v>
      </c>
      <c r="J137" s="428">
        <f>IF(SUM(I137:I139)+H152=0,0,IF(ABS(SUM(I137:I139))=H152,Spielorte!$A$30/2,IF(ABS(SUM(I137:I139))&gt;H152,Spielorte!$A$30,0)))</f>
        <v>0</v>
      </c>
      <c r="K137" s="221">
        <v>133</v>
      </c>
      <c r="L137" s="240">
        <f t="shared" ref="L137:L145" si="123">IF(K137&gt;0,K137+$D137,0)</f>
        <v>151</v>
      </c>
      <c r="M137" s="428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8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8">
        <f>IF(SUM(R137:R139)+Q152=0,0,IF(ABS(SUM(R137:R139))=Q152,Spielorte!$A$30/2,IF(ABS(SUM(R137:R139))&gt;Q152,Spielorte!$A$30,0)))</f>
        <v>1</v>
      </c>
      <c r="T137" s="221">
        <f t="shared" ref="T137:U145" si="126">ABS(SUM(E137:E137))+ABS(SUM(H137:H137))+ABS(SUM(K137:K137))+ABS(SUM(N137:N137))+ABS(SUM(Q137:Q137))</f>
        <v>488</v>
      </c>
      <c r="U137" s="240">
        <f t="shared" si="126"/>
        <v>542</v>
      </c>
      <c r="V137" s="400">
        <f>SUM(G137+J137+M137+P137+S137)</f>
        <v>2</v>
      </c>
      <c r="W137" s="79"/>
      <c r="X137" s="79"/>
      <c r="Y137" s="79"/>
      <c r="Z137" s="79"/>
      <c r="AA137" s="79"/>
      <c r="AB137" s="79"/>
      <c r="AL137" s="169">
        <f>IF(AU137=0,0,IFERROR(INDEX(RanglisteST2!K:K,MATCH(AU137,RanglisteST2!A:A,0)),0))</f>
        <v>137.58000000000001</v>
      </c>
      <c r="AM137" s="169">
        <f>IF(AU137=0,0,SUMIF(AU137:AU145,AU137,AV137:AV145))</f>
        <v>488</v>
      </c>
      <c r="AN137" s="169">
        <f>IF(AU137=0,0,SUMIF(AU137:AU145,AU137,AW137:AW145))</f>
        <v>3</v>
      </c>
      <c r="AO137" s="169">
        <f t="shared" ref="AO137:AO145" si="127">IFERROR(AM137/AN137,0)</f>
        <v>162.66666666666666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18</v>
      </c>
      <c r="AQ137" s="166"/>
      <c r="AR137" s="167"/>
      <c r="AS137" s="167"/>
      <c r="AT137" s="168"/>
      <c r="AU137" s="171">
        <f t="shared" ref="AU137:AU145" si="128">C137</f>
        <v>38781</v>
      </c>
      <c r="AV137" s="167">
        <f t="shared" ref="AV137:AV145" si="129">T137</f>
        <v>488</v>
      </c>
      <c r="AW137" s="169">
        <f t="shared" ref="AW137:AW145" si="130">COUNT(AY137:BC137)</f>
        <v>3</v>
      </c>
      <c r="AX137" s="169">
        <f t="shared" ref="AX137:AX145" si="131">COUNTIF(AY137:BC137,"&gt;0")</f>
        <v>3</v>
      </c>
      <c r="AY137" s="169">
        <f t="shared" ref="AY137:AY145" si="132">IF(E137=0,"",E137)</f>
        <v>182</v>
      </c>
      <c r="AZ137" s="169">
        <f t="shared" ref="AZ137:AZ145" si="133">IF(H137=0,"",H137)</f>
        <v>173</v>
      </c>
      <c r="BA137" s="169">
        <f t="shared" ref="BA137:BA145" si="134">IF(K137=0,"",K137)</f>
        <v>133</v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182</v>
      </c>
      <c r="BG137" s="169">
        <f t="shared" ref="BG137:BG145" si="138">IF(BF137&lt;MAX(BF:BF),0,BF137+ROW()/1000000000)</f>
        <v>0</v>
      </c>
      <c r="BH137" s="169" t="str">
        <f>+B133</f>
        <v>Bowling Jugend Bayern 1</v>
      </c>
      <c r="BI137" s="168">
        <f t="shared" ref="BI137:BI145" si="139">RANK(BG137,BG:BG)</f>
        <v>2</v>
      </c>
      <c r="BJ137" s="169">
        <f t="shared" ref="BJ137:BJ145" si="140">SUMIF(AY137:BC137,"&gt;0")</f>
        <v>488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0</v>
      </c>
      <c r="BM137" s="168">
        <f t="shared" ref="BM137:BM145" si="142">IF(BL137=0,0,RANK(BL137,BL:BL))</f>
        <v>0</v>
      </c>
    </row>
    <row r="138" spans="1:65" ht="16.95" customHeight="1">
      <c r="A138" s="404"/>
      <c r="B138" s="58" t="str">
        <f>IF(C138=0,"",VLOOKUP(C138,Starter!$A$1:$D$196,2,FALSE))</f>
        <v>Calik, Ilay</v>
      </c>
      <c r="C138" s="233">
        <v>38941</v>
      </c>
      <c r="D138" s="239">
        <f t="shared" si="120"/>
        <v>48</v>
      </c>
      <c r="E138" s="222"/>
      <c r="F138" s="241">
        <f t="shared" si="121"/>
        <v>0</v>
      </c>
      <c r="G138" s="429"/>
      <c r="H138" s="222"/>
      <c r="I138" s="241">
        <f t="shared" si="122"/>
        <v>0</v>
      </c>
      <c r="J138" s="429"/>
      <c r="K138" s="222"/>
      <c r="L138" s="241">
        <f t="shared" si="123"/>
        <v>0</v>
      </c>
      <c r="M138" s="429"/>
      <c r="N138" s="222">
        <v>100</v>
      </c>
      <c r="O138" s="241">
        <f t="shared" si="124"/>
        <v>148</v>
      </c>
      <c r="P138" s="429"/>
      <c r="Q138" s="222"/>
      <c r="R138" s="241">
        <f t="shared" si="125"/>
        <v>0</v>
      </c>
      <c r="S138" s="429"/>
      <c r="T138" s="222">
        <f t="shared" si="126"/>
        <v>100</v>
      </c>
      <c r="U138" s="241">
        <f t="shared" si="126"/>
        <v>148</v>
      </c>
      <c r="V138" s="401"/>
      <c r="W138" s="79"/>
      <c r="X138" s="79"/>
      <c r="Y138" s="79"/>
      <c r="Z138" s="79"/>
      <c r="AA138" s="79"/>
      <c r="AB138" s="79"/>
      <c r="AL138" s="169">
        <f>IF(AU138=0,0,IFERROR(INDEX(RanglisteST2!K:K,MATCH(AU138,RanglisteST2!A:A,0)),0))</f>
        <v>0</v>
      </c>
      <c r="AM138" s="169">
        <f>IF(AU138=0,0,SUMIF(AU137:AU145,AU138,AV137:AV145))</f>
        <v>100</v>
      </c>
      <c r="AN138" s="169">
        <f>IF(AU138=0,0,SUMIF(AU137:AU145,AU138,AW137:AW145))</f>
        <v>1</v>
      </c>
      <c r="AO138" s="169">
        <f t="shared" si="127"/>
        <v>100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48</v>
      </c>
      <c r="AQ138" s="166"/>
      <c r="AR138" s="167"/>
      <c r="AS138" s="167"/>
      <c r="AT138" s="168"/>
      <c r="AU138" s="171">
        <f t="shared" si="128"/>
        <v>38941</v>
      </c>
      <c r="AV138" s="167">
        <f t="shared" si="129"/>
        <v>100</v>
      </c>
      <c r="AW138" s="169">
        <f t="shared" si="130"/>
        <v>1</v>
      </c>
      <c r="AX138" s="169">
        <f t="shared" si="131"/>
        <v>1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>
        <f t="shared" si="135"/>
        <v>100</v>
      </c>
      <c r="BC138" s="169" t="str">
        <f t="shared" si="136"/>
        <v/>
      </c>
      <c r="BD138" s="170"/>
      <c r="BE138" s="168"/>
      <c r="BF138" s="169">
        <f t="shared" si="137"/>
        <v>100</v>
      </c>
      <c r="BG138" s="169">
        <f t="shared" si="138"/>
        <v>0</v>
      </c>
      <c r="BH138" s="169" t="str">
        <f t="shared" ref="BH138:BH145" si="143">+BH137</f>
        <v>Bowling Jugend Bayern 1</v>
      </c>
      <c r="BI138" s="168">
        <f t="shared" si="139"/>
        <v>2</v>
      </c>
      <c r="BJ138" s="169">
        <f t="shared" si="140"/>
        <v>100</v>
      </c>
      <c r="BK138" s="169">
        <f>IF(COUNTIF(AY138:BC138,"&gt;0")&lt;Spielorte!$A$23,0,AV138/Spielorte!$A$23)</f>
        <v>0</v>
      </c>
      <c r="BL138" s="169">
        <f t="shared" si="141"/>
        <v>0</v>
      </c>
      <c r="BM138" s="168">
        <f t="shared" si="142"/>
        <v>0</v>
      </c>
    </row>
    <row r="139" spans="1:65" ht="16.95" customHeight="1" thickBot="1">
      <c r="A139" s="405"/>
      <c r="B139" s="59" t="str">
        <f>IF(C139=0,"",VLOOKUP(C139,Starter!$A$1:$D$196,2,FALSE))</f>
        <v>Raj, Milan</v>
      </c>
      <c r="C139" s="234">
        <v>38915</v>
      </c>
      <c r="D139" s="223">
        <f t="shared" si="120"/>
        <v>38</v>
      </c>
      <c r="E139" s="224"/>
      <c r="F139" s="242">
        <f t="shared" si="121"/>
        <v>0</v>
      </c>
      <c r="G139" s="430"/>
      <c r="H139" s="224"/>
      <c r="I139" s="242">
        <f t="shared" si="122"/>
        <v>0</v>
      </c>
      <c r="J139" s="430"/>
      <c r="K139" s="224"/>
      <c r="L139" s="242">
        <f t="shared" si="123"/>
        <v>0</v>
      </c>
      <c r="M139" s="430"/>
      <c r="N139" s="224"/>
      <c r="O139" s="242">
        <f t="shared" si="124"/>
        <v>0</v>
      </c>
      <c r="P139" s="430"/>
      <c r="Q139" s="224">
        <v>151</v>
      </c>
      <c r="R139" s="242">
        <f t="shared" si="125"/>
        <v>189</v>
      </c>
      <c r="S139" s="430"/>
      <c r="T139" s="224">
        <f t="shared" si="126"/>
        <v>151</v>
      </c>
      <c r="U139" s="242">
        <f t="shared" si="126"/>
        <v>189</v>
      </c>
      <c r="V139" s="402"/>
      <c r="W139" s="79"/>
      <c r="X139" s="79"/>
      <c r="Y139" s="79"/>
      <c r="Z139" s="79"/>
      <c r="AA139" s="79"/>
      <c r="AB139" s="79"/>
      <c r="AL139" s="169">
        <f>IF(AU139=0,0,IFERROR(INDEX(RanglisteST2!K:K,MATCH(AU139,RanglisteST2!A:A,0)),0))</f>
        <v>112.2</v>
      </c>
      <c r="AM139" s="169">
        <f>IF(AU139=0,0,SUMIF(AU137:AU145,AU139,AV137:AV145))</f>
        <v>266</v>
      </c>
      <c r="AN139" s="169">
        <f>IF(AU139=0,0,SUMIF(AU137:AU145,AU139,AW137:AW145))</f>
        <v>2</v>
      </c>
      <c r="AO139" s="169">
        <f t="shared" si="127"/>
        <v>133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38</v>
      </c>
      <c r="AQ139" s="166"/>
      <c r="AR139" s="167"/>
      <c r="AS139" s="167"/>
      <c r="AT139" s="168"/>
      <c r="AU139" s="171">
        <f t="shared" si="128"/>
        <v>38915</v>
      </c>
      <c r="AV139" s="167">
        <f t="shared" si="129"/>
        <v>151</v>
      </c>
      <c r="AW139" s="169">
        <f t="shared" si="130"/>
        <v>1</v>
      </c>
      <c r="AX139" s="169">
        <f t="shared" si="131"/>
        <v>1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>
        <f t="shared" si="136"/>
        <v>151</v>
      </c>
      <c r="BD139" s="170"/>
      <c r="BE139" s="168"/>
      <c r="BF139" s="169">
        <f t="shared" si="137"/>
        <v>151</v>
      </c>
      <c r="BG139" s="169">
        <f t="shared" si="138"/>
        <v>0</v>
      </c>
      <c r="BH139" s="169" t="str">
        <f t="shared" si="143"/>
        <v>Bowling Jugend Bayern 1</v>
      </c>
      <c r="BI139" s="168">
        <f t="shared" si="139"/>
        <v>2</v>
      </c>
      <c r="BJ139" s="169">
        <f t="shared" si="140"/>
        <v>151</v>
      </c>
      <c r="BK139" s="169">
        <f>IF(COUNTIF(AY139:BC139,"&gt;0")&lt;Spielorte!$A$23,0,AV139/Spielorte!$A$23)</f>
        <v>0</v>
      </c>
      <c r="BL139" s="169">
        <f t="shared" si="141"/>
        <v>0</v>
      </c>
      <c r="BM139" s="168">
        <f t="shared" si="142"/>
        <v>0</v>
      </c>
    </row>
    <row r="140" spans="1:65" ht="16.95" customHeight="1">
      <c r="A140" s="403" t="s">
        <v>2</v>
      </c>
      <c r="B140" s="58" t="str">
        <f>IF(C140=0,"",VLOOKUP(C140,Starter!$A$1:$D$196,2,FALSE))</f>
        <v>Prieß, Marc</v>
      </c>
      <c r="C140" s="235">
        <v>38894</v>
      </c>
      <c r="D140" s="238">
        <f t="shared" si="120"/>
        <v>21</v>
      </c>
      <c r="E140" s="221">
        <v>130</v>
      </c>
      <c r="F140" s="240">
        <f t="shared" si="121"/>
        <v>151</v>
      </c>
      <c r="G140" s="428">
        <f>IF(SUM(F140:F142)+E153=0,0,IF(ABS(SUM(F140:F142))=E153,Spielorte!$A$30/2,IF(ABS(SUM(F140:F142))&gt;E153,Spielorte!$A$30,0)))</f>
        <v>0</v>
      </c>
      <c r="H140" s="221">
        <v>150</v>
      </c>
      <c r="I140" s="240">
        <f t="shared" si="122"/>
        <v>171</v>
      </c>
      <c r="J140" s="428">
        <f>IF(SUM(I140:I142)+H153=0,0,IF(ABS(SUM(I140:I142))=H153,Spielorte!$A$30/2,IF(ABS(SUM(I140:I142))&gt;H153,Spielorte!$A$30,0)))</f>
        <v>1</v>
      </c>
      <c r="K140" s="221">
        <v>170</v>
      </c>
      <c r="L140" s="240">
        <f t="shared" si="123"/>
        <v>191</v>
      </c>
      <c r="M140" s="428">
        <f>IF(SUM(L140:L142)+K153=0,0,IF(ABS(SUM(L140:L142))=K153,Spielorte!$A$30/2,IF(ABS(SUM(L140:L142))&gt;K153,Spielorte!$A$30,0)))</f>
        <v>1</v>
      </c>
      <c r="N140" s="221">
        <v>120</v>
      </c>
      <c r="O140" s="240">
        <f t="shared" si="124"/>
        <v>141</v>
      </c>
      <c r="P140" s="428">
        <f>IF(SUM(O140:O142)+N153=0,0,IF(ABS(SUM(O140:O142))=N153,Spielorte!$A$30/2,IF(ABS(SUM(O140:O142))&gt;N153,Spielorte!$A$30,0)))</f>
        <v>1</v>
      </c>
      <c r="Q140" s="221">
        <v>143</v>
      </c>
      <c r="R140" s="240">
        <f t="shared" si="125"/>
        <v>164</v>
      </c>
      <c r="S140" s="428">
        <f>IF(SUM(R140:R142)+Q153=0,0,IF(ABS(SUM(R140:R142))=Q153,Spielorte!$A$30/2,IF(ABS(SUM(R140:R142))&gt;Q153,Spielorte!$A$30,0)))</f>
        <v>0.5</v>
      </c>
      <c r="T140" s="221">
        <f t="shared" si="126"/>
        <v>713</v>
      </c>
      <c r="U140" s="240">
        <f t="shared" si="126"/>
        <v>818</v>
      </c>
      <c r="V140" s="400">
        <f>SUM(G140+J140+M140+P140+S140)</f>
        <v>3.5</v>
      </c>
      <c r="W140" s="79"/>
      <c r="X140" s="79"/>
      <c r="Y140" s="79"/>
      <c r="Z140" s="79"/>
      <c r="AA140" s="79"/>
      <c r="AB140" s="79"/>
      <c r="AL140" s="169">
        <f>IF(AU140=0,0,IFERROR(INDEX(RanglisteST2!K:K,MATCH(AU140,RanglisteST2!A:A,0)),0))</f>
        <v>133.41999999999999</v>
      </c>
      <c r="AM140" s="169">
        <f>IF(AU140=0,0,SUMIF(AU137:AU145,AU140,AV137:AV145))</f>
        <v>713</v>
      </c>
      <c r="AN140" s="169">
        <f>IF(AU140=0,0,SUMIF(AU137:AU145,AU140,AW137:AW145))</f>
        <v>5</v>
      </c>
      <c r="AO140" s="169">
        <f t="shared" si="127"/>
        <v>142.6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21</v>
      </c>
      <c r="AQ140" s="166"/>
      <c r="AR140" s="167"/>
      <c r="AS140" s="167"/>
      <c r="AT140" s="168"/>
      <c r="AU140" s="171">
        <f t="shared" si="128"/>
        <v>38894</v>
      </c>
      <c r="AV140" s="167">
        <f t="shared" si="129"/>
        <v>713</v>
      </c>
      <c r="AW140" s="169">
        <f t="shared" si="130"/>
        <v>5</v>
      </c>
      <c r="AX140" s="169">
        <f t="shared" si="131"/>
        <v>5</v>
      </c>
      <c r="AY140" s="169">
        <f t="shared" si="132"/>
        <v>130</v>
      </c>
      <c r="AZ140" s="169">
        <f t="shared" si="133"/>
        <v>150</v>
      </c>
      <c r="BA140" s="169">
        <f t="shared" si="134"/>
        <v>170</v>
      </c>
      <c r="BB140" s="169">
        <f t="shared" si="135"/>
        <v>120</v>
      </c>
      <c r="BC140" s="169">
        <f t="shared" si="136"/>
        <v>143</v>
      </c>
      <c r="BD140" s="170"/>
      <c r="BE140" s="168"/>
      <c r="BF140" s="169">
        <f t="shared" si="137"/>
        <v>170</v>
      </c>
      <c r="BG140" s="169">
        <f t="shared" si="138"/>
        <v>0</v>
      </c>
      <c r="BH140" s="169" t="str">
        <f t="shared" si="143"/>
        <v>Bowling Jugend Bayern 1</v>
      </c>
      <c r="BI140" s="168">
        <f t="shared" si="139"/>
        <v>2</v>
      </c>
      <c r="BJ140" s="169">
        <f t="shared" si="140"/>
        <v>713</v>
      </c>
      <c r="BK140" s="169">
        <f>IF(COUNTIF(AY140:BC140,"&gt;0")&lt;Spielorte!$A$23,0,AV140/Spielorte!$A$23)</f>
        <v>142.6</v>
      </c>
      <c r="BL140" s="169">
        <f t="shared" si="141"/>
        <v>0</v>
      </c>
      <c r="BM140" s="168">
        <f t="shared" si="142"/>
        <v>0</v>
      </c>
    </row>
    <row r="141" spans="1:65" ht="16.95" customHeight="1">
      <c r="A141" s="404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9"/>
      <c r="H141" s="222"/>
      <c r="I141" s="241">
        <f t="shared" si="122"/>
        <v>0</v>
      </c>
      <c r="J141" s="429"/>
      <c r="K141" s="222"/>
      <c r="L141" s="241">
        <f t="shared" si="123"/>
        <v>0</v>
      </c>
      <c r="M141" s="429"/>
      <c r="N141" s="222"/>
      <c r="O141" s="241">
        <f t="shared" si="124"/>
        <v>0</v>
      </c>
      <c r="P141" s="429"/>
      <c r="Q141" s="222"/>
      <c r="R141" s="241">
        <f t="shared" si="125"/>
        <v>0</v>
      </c>
      <c r="S141" s="429"/>
      <c r="T141" s="222">
        <f t="shared" si="126"/>
        <v>0</v>
      </c>
      <c r="U141" s="241">
        <f t="shared" si="126"/>
        <v>0</v>
      </c>
      <c r="V141" s="401"/>
      <c r="W141" s="79"/>
      <c r="X141" s="79"/>
      <c r="Y141" s="79"/>
      <c r="Z141" s="79"/>
      <c r="AA141" s="79"/>
      <c r="AB141" s="79"/>
      <c r="AL141" s="169">
        <f>IF(AU141=0,0,IFERROR(INDEX(RanglisteST2!K:K,MATCH(AU141,RanglisteST2!A:A,0)),0))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0</v>
      </c>
      <c r="BH141" s="169" t="str">
        <f t="shared" si="143"/>
        <v>Bowling Jugend Bayern 1</v>
      </c>
      <c r="BI141" s="168">
        <f t="shared" si="139"/>
        <v>2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0</v>
      </c>
      <c r="BM141" s="168">
        <f t="shared" si="142"/>
        <v>0</v>
      </c>
    </row>
    <row r="142" spans="1:65" ht="16.95" customHeight="1" thickBot="1">
      <c r="A142" s="405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30"/>
      <c r="H142" s="224"/>
      <c r="I142" s="242">
        <f t="shared" si="122"/>
        <v>0</v>
      </c>
      <c r="J142" s="430"/>
      <c r="K142" s="224"/>
      <c r="L142" s="242">
        <f t="shared" si="123"/>
        <v>0</v>
      </c>
      <c r="M142" s="430"/>
      <c r="N142" s="224"/>
      <c r="O142" s="242">
        <f t="shared" si="124"/>
        <v>0</v>
      </c>
      <c r="P142" s="430"/>
      <c r="Q142" s="224"/>
      <c r="R142" s="242">
        <f t="shared" si="125"/>
        <v>0</v>
      </c>
      <c r="S142" s="430"/>
      <c r="T142" s="224">
        <f t="shared" si="126"/>
        <v>0</v>
      </c>
      <c r="U142" s="242">
        <f t="shared" si="126"/>
        <v>0</v>
      </c>
      <c r="V142" s="402"/>
      <c r="W142" s="79"/>
      <c r="X142" s="79"/>
      <c r="Y142" s="79"/>
      <c r="Z142" s="79"/>
      <c r="AA142" s="79"/>
      <c r="AB142" s="79"/>
      <c r="AL142" s="169">
        <f>IF(AU142=0,0,IFERROR(INDEX(RanglisteST2!K:K,MATCH(AU142,RanglisteST2!A:A,0)),0))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0</v>
      </c>
      <c r="BH142" s="169" t="str">
        <f t="shared" si="143"/>
        <v>Bowling Jugend Bayern 1</v>
      </c>
      <c r="BI142" s="168">
        <f t="shared" si="139"/>
        <v>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0</v>
      </c>
      <c r="BM142" s="168">
        <f t="shared" si="142"/>
        <v>0</v>
      </c>
    </row>
    <row r="143" spans="1:65" ht="16.95" customHeight="1">
      <c r="A143" s="403" t="s">
        <v>3</v>
      </c>
      <c r="B143" s="58" t="str">
        <f>IF(C143=0,"",VLOOKUP(C143,Starter!$A$1:$D$196,2,FALSE))</f>
        <v>Klettenheimer, Julius</v>
      </c>
      <c r="C143" s="235">
        <v>38942</v>
      </c>
      <c r="D143" s="238">
        <f t="shared" si="120"/>
        <v>0</v>
      </c>
      <c r="E143" s="221">
        <v>136</v>
      </c>
      <c r="F143" s="240">
        <f t="shared" si="121"/>
        <v>136</v>
      </c>
      <c r="G143" s="428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8">
        <f>IF(SUM(I143:I145)+H154=0,0,IF(ABS(SUM(I143:I145))=H154,Spielorte!$A$30/2,IF(ABS(SUM(I143:I145))&gt;H154,Spielorte!$A$30,0)))</f>
        <v>0</v>
      </c>
      <c r="K143" s="221">
        <v>177</v>
      </c>
      <c r="L143" s="240">
        <f t="shared" si="123"/>
        <v>177</v>
      </c>
      <c r="M143" s="428">
        <f>IF(SUM(L143:L145)+K154=0,0,IF(ABS(SUM(L143:L145))=K154,Spielorte!$A$30/2,IF(ABS(SUM(L143:L145))&gt;K154,Spielorte!$A$30,0)))</f>
        <v>1</v>
      </c>
      <c r="N143" s="221">
        <v>187</v>
      </c>
      <c r="O143" s="240">
        <f t="shared" si="124"/>
        <v>187</v>
      </c>
      <c r="P143" s="428">
        <f>IF(SUM(O143:O145)+N154=0,0,IF(ABS(SUM(O143:O145))=N154,Spielorte!$A$30/2,IF(ABS(SUM(O143:O145))&gt;N154,Spielorte!$A$30,0)))</f>
        <v>1</v>
      </c>
      <c r="Q143" s="221">
        <v>207</v>
      </c>
      <c r="R143" s="240">
        <f t="shared" si="125"/>
        <v>207</v>
      </c>
      <c r="S143" s="428">
        <f>IF(SUM(R143:R145)+Q154=0,0,IF(ABS(SUM(R143:R145))=Q154,Spielorte!$A$30/2,IF(ABS(SUM(R143:R145))&gt;Q154,Spielorte!$A$30,0)))</f>
        <v>1</v>
      </c>
      <c r="T143" s="221">
        <f t="shared" si="126"/>
        <v>707</v>
      </c>
      <c r="U143" s="240">
        <f t="shared" si="126"/>
        <v>707</v>
      </c>
      <c r="V143" s="400">
        <f>SUM(G143+J143+M143+P143+S143)</f>
        <v>3</v>
      </c>
      <c r="W143" s="79"/>
      <c r="X143" s="79"/>
      <c r="Y143" s="79"/>
      <c r="Z143" s="79"/>
      <c r="AA143" s="79"/>
      <c r="AB143" s="79"/>
      <c r="AL143" s="169">
        <f>IF(AU143=0,0,IFERROR(INDEX(RanglisteST2!K:K,MATCH(AU143,RanglisteST2!A:A,0)),0))</f>
        <v>0</v>
      </c>
      <c r="AM143" s="169">
        <f>IF(AU143=0,0,SUMIF(AU137:AU145,AU143,AV137:AV145))</f>
        <v>707</v>
      </c>
      <c r="AN143" s="169">
        <f>IF(AU143=0,0,SUMIF(AU137:AU145,AU143,AW137:AW145))</f>
        <v>4</v>
      </c>
      <c r="AO143" s="169">
        <f t="shared" si="127"/>
        <v>176.75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38942</v>
      </c>
      <c r="AV143" s="167">
        <f t="shared" si="129"/>
        <v>707</v>
      </c>
      <c r="AW143" s="169">
        <f t="shared" si="130"/>
        <v>4</v>
      </c>
      <c r="AX143" s="169">
        <f t="shared" si="131"/>
        <v>4</v>
      </c>
      <c r="AY143" s="169">
        <f t="shared" si="132"/>
        <v>136</v>
      </c>
      <c r="AZ143" s="169" t="str">
        <f t="shared" si="133"/>
        <v/>
      </c>
      <c r="BA143" s="169">
        <f t="shared" si="134"/>
        <v>177</v>
      </c>
      <c r="BB143" s="169">
        <f t="shared" si="135"/>
        <v>187</v>
      </c>
      <c r="BC143" s="169">
        <f t="shared" si="136"/>
        <v>207</v>
      </c>
      <c r="BD143" s="170"/>
      <c r="BE143" s="168"/>
      <c r="BF143" s="169">
        <f t="shared" si="137"/>
        <v>207</v>
      </c>
      <c r="BG143" s="169">
        <f t="shared" si="138"/>
        <v>0</v>
      </c>
      <c r="BH143" s="169" t="str">
        <f t="shared" si="143"/>
        <v>Bowling Jugend Bayern 1</v>
      </c>
      <c r="BI143" s="168">
        <f t="shared" si="139"/>
        <v>2</v>
      </c>
      <c r="BJ143" s="169">
        <f t="shared" si="140"/>
        <v>707</v>
      </c>
      <c r="BK143" s="169">
        <f>IF(COUNTIF(AY143:BC143,"&gt;0")&lt;Spielorte!$A$23,0,AV143/Spielorte!$A$23)</f>
        <v>0</v>
      </c>
      <c r="BL143" s="169">
        <f t="shared" si="141"/>
        <v>0</v>
      </c>
      <c r="BM143" s="168">
        <f t="shared" si="142"/>
        <v>0</v>
      </c>
    </row>
    <row r="144" spans="1:65" ht="16.95" customHeight="1">
      <c r="A144" s="404"/>
      <c r="B144" s="58" t="str">
        <f>IF(C144=0,"",VLOOKUP(C144,Starter!$A$1:$D$196,2,FALSE))</f>
        <v>Raj, Milan</v>
      </c>
      <c r="C144" s="233">
        <v>38915</v>
      </c>
      <c r="D144" s="239">
        <f t="shared" si="120"/>
        <v>38</v>
      </c>
      <c r="E144" s="222"/>
      <c r="F144" s="241">
        <f t="shared" si="121"/>
        <v>0</v>
      </c>
      <c r="G144" s="429"/>
      <c r="H144" s="222">
        <v>115</v>
      </c>
      <c r="I144" s="241">
        <f t="shared" si="122"/>
        <v>153</v>
      </c>
      <c r="J144" s="429"/>
      <c r="K144" s="222"/>
      <c r="L144" s="241">
        <f t="shared" si="123"/>
        <v>0</v>
      </c>
      <c r="M144" s="429"/>
      <c r="N144" s="222"/>
      <c r="O144" s="241">
        <f t="shared" si="124"/>
        <v>0</v>
      </c>
      <c r="P144" s="429"/>
      <c r="Q144" s="222"/>
      <c r="R144" s="241">
        <f t="shared" si="125"/>
        <v>0</v>
      </c>
      <c r="S144" s="429"/>
      <c r="T144" s="222">
        <f t="shared" si="126"/>
        <v>115</v>
      </c>
      <c r="U144" s="241">
        <f t="shared" si="126"/>
        <v>153</v>
      </c>
      <c r="V144" s="401"/>
      <c r="W144" s="79"/>
      <c r="X144" s="79"/>
      <c r="Y144" s="79"/>
      <c r="Z144" s="79"/>
      <c r="AA144" s="79"/>
      <c r="AB144" s="79"/>
      <c r="AL144" s="169">
        <f>IF(AU144=0,0,IFERROR(INDEX(RanglisteST2!K:K,MATCH(AU144,RanglisteST2!A:A,0)),0))</f>
        <v>112.2</v>
      </c>
      <c r="AM144" s="169">
        <f>IF(AU144=0,0,SUMIF(AU137:AU145,AU144,AV137:AV145))</f>
        <v>266</v>
      </c>
      <c r="AN144" s="169">
        <f>IF(AU144=0,0,SUMIF(AU137:AU145,AU144,AW137:AW145))</f>
        <v>2</v>
      </c>
      <c r="AO144" s="169">
        <f t="shared" si="127"/>
        <v>133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38</v>
      </c>
      <c r="AQ144" s="166"/>
      <c r="AR144" s="167"/>
      <c r="AS144" s="167"/>
      <c r="AT144" s="168"/>
      <c r="AU144" s="171">
        <f t="shared" si="128"/>
        <v>38915</v>
      </c>
      <c r="AV144" s="167">
        <f t="shared" si="129"/>
        <v>115</v>
      </c>
      <c r="AW144" s="169">
        <f t="shared" si="130"/>
        <v>1</v>
      </c>
      <c r="AX144" s="169">
        <f t="shared" si="131"/>
        <v>1</v>
      </c>
      <c r="AY144" s="169" t="str">
        <f t="shared" si="132"/>
        <v/>
      </c>
      <c r="AZ144" s="169">
        <f t="shared" si="133"/>
        <v>115</v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115</v>
      </c>
      <c r="BG144" s="169">
        <f t="shared" si="138"/>
        <v>0</v>
      </c>
      <c r="BH144" s="169" t="str">
        <f t="shared" si="143"/>
        <v>Bowling Jugend Bayern 1</v>
      </c>
      <c r="BI144" s="168">
        <f t="shared" si="139"/>
        <v>2</v>
      </c>
      <c r="BJ144" s="169">
        <f t="shared" si="140"/>
        <v>115</v>
      </c>
      <c r="BK144" s="169">
        <f>IF(COUNTIF(AY144:BC144,"&gt;0")&lt;Spielorte!$A$23,0,AV144/Spielorte!$A$23)</f>
        <v>0</v>
      </c>
      <c r="BL144" s="169">
        <f t="shared" si="141"/>
        <v>0</v>
      </c>
      <c r="BM144" s="168">
        <f t="shared" si="142"/>
        <v>0</v>
      </c>
    </row>
    <row r="145" spans="1:65" ht="16.95" customHeight="1" thickBot="1">
      <c r="A145" s="405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30"/>
      <c r="H145" s="224"/>
      <c r="I145" s="242">
        <f t="shared" si="122"/>
        <v>0</v>
      </c>
      <c r="J145" s="430"/>
      <c r="K145" s="224"/>
      <c r="L145" s="242">
        <f t="shared" si="123"/>
        <v>0</v>
      </c>
      <c r="M145" s="430"/>
      <c r="N145" s="224"/>
      <c r="O145" s="242">
        <f t="shared" si="124"/>
        <v>0</v>
      </c>
      <c r="P145" s="430"/>
      <c r="Q145" s="224"/>
      <c r="R145" s="242">
        <f t="shared" si="125"/>
        <v>0</v>
      </c>
      <c r="S145" s="430"/>
      <c r="T145" s="224">
        <f t="shared" si="126"/>
        <v>0</v>
      </c>
      <c r="U145" s="242">
        <f t="shared" si="126"/>
        <v>0</v>
      </c>
      <c r="V145" s="402"/>
      <c r="W145" s="79"/>
      <c r="X145" s="79"/>
      <c r="Y145" s="79"/>
      <c r="Z145" s="79"/>
      <c r="AA145" s="79"/>
      <c r="AB145" s="79"/>
      <c r="AL145" s="169">
        <f>IF(AU145=0,0,IFERROR(INDEX(RanglisteST2!K:K,MATCH(AU145,RanglisteST2!A:A,0)),0))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0</v>
      </c>
      <c r="BH145" s="169" t="str">
        <f t="shared" si="143"/>
        <v>Bowling Jugend Bayern 1</v>
      </c>
      <c r="BI145" s="168">
        <f t="shared" si="139"/>
        <v>2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0</v>
      </c>
      <c r="BM145" s="168">
        <f t="shared" si="142"/>
        <v>0</v>
      </c>
    </row>
    <row r="146" spans="1:65" ht="27.75" customHeight="1" thickBot="1">
      <c r="B146" s="218" t="s">
        <v>1792</v>
      </c>
      <c r="C146" s="204"/>
      <c r="D146" s="219"/>
      <c r="E146" s="226">
        <f>ABS(SUM(E137:E139))+ABS(SUM(E140:E142))+ABS(SUM(E143:E145))</f>
        <v>448</v>
      </c>
      <c r="F146" s="225">
        <f>ABS(SUM(F137:F139))+ABS(SUM(F140:F142))+ABS(SUM(F143:F145))</f>
        <v>487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438</v>
      </c>
      <c r="I146" s="225">
        <f>ABS(SUM(I137:I139))+ABS(SUM(I140:I142))+ABS(SUM(I143:I145))</f>
        <v>515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480</v>
      </c>
      <c r="L146" s="225">
        <f>ABS(SUM(L137:L139))+ABS(SUM(L140:L142))+ABS(SUM(L143:L145))</f>
        <v>519</v>
      </c>
      <c r="M146" s="81">
        <f>IF(L146+K155=0,0,IF(L146=K155,Spielorte!$A$31/2,IF(L146&gt;K155,Spielorte!$A$31,0)))</f>
        <v>2</v>
      </c>
      <c r="N146" s="226">
        <f>ABS(SUM(N137:N139))+ABS(SUM(N140:N142))+ABS(SUM(N143:N145))</f>
        <v>407</v>
      </c>
      <c r="O146" s="225">
        <f>ABS(SUM(O137:O139))+ABS(SUM(O140:O142))+ABS(SUM(O143:O145))</f>
        <v>476</v>
      </c>
      <c r="P146" s="81">
        <f>IF(O146+N155=0,0,IF(O146=N155,Spielorte!$A$31/2,IF(O146&gt;N155,Spielorte!$A$31,0)))</f>
        <v>2</v>
      </c>
      <c r="Q146" s="226">
        <f>ABS(SUM(Q137:Q139))+ABS(SUM(Q140:Q142))+ABS(SUM(Q143:Q145))</f>
        <v>501</v>
      </c>
      <c r="R146" s="225">
        <f>ABS(SUM(R137:R139))+ABS(SUM(R140:R142))+ABS(SUM(R143:R145))</f>
        <v>560</v>
      </c>
      <c r="S146" s="81">
        <f>IF(R146+Q155=0,0,IF(R146=Q155,Spielorte!$A$31/2,IF(R146&gt;Q155,Spielorte!$A$31,0)))</f>
        <v>2</v>
      </c>
      <c r="T146" s="228">
        <f>SUM(E146+H146+K146+N146+Q146)</f>
        <v>2274</v>
      </c>
      <c r="U146" s="229">
        <f>SUM(F146+I146+L146+O146+R146)</f>
        <v>2557</v>
      </c>
      <c r="V146" s="12">
        <f>SUM(G146+J146+M146+P146+S146)</f>
        <v>6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>
      <c r="B147" s="230" t="s">
        <v>1803</v>
      </c>
      <c r="C147" s="1"/>
      <c r="D147" s="1"/>
      <c r="E147" s="1"/>
      <c r="F147" s="1"/>
      <c r="G147" s="61">
        <f>SUM(G137:G146)</f>
        <v>1</v>
      </c>
      <c r="H147" s="1"/>
      <c r="I147" s="1"/>
      <c r="J147" s="61">
        <f>SUM(J137:J146)</f>
        <v>1</v>
      </c>
      <c r="K147" s="1"/>
      <c r="L147" s="1"/>
      <c r="M147" s="61">
        <f>SUM(M137:M146)</f>
        <v>4</v>
      </c>
      <c r="N147" s="1"/>
      <c r="O147" s="1"/>
      <c r="P147" s="61">
        <f>SUM(P137:P146)</f>
        <v>4</v>
      </c>
      <c r="Q147" s="1"/>
      <c r="R147" s="1"/>
      <c r="S147" s="61">
        <f>SUM(S137:S146)</f>
        <v>4.5</v>
      </c>
      <c r="T147" s="1"/>
      <c r="U147" s="1"/>
      <c r="V147" s="61">
        <f>SUM(V137:V146)</f>
        <v>14.5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14.5</v>
      </c>
      <c r="AR147" s="167">
        <f>+T146</f>
        <v>2274</v>
      </c>
      <c r="AS147" s="167">
        <f>+U146</f>
        <v>2557</v>
      </c>
      <c r="AT147" s="168">
        <f>+B132</f>
        <v>6</v>
      </c>
      <c r="AW147" s="169">
        <f>SUM(AW131:AW146)</f>
        <v>15</v>
      </c>
      <c r="BD147" s="166">
        <f>+AS147/1000000+AQ147+AR147/1000000000000</f>
        <v>14.502557002273999</v>
      </c>
      <c r="BE147" s="168">
        <f>RANK(BD147,BD:BD)</f>
        <v>4</v>
      </c>
      <c r="BI147" s="168"/>
      <c r="BM147" s="168"/>
    </row>
    <row r="148" spans="1:65" ht="11.25" customHeight="1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>
      <c r="B149" s="231" t="s">
        <v>1790</v>
      </c>
      <c r="C149" s="210"/>
      <c r="D149" s="42"/>
      <c r="E149" s="434">
        <f>VLOOKUP($B132,Schlüssel!$A$5:$EK$12,23)</f>
        <v>7</v>
      </c>
      <c r="F149" s="435"/>
      <c r="G149" s="436"/>
      <c r="H149" s="434">
        <f>VLOOKUP($B132,Schlüssel!$A$5:$EK$12,24)</f>
        <v>1</v>
      </c>
      <c r="I149" s="435"/>
      <c r="J149" s="436"/>
      <c r="K149" s="434">
        <f>VLOOKUP($B132,Schlüssel!$A$5:$EK$12,25)</f>
        <v>8</v>
      </c>
      <c r="L149" s="435"/>
      <c r="M149" s="436"/>
      <c r="N149" s="434">
        <f>VLOOKUP($B132,Schlüssel!$A$5:$EK$12,26)</f>
        <v>2</v>
      </c>
      <c r="O149" s="435"/>
      <c r="P149" s="436"/>
      <c r="Q149" s="434">
        <f>VLOOKUP($B132,Schlüssel!$A$5:$EK$12,27)</f>
        <v>3</v>
      </c>
      <c r="R149" s="435"/>
      <c r="S149" s="436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>
      <c r="B150" s="3" t="s">
        <v>9</v>
      </c>
      <c r="C150" s="1"/>
      <c r="D150" s="1"/>
      <c r="E150" s="395" t="str">
        <f>VLOOKUP(E149,Schlüssel!$A$5:$K$12,2)</f>
        <v>BK München 1</v>
      </c>
      <c r="F150" s="438"/>
      <c r="G150" s="396"/>
      <c r="H150" s="395" t="str">
        <f>VLOOKUP(H149,Schlüssel!$A$5:$K$12,2)</f>
        <v>Bad Tölz 1</v>
      </c>
      <c r="I150" s="438"/>
      <c r="J150" s="396"/>
      <c r="K150" s="395" t="str">
        <f>VLOOKUP(K149,Schlüssel!$A$5:$K$12,2)</f>
        <v>EMAX 1</v>
      </c>
      <c r="L150" s="438"/>
      <c r="M150" s="396"/>
      <c r="N150" s="395" t="str">
        <f>VLOOKUP(N149,Schlüssel!$A$5:$K$12,2)</f>
        <v>Highroller Rosenheim 1</v>
      </c>
      <c r="O150" s="438"/>
      <c r="P150" s="396"/>
      <c r="Q150" s="395" t="str">
        <f>VLOOKUP(Q149,Schlüssel!$A$5:$K$12,2)</f>
        <v>Highroller Rosenheim 2</v>
      </c>
      <c r="R150" s="438"/>
      <c r="S150" s="396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" customHeight="1">
      <c r="B152" s="417" t="s">
        <v>2275</v>
      </c>
      <c r="C152" s="418"/>
      <c r="D152" s="419"/>
      <c r="E152" s="431">
        <f>ABS(INDEX(F:F,MATCH(E149,$B:$B,0)+5)+INDEX(F:F,MATCH(E149,$B:$B,0)+6)+INDEX(F:F,MATCH(E149,$B:$B,0)+7))</f>
        <v>188</v>
      </c>
      <c r="F152" s="432"/>
      <c r="G152" s="433"/>
      <c r="H152" s="431">
        <f>ABS(INDEX(I:I,MATCH(H149,$B:$B,0)+5)+INDEX(I:I,MATCH(H149,$B:$B,0)+6)+INDEX(I:I,MATCH(H149,$B:$B,0)+7))</f>
        <v>203</v>
      </c>
      <c r="I152" s="432"/>
      <c r="J152" s="433"/>
      <c r="K152" s="431">
        <f>ABS(INDEX(L:L,MATCH(K149,$B:$B,0)+5)+INDEX(L:L,MATCH(K149,$B:$B,0)+6)+INDEX(L:L,MATCH(K149,$B:$B,0)+7))</f>
        <v>165</v>
      </c>
      <c r="L152" s="432"/>
      <c r="M152" s="433"/>
      <c r="N152" s="431">
        <f>ABS(INDEX(O:O,MATCH(N149,$B:$B,0)+5)+INDEX(O:O,MATCH(N149,$B:$B,0)+6)+INDEX(O:O,MATCH(N149,$B:$B,0)+7))</f>
        <v>159</v>
      </c>
      <c r="O152" s="432"/>
      <c r="P152" s="433"/>
      <c r="Q152" s="431">
        <f>ABS(INDEX(R:R,MATCH(Q149,$B:$B,0)+5)+INDEX(R:R,MATCH(Q149,$B:$B,0)+6)+INDEX(R:R,MATCH(Q149,$B:$B,0)+7))</f>
        <v>141</v>
      </c>
      <c r="R152" s="432"/>
      <c r="S152" s="433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" customHeight="1">
      <c r="B153" s="417" t="s">
        <v>2276</v>
      </c>
      <c r="C153" s="418"/>
      <c r="D153" s="419"/>
      <c r="E153" s="424">
        <f>ABS(INDEX(F:F,MATCH(E149,$B:$B,0)+8)+INDEX(F:F,MATCH(E149,$B:$B,0)+9)+INDEX(F:F,MATCH(E149,$B:$B,0)+10))</f>
        <v>191</v>
      </c>
      <c r="F153" s="425"/>
      <c r="G153" s="426"/>
      <c r="H153" s="424">
        <f>ABS(INDEX(I:I,MATCH(H149,$B:$B,0)+8)+INDEX(I:I,MATCH(H149,$B:$B,0)+9)+INDEX(I:I,MATCH(H149,$B:$B,0)+10))</f>
        <v>160</v>
      </c>
      <c r="I153" s="425"/>
      <c r="J153" s="426"/>
      <c r="K153" s="424">
        <f>ABS(INDEX(L:L,MATCH(K149,$B:$B,0)+8)+INDEX(L:L,MATCH(K149,$B:$B,0)+9)+INDEX(L:L,MATCH(K149,$B:$B,0)+10))</f>
        <v>151</v>
      </c>
      <c r="L153" s="425"/>
      <c r="M153" s="426"/>
      <c r="N153" s="424">
        <f>ABS(INDEX(O:O,MATCH(N149,$B:$B,0)+8)+INDEX(O:O,MATCH(N149,$B:$B,0)+9)+INDEX(O:O,MATCH(N149,$B:$B,0)+10))</f>
        <v>131</v>
      </c>
      <c r="O153" s="425"/>
      <c r="P153" s="426"/>
      <c r="Q153" s="424">
        <f>ABS(INDEX(R:R,MATCH(Q149,$B:$B,0)+8)+INDEX(R:R,MATCH(Q149,$B:$B,0)+9)+INDEX(R:R,MATCH(Q149,$B:$B,0)+10))</f>
        <v>164</v>
      </c>
      <c r="R153" s="425"/>
      <c r="S153" s="426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" customHeight="1">
      <c r="B154" s="417" t="s">
        <v>2277</v>
      </c>
      <c r="C154" s="418"/>
      <c r="D154" s="419"/>
      <c r="E154" s="424">
        <f>ABS(INDEX(F:F,MATCH(E149,$B:$B,0)+11)+INDEX(F:F,MATCH(E149,$B:$B,0)+12)+INDEX(F:F,MATCH(E149,$B:$B,0)+13))</f>
        <v>227</v>
      </c>
      <c r="F154" s="425"/>
      <c r="G154" s="426"/>
      <c r="H154" s="424">
        <f>ABS(INDEX(I:I,MATCH(H149,$B:$B,0)+11)+INDEX(I:I,MATCH(H149,$B:$B,0)+12)+INDEX(I:I,MATCH(H149,$B:$B,0)+13))</f>
        <v>168</v>
      </c>
      <c r="I154" s="425"/>
      <c r="J154" s="426"/>
      <c r="K154" s="424">
        <f>ABS(INDEX(L:L,MATCH(K149,$B:$B,0)+11)+INDEX(L:L,MATCH(K149,$B:$B,0)+12)+INDEX(L:L,MATCH(K149,$B:$B,0)+13))</f>
        <v>165</v>
      </c>
      <c r="L154" s="425"/>
      <c r="M154" s="426"/>
      <c r="N154" s="424">
        <f>ABS(INDEX(O:O,MATCH(N149,$B:$B,0)+11)+INDEX(O:O,MATCH(N149,$B:$B,0)+12)+INDEX(O:O,MATCH(N149,$B:$B,0)+13))</f>
        <v>172</v>
      </c>
      <c r="O154" s="425"/>
      <c r="P154" s="426"/>
      <c r="Q154" s="424">
        <f>ABS(INDEX(R:R,MATCH(Q149,$B:$B,0)+11)+INDEX(R:R,MATCH(Q149,$B:$B,0)+12)+INDEX(R:R,MATCH(Q149,$B:$B,0)+13))</f>
        <v>172</v>
      </c>
      <c r="R154" s="425"/>
      <c r="S154" s="426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" customHeight="1">
      <c r="B155" s="420" t="s">
        <v>2278</v>
      </c>
      <c r="C155" s="421"/>
      <c r="D155" s="422"/>
      <c r="E155" s="407">
        <f>SUM(E152:E154)</f>
        <v>606</v>
      </c>
      <c r="F155" s="423"/>
      <c r="G155" s="408"/>
      <c r="H155" s="407">
        <f>SUM(H152:H154)</f>
        <v>531</v>
      </c>
      <c r="I155" s="423"/>
      <c r="J155" s="408"/>
      <c r="K155" s="407">
        <f>SUM(K152:K154)</f>
        <v>481</v>
      </c>
      <c r="L155" s="423"/>
      <c r="M155" s="408"/>
      <c r="N155" s="407">
        <f>SUM(N152:N154)</f>
        <v>462</v>
      </c>
      <c r="O155" s="423"/>
      <c r="P155" s="408"/>
      <c r="Q155" s="407">
        <f>SUM(Q152:Q154)</f>
        <v>477</v>
      </c>
      <c r="R155" s="423"/>
      <c r="S155" s="408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>
      <c r="A157" s="255"/>
      <c r="B157" s="7" t="s">
        <v>1802</v>
      </c>
      <c r="C157" s="24"/>
      <c r="D157" s="24"/>
      <c r="E157" s="35" t="s">
        <v>1786</v>
      </c>
      <c r="F157" s="35"/>
      <c r="G157" s="427" t="str">
        <f>Schlüssel!$C$1</f>
        <v>Landesliga Jugend</v>
      </c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  <c r="S157" s="406">
        <f>Schlüssel!$AG$1</f>
        <v>45717</v>
      </c>
      <c r="T157" s="406"/>
      <c r="U157" s="406"/>
      <c r="V157" s="406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>
      <c r="A158" s="53"/>
      <c r="B158" s="54">
        <v>7</v>
      </c>
      <c r="E158" s="35" t="s">
        <v>1787</v>
      </c>
      <c r="F158" s="35"/>
      <c r="G158" s="413" t="str">
        <f>Schlüssel!$W$2</f>
        <v>Unterföhring Dreambowl Palace</v>
      </c>
      <c r="H158" s="413"/>
      <c r="I158" s="413"/>
      <c r="J158" s="413"/>
      <c r="K158" s="413"/>
      <c r="L158" s="413"/>
      <c r="M158" s="413"/>
      <c r="N158" s="413"/>
      <c r="O158" s="413"/>
      <c r="P158" s="66"/>
      <c r="Q158" s="411" t="s">
        <v>1785</v>
      </c>
      <c r="R158" s="412"/>
      <c r="S158" s="38">
        <v>2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>
      <c r="B159" s="414" t="str">
        <f>VLOOKUP(B158,Schlüssel!$A$5:$B$12,2)</f>
        <v>BK München 1</v>
      </c>
      <c r="C159" s="415"/>
      <c r="D159" s="415"/>
      <c r="E159" s="415"/>
      <c r="F159" s="415"/>
      <c r="G159" s="416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3.8" hidden="1" thickBot="1">
      <c r="A160" s="6"/>
      <c r="B160" s="7"/>
      <c r="C160" s="43"/>
      <c r="D160" s="43"/>
      <c r="E160" s="162" t="s">
        <v>10</v>
      </c>
      <c r="F160" s="220"/>
      <c r="G160" s="159">
        <f>VLOOKUP(B158,Schlüssel!$A$5:$EK$12,33)</f>
        <v>16</v>
      </c>
      <c r="H160" s="161" t="s">
        <v>10</v>
      </c>
      <c r="I160" s="220"/>
      <c r="J160" s="159">
        <f>VLOOKUP(B158,Schlüssel!$A$5:$EK$12,34)</f>
        <v>10</v>
      </c>
      <c r="K160" s="161" t="s">
        <v>10</v>
      </c>
      <c r="L160" s="220"/>
      <c r="M160" s="159">
        <f>VLOOKUP(B158,Schlüssel!$A$5:$EK$12,35)</f>
        <v>14</v>
      </c>
      <c r="N160" s="161" t="s">
        <v>10</v>
      </c>
      <c r="O160" s="220"/>
      <c r="P160" s="159">
        <f>VLOOKUP(B158,Schlüssel!$A$5:$EK$12,36)</f>
        <v>9</v>
      </c>
      <c r="Q160" s="161" t="s">
        <v>10</v>
      </c>
      <c r="R160" s="220"/>
      <c r="S160" s="160">
        <f>VLOOKUP(B158,Schlüssel!$A$5:$EK$12,37)</f>
        <v>13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>
      <c r="B161" s="44" t="s">
        <v>1</v>
      </c>
      <c r="C161" s="208"/>
      <c r="D161" s="217"/>
      <c r="E161" s="423" t="s">
        <v>1793</v>
      </c>
      <c r="F161" s="423"/>
      <c r="G161" s="408"/>
      <c r="H161" s="407" t="s">
        <v>1794</v>
      </c>
      <c r="I161" s="423"/>
      <c r="J161" s="408"/>
      <c r="K161" s="407" t="s">
        <v>1795</v>
      </c>
      <c r="L161" s="423"/>
      <c r="M161" s="408"/>
      <c r="N161" s="407" t="s">
        <v>1796</v>
      </c>
      <c r="O161" s="423"/>
      <c r="P161" s="408"/>
      <c r="Q161" s="407" t="s">
        <v>1797</v>
      </c>
      <c r="R161" s="423"/>
      <c r="S161" s="437"/>
      <c r="T161" s="439" t="s">
        <v>1792</v>
      </c>
      <c r="U161" s="440"/>
      <c r="V161" s="410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6.95" customHeight="1">
      <c r="A163" s="403" t="s">
        <v>0</v>
      </c>
      <c r="B163" s="58" t="str">
        <f>IF(C163=0,"",VLOOKUP(C163,Starter!$A$1:$D$196,2,FALSE))</f>
        <v>Jakobi, Moritz</v>
      </c>
      <c r="C163" s="232">
        <v>38327</v>
      </c>
      <c r="D163" s="238">
        <f t="shared" ref="D163:D171" si="144">+AP163</f>
        <v>0</v>
      </c>
      <c r="E163" s="221">
        <v>188</v>
      </c>
      <c r="F163" s="240">
        <f t="shared" ref="F163:F171" si="145">IF(E163&gt;0,E163+$D163,0)</f>
        <v>188</v>
      </c>
      <c r="G163" s="428">
        <f>IF(SUM(F163:F165)+E178=0,0,IF(ABS(SUM(F163:F165))=E178,Spielorte!$A$30/2,IF(ABS(SUM(F163:F165))&gt;E178,Spielorte!$A$30,0)))</f>
        <v>0</v>
      </c>
      <c r="H163" s="221">
        <v>248</v>
      </c>
      <c r="I163" s="240">
        <f t="shared" ref="I163:I171" si="146">IF(H163&gt;0,H163+$D163,0)</f>
        <v>248</v>
      </c>
      <c r="J163" s="428">
        <f>IF(SUM(I163:I165)+H178=0,0,IF(ABS(SUM(I163:I165))=H178,Spielorte!$A$30/2,IF(ABS(SUM(I163:I165))&gt;H178,Spielorte!$A$30,0)))</f>
        <v>1</v>
      </c>
      <c r="K163" s="221">
        <v>243</v>
      </c>
      <c r="L163" s="240">
        <f t="shared" ref="L163:L171" si="147">IF(K163&gt;0,K163+$D163,0)</f>
        <v>243</v>
      </c>
      <c r="M163" s="428">
        <f>IF(SUM(L163:L165)+K178=0,0,IF(ABS(SUM(L163:L165))=K178,Spielorte!$A$30/2,IF(ABS(SUM(L163:L165))&gt;K178,Spielorte!$A$30,0)))</f>
        <v>1</v>
      </c>
      <c r="N163" s="221">
        <v>191</v>
      </c>
      <c r="O163" s="240">
        <f t="shared" ref="O163:O171" si="148">IF(N163&gt;0,N163+$D163,0)</f>
        <v>191</v>
      </c>
      <c r="P163" s="428">
        <f>IF(SUM(O163:O165)+N178=0,0,IF(ABS(SUM(O163:O165))=N178,Spielorte!$A$30/2,IF(ABS(SUM(O163:O165))&gt;N178,Spielorte!$A$30,0)))</f>
        <v>0</v>
      </c>
      <c r="Q163" s="221">
        <v>224</v>
      </c>
      <c r="R163" s="240">
        <f t="shared" ref="R163:R171" si="149">IF(Q163&gt;0,Q163+$D163,0)</f>
        <v>224</v>
      </c>
      <c r="S163" s="428">
        <f>IF(SUM(R163:R165)+Q178=0,0,IF(ABS(SUM(R163:R165))=Q178,Spielorte!$A$30/2,IF(ABS(SUM(R163:R165))&gt;Q178,Spielorte!$A$30,0)))</f>
        <v>1</v>
      </c>
      <c r="T163" s="221">
        <f t="shared" ref="T163:T171" si="150">ABS(SUM(E163:E163))+ABS(SUM(H163:H163))+ABS(SUM(K163:K163))+ABS(SUM(N163:N163))+ABS(SUM(Q163:Q163))</f>
        <v>1094</v>
      </c>
      <c r="U163" s="240">
        <f t="shared" ref="U163:U171" si="151">ABS(SUM(F163:F163))+ABS(SUM(I163:I163))+ABS(SUM(L163:L163))+ABS(SUM(O163:O163))+ABS(SUM(R163:R163))</f>
        <v>1094</v>
      </c>
      <c r="V163" s="400">
        <f>SUM(G163+J163+M163+P163+S163)</f>
        <v>3</v>
      </c>
      <c r="W163" s="79"/>
      <c r="X163" s="79"/>
      <c r="Y163" s="79"/>
      <c r="Z163" s="79"/>
      <c r="AA163" s="79"/>
      <c r="AB163" s="79"/>
      <c r="AL163" s="169">
        <f>IF(AU163=0,0,IFERROR(INDEX(RanglisteST2!K:K,MATCH(AU163,RanglisteST2!A:A,0)),0))</f>
        <v>196.4</v>
      </c>
      <c r="AM163" s="169">
        <f>IF(AU163=0,0,SUMIF(AU163:AU171,AU163,AV163:AV171))</f>
        <v>1094</v>
      </c>
      <c r="AN163" s="169">
        <f>IF(AU163=0,0,SUMIF(AU163:AU171,AU163,AW163:AW171))</f>
        <v>5</v>
      </c>
      <c r="AO163" s="169">
        <f t="shared" ref="AO163:AO171" si="152">IFERROR(AM163/AN163,0)</f>
        <v>218.8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38327</v>
      </c>
      <c r="AV163" s="167">
        <f t="shared" ref="AV163:AV171" si="154">T163</f>
        <v>1094</v>
      </c>
      <c r="AW163" s="169">
        <f t="shared" ref="AW163:AW171" si="155">COUNT(AY163:BC163)</f>
        <v>5</v>
      </c>
      <c r="AX163" s="169">
        <f t="shared" ref="AX163:AX171" si="156">COUNTIF(AY163:BC163,"&gt;0")</f>
        <v>5</v>
      </c>
      <c r="AY163" s="169">
        <f t="shared" ref="AY163:AY171" si="157">IF(E163=0,"",E163)</f>
        <v>188</v>
      </c>
      <c r="AZ163" s="169">
        <f t="shared" ref="AZ163:AZ171" si="158">IF(H163=0,"",H163)</f>
        <v>248</v>
      </c>
      <c r="BA163" s="169">
        <f t="shared" ref="BA163:BA171" si="159">IF(K163=0,"",K163)</f>
        <v>243</v>
      </c>
      <c r="BB163" s="169">
        <f t="shared" ref="BB163:BB171" si="160">IF(N163=0,"",N163)</f>
        <v>191</v>
      </c>
      <c r="BC163" s="169">
        <f t="shared" ref="BC163:BC171" si="161">IF(Q163=0,"",Q163)</f>
        <v>224</v>
      </c>
      <c r="BD163" s="170"/>
      <c r="BE163" s="168"/>
      <c r="BF163" s="169">
        <f t="shared" ref="BF163:BF171" si="162">MAX(AY163:BC163)</f>
        <v>248</v>
      </c>
      <c r="BG163" s="169">
        <f t="shared" ref="BG163:BG171" si="163">IF(BF163&lt;MAX(BF:BF),0,BF163+ROW()/1000000000)</f>
        <v>0</v>
      </c>
      <c r="BH163" s="169" t="str">
        <f>+B159</f>
        <v>BK München 1</v>
      </c>
      <c r="BI163" s="168">
        <f t="shared" ref="BI163:BI171" si="164">RANK(BG163,BG:BG)</f>
        <v>2</v>
      </c>
      <c r="BJ163" s="169">
        <f t="shared" ref="BJ163:BJ171" si="165">SUMIF(AY163:BC163,"&gt;0")</f>
        <v>1094</v>
      </c>
      <c r="BK163" s="169">
        <f>IF(COUNTIF(AY163:BC163,"&gt;0")&lt;Spielorte!$A$23,0,AV163/Spielorte!$A$23)</f>
        <v>218.8</v>
      </c>
      <c r="BL163" s="169">
        <f t="shared" ref="BL163:BL171" si="166">IF(BK163&lt;MAX(BK:BK),0,BK163+ROW()/1000000000)</f>
        <v>0</v>
      </c>
      <c r="BM163" s="168">
        <f t="shared" ref="BM163:BM171" si="167">IF(BL163=0,0,RANK(BL163,BL:BL))</f>
        <v>0</v>
      </c>
    </row>
    <row r="164" spans="1:65" ht="16.95" customHeight="1">
      <c r="A164" s="404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9"/>
      <c r="H164" s="222"/>
      <c r="I164" s="241">
        <f t="shared" si="146"/>
        <v>0</v>
      </c>
      <c r="J164" s="429"/>
      <c r="K164" s="222"/>
      <c r="L164" s="241">
        <f t="shared" si="147"/>
        <v>0</v>
      </c>
      <c r="M164" s="429"/>
      <c r="N164" s="222"/>
      <c r="O164" s="241">
        <f t="shared" si="148"/>
        <v>0</v>
      </c>
      <c r="P164" s="429"/>
      <c r="Q164" s="222"/>
      <c r="R164" s="241">
        <f t="shared" si="149"/>
        <v>0</v>
      </c>
      <c r="S164" s="429"/>
      <c r="T164" s="222">
        <f t="shared" si="150"/>
        <v>0</v>
      </c>
      <c r="U164" s="241">
        <f t="shared" si="151"/>
        <v>0</v>
      </c>
      <c r="V164" s="401"/>
      <c r="W164" s="79"/>
      <c r="X164" s="79"/>
      <c r="Y164" s="79"/>
      <c r="Z164" s="79"/>
      <c r="AA164" s="79"/>
      <c r="AB164" s="79"/>
      <c r="AL164" s="169">
        <f>IF(AU164=0,0,IFERROR(INDEX(RanglisteST2!K:K,MATCH(AU164,RanglisteST2!A:A,0)),0))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0</v>
      </c>
      <c r="BH164" s="169" t="str">
        <f t="shared" ref="BH164:BH171" si="168">+BH163</f>
        <v>BK München 1</v>
      </c>
      <c r="BI164" s="168">
        <f t="shared" si="164"/>
        <v>2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0</v>
      </c>
      <c r="BM164" s="168">
        <f t="shared" si="167"/>
        <v>0</v>
      </c>
    </row>
    <row r="165" spans="1:65" ht="16.95" customHeight="1" thickBot="1">
      <c r="A165" s="405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30"/>
      <c r="H165" s="224"/>
      <c r="I165" s="242">
        <f t="shared" si="146"/>
        <v>0</v>
      </c>
      <c r="J165" s="430"/>
      <c r="K165" s="224"/>
      <c r="L165" s="242">
        <f t="shared" si="147"/>
        <v>0</v>
      </c>
      <c r="M165" s="430"/>
      <c r="N165" s="224"/>
      <c r="O165" s="242">
        <f t="shared" si="148"/>
        <v>0</v>
      </c>
      <c r="P165" s="430"/>
      <c r="Q165" s="224"/>
      <c r="R165" s="242">
        <f t="shared" si="149"/>
        <v>0</v>
      </c>
      <c r="S165" s="430"/>
      <c r="T165" s="224">
        <f t="shared" si="150"/>
        <v>0</v>
      </c>
      <c r="U165" s="242">
        <f t="shared" si="151"/>
        <v>0</v>
      </c>
      <c r="V165" s="402"/>
      <c r="W165" s="79"/>
      <c r="X165" s="79"/>
      <c r="Y165" s="79"/>
      <c r="Z165" s="79"/>
      <c r="AA165" s="79"/>
      <c r="AB165" s="79"/>
      <c r="AL165" s="169">
        <f>IF(AU165=0,0,IFERROR(INDEX(RanglisteST2!K:K,MATCH(AU165,RanglisteST2!A:A,0)),0))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0</v>
      </c>
      <c r="BH165" s="169" t="str">
        <f t="shared" si="168"/>
        <v>BK München 1</v>
      </c>
      <c r="BI165" s="168">
        <f t="shared" si="164"/>
        <v>2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0</v>
      </c>
      <c r="BM165" s="168">
        <f t="shared" si="167"/>
        <v>0</v>
      </c>
    </row>
    <row r="166" spans="1:65" ht="16.95" customHeight="1">
      <c r="A166" s="403" t="s">
        <v>2</v>
      </c>
      <c r="B166" s="58" t="str">
        <f>IF(C166=0,"",VLOOKUP(C166,Starter!$A$1:$D$196,2,FALSE))</f>
        <v>Lauchner, Julian</v>
      </c>
      <c r="C166" s="235">
        <v>38334</v>
      </c>
      <c r="D166" s="238">
        <f t="shared" si="144"/>
        <v>0</v>
      </c>
      <c r="E166" s="221">
        <v>191</v>
      </c>
      <c r="F166" s="240">
        <f t="shared" si="145"/>
        <v>191</v>
      </c>
      <c r="G166" s="428">
        <f>IF(SUM(F166:F168)+E179=0,0,IF(ABS(SUM(F166:F168))=E179,Spielorte!$A$30/2,IF(ABS(SUM(F166:F168))&gt;E179,Spielorte!$A$30,0)))</f>
        <v>1</v>
      </c>
      <c r="H166" s="221">
        <v>194</v>
      </c>
      <c r="I166" s="240">
        <f t="shared" si="146"/>
        <v>194</v>
      </c>
      <c r="J166" s="428">
        <f>IF(SUM(I166:I168)+H179=0,0,IF(ABS(SUM(I166:I168))=H179,Spielorte!$A$30/2,IF(ABS(SUM(I166:I168))&gt;H179,Spielorte!$A$30,0)))</f>
        <v>1</v>
      </c>
      <c r="K166" s="221">
        <v>193</v>
      </c>
      <c r="L166" s="240">
        <f t="shared" si="147"/>
        <v>193</v>
      </c>
      <c r="M166" s="428">
        <f>IF(SUM(L166:L168)+K179=0,0,IF(ABS(SUM(L166:L168))=K179,Spielorte!$A$30/2,IF(ABS(SUM(L166:L168))&gt;K179,Spielorte!$A$30,0)))</f>
        <v>1</v>
      </c>
      <c r="N166" s="221">
        <v>200</v>
      </c>
      <c r="O166" s="240">
        <f t="shared" si="148"/>
        <v>200</v>
      </c>
      <c r="P166" s="428">
        <f>IF(SUM(O166:O168)+N179=0,0,IF(ABS(SUM(O166:O168))=N179,Spielorte!$A$30/2,IF(ABS(SUM(O166:O168))&gt;N179,Spielorte!$A$30,0)))</f>
        <v>1</v>
      </c>
      <c r="Q166" s="221">
        <v>167</v>
      </c>
      <c r="R166" s="240">
        <f t="shared" si="149"/>
        <v>167</v>
      </c>
      <c r="S166" s="428">
        <f>IF(SUM(R166:R168)+Q179=0,0,IF(ABS(SUM(R166:R168))=Q179,Spielorte!$A$30/2,IF(ABS(SUM(R166:R168))&gt;Q179,Spielorte!$A$30,0)))</f>
        <v>1</v>
      </c>
      <c r="T166" s="221">
        <f t="shared" si="150"/>
        <v>945</v>
      </c>
      <c r="U166" s="240">
        <f t="shared" si="151"/>
        <v>945</v>
      </c>
      <c r="V166" s="400">
        <f>SUM(G166+J166+M166+P166+S166)</f>
        <v>5</v>
      </c>
      <c r="W166" s="79"/>
      <c r="X166" s="79"/>
      <c r="Y166" s="79"/>
      <c r="Z166" s="79"/>
      <c r="AA166" s="79"/>
      <c r="AB166" s="79"/>
      <c r="AL166" s="169">
        <f>IF(AU166=0,0,IFERROR(INDEX(RanglisteST2!K:K,MATCH(AU166,RanglisteST2!A:A,0)),0))</f>
        <v>185.04</v>
      </c>
      <c r="AM166" s="169">
        <f>IF(AU166=0,0,SUMIF(AU163:AU171,AU166,AV163:AV171))</f>
        <v>945</v>
      </c>
      <c r="AN166" s="169">
        <f>IF(AU166=0,0,SUMIF(AU163:AU171,AU166,AW163:AW171))</f>
        <v>5</v>
      </c>
      <c r="AO166" s="169">
        <f t="shared" si="152"/>
        <v>189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38334</v>
      </c>
      <c r="AV166" s="167">
        <f t="shared" si="154"/>
        <v>945</v>
      </c>
      <c r="AW166" s="169">
        <f t="shared" si="155"/>
        <v>5</v>
      </c>
      <c r="AX166" s="169">
        <f t="shared" si="156"/>
        <v>5</v>
      </c>
      <c r="AY166" s="169">
        <f t="shared" si="157"/>
        <v>191</v>
      </c>
      <c r="AZ166" s="169">
        <f t="shared" si="158"/>
        <v>194</v>
      </c>
      <c r="BA166" s="169">
        <f t="shared" si="159"/>
        <v>193</v>
      </c>
      <c r="BB166" s="169">
        <f t="shared" si="160"/>
        <v>200</v>
      </c>
      <c r="BC166" s="169">
        <f t="shared" si="161"/>
        <v>167</v>
      </c>
      <c r="BD166" s="170"/>
      <c r="BE166" s="168"/>
      <c r="BF166" s="169">
        <f t="shared" si="162"/>
        <v>200</v>
      </c>
      <c r="BG166" s="169">
        <f t="shared" si="163"/>
        <v>0</v>
      </c>
      <c r="BH166" s="169" t="str">
        <f t="shared" si="168"/>
        <v>BK München 1</v>
      </c>
      <c r="BI166" s="168">
        <f t="shared" si="164"/>
        <v>2</v>
      </c>
      <c r="BJ166" s="169">
        <f t="shared" si="165"/>
        <v>945</v>
      </c>
      <c r="BK166" s="169">
        <f>IF(COUNTIF(AY166:BC166,"&gt;0")&lt;Spielorte!$A$23,0,AV166/Spielorte!$A$23)</f>
        <v>189</v>
      </c>
      <c r="BL166" s="169">
        <f t="shared" si="166"/>
        <v>0</v>
      </c>
      <c r="BM166" s="168">
        <f t="shared" si="167"/>
        <v>0</v>
      </c>
    </row>
    <row r="167" spans="1:65" ht="16.95" customHeight="1">
      <c r="A167" s="404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9"/>
      <c r="H167" s="222"/>
      <c r="I167" s="241">
        <f t="shared" si="146"/>
        <v>0</v>
      </c>
      <c r="J167" s="429"/>
      <c r="K167" s="222"/>
      <c r="L167" s="241">
        <f t="shared" si="147"/>
        <v>0</v>
      </c>
      <c r="M167" s="429"/>
      <c r="N167" s="222"/>
      <c r="O167" s="241">
        <f t="shared" si="148"/>
        <v>0</v>
      </c>
      <c r="P167" s="429"/>
      <c r="Q167" s="222"/>
      <c r="R167" s="241">
        <f t="shared" si="149"/>
        <v>0</v>
      </c>
      <c r="S167" s="429"/>
      <c r="T167" s="222">
        <f t="shared" si="150"/>
        <v>0</v>
      </c>
      <c r="U167" s="241">
        <f t="shared" si="151"/>
        <v>0</v>
      </c>
      <c r="V167" s="401"/>
      <c r="W167" s="79"/>
      <c r="X167" s="79"/>
      <c r="Y167" s="79"/>
      <c r="Z167" s="79"/>
      <c r="AA167" s="79"/>
      <c r="AB167" s="79"/>
      <c r="AL167" s="169">
        <f>IF(AU167=0,0,IFERROR(INDEX(RanglisteST2!K:K,MATCH(AU167,RanglisteST2!A:A,0)),0))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0</v>
      </c>
      <c r="BH167" s="169" t="str">
        <f t="shared" si="168"/>
        <v>BK München 1</v>
      </c>
      <c r="BI167" s="168">
        <f t="shared" si="164"/>
        <v>2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0</v>
      </c>
      <c r="BM167" s="168">
        <f t="shared" si="167"/>
        <v>0</v>
      </c>
    </row>
    <row r="168" spans="1:65" ht="16.95" customHeight="1" thickBot="1">
      <c r="A168" s="405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30"/>
      <c r="H168" s="224"/>
      <c r="I168" s="242">
        <f t="shared" si="146"/>
        <v>0</v>
      </c>
      <c r="J168" s="430"/>
      <c r="K168" s="224"/>
      <c r="L168" s="242">
        <f t="shared" si="147"/>
        <v>0</v>
      </c>
      <c r="M168" s="430"/>
      <c r="N168" s="224"/>
      <c r="O168" s="242">
        <f t="shared" si="148"/>
        <v>0</v>
      </c>
      <c r="P168" s="430"/>
      <c r="Q168" s="224"/>
      <c r="R168" s="242">
        <f t="shared" si="149"/>
        <v>0</v>
      </c>
      <c r="S168" s="430"/>
      <c r="T168" s="224">
        <f t="shared" si="150"/>
        <v>0</v>
      </c>
      <c r="U168" s="242">
        <f t="shared" si="151"/>
        <v>0</v>
      </c>
      <c r="V168" s="402"/>
      <c r="W168" s="79"/>
      <c r="X168" s="79"/>
      <c r="Y168" s="79"/>
      <c r="Z168" s="79"/>
      <c r="AA168" s="79"/>
      <c r="AB168" s="79"/>
      <c r="AL168" s="169">
        <f>IF(AU168=0,0,IFERROR(INDEX(RanglisteST2!K:K,MATCH(AU168,RanglisteST2!A:A,0)),0))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0</v>
      </c>
      <c r="BH168" s="169" t="str">
        <f t="shared" si="168"/>
        <v>BK München 1</v>
      </c>
      <c r="BI168" s="168">
        <f t="shared" si="164"/>
        <v>2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0</v>
      </c>
      <c r="BM168" s="168">
        <f t="shared" si="167"/>
        <v>0</v>
      </c>
    </row>
    <row r="169" spans="1:65" ht="16.95" customHeight="1">
      <c r="A169" s="403" t="s">
        <v>3</v>
      </c>
      <c r="B169" s="58" t="str">
        <f>IF(C169=0,"",VLOOKUP(C169,Starter!$A$1:$D$196,2,FALSE))</f>
        <v>Gründl, Alexander</v>
      </c>
      <c r="C169" s="235">
        <v>38708</v>
      </c>
      <c r="D169" s="238">
        <f t="shared" si="144"/>
        <v>0</v>
      </c>
      <c r="E169" s="221">
        <v>227</v>
      </c>
      <c r="F169" s="240">
        <f t="shared" si="145"/>
        <v>227</v>
      </c>
      <c r="G169" s="428">
        <f>IF(SUM(F169:F171)+E180=0,0,IF(ABS(SUM(F169:F171))=E180,Spielorte!$A$30/2,IF(ABS(SUM(F169:F171))&gt;E180,Spielorte!$A$30,0)))</f>
        <v>1</v>
      </c>
      <c r="H169" s="221">
        <v>182</v>
      </c>
      <c r="I169" s="240">
        <f t="shared" si="146"/>
        <v>182</v>
      </c>
      <c r="J169" s="428">
        <f>IF(SUM(I169:I171)+H180=0,0,IF(ABS(SUM(I169:I171))=H180,Spielorte!$A$30/2,IF(ABS(SUM(I169:I171))&gt;H180,Spielorte!$A$30,0)))</f>
        <v>0</v>
      </c>
      <c r="K169" s="221">
        <v>218</v>
      </c>
      <c r="L169" s="240">
        <f t="shared" si="147"/>
        <v>218</v>
      </c>
      <c r="M169" s="428">
        <f>IF(SUM(L169:L171)+K180=0,0,IF(ABS(SUM(L169:L171))=K180,Spielorte!$A$30/2,IF(ABS(SUM(L169:L171))&gt;K180,Spielorte!$A$30,0)))</f>
        <v>1</v>
      </c>
      <c r="N169" s="221">
        <v>201</v>
      </c>
      <c r="O169" s="240">
        <f t="shared" si="148"/>
        <v>201</v>
      </c>
      <c r="P169" s="428">
        <f>IF(SUM(O169:O171)+N180=0,0,IF(ABS(SUM(O169:O171))=N180,Spielorte!$A$30/2,IF(ABS(SUM(O169:O171))&gt;N180,Spielorte!$A$30,0)))</f>
        <v>1</v>
      </c>
      <c r="Q169" s="221">
        <v>279</v>
      </c>
      <c r="R169" s="240">
        <f t="shared" si="149"/>
        <v>279</v>
      </c>
      <c r="S169" s="428">
        <f>IF(SUM(R169:R171)+Q180=0,0,IF(ABS(SUM(R169:R171))=Q180,Spielorte!$A$30/2,IF(ABS(SUM(R169:R171))&gt;Q180,Spielorte!$A$30,0)))</f>
        <v>1</v>
      </c>
      <c r="T169" s="221">
        <f t="shared" si="150"/>
        <v>1107</v>
      </c>
      <c r="U169" s="240">
        <f t="shared" si="151"/>
        <v>1107</v>
      </c>
      <c r="V169" s="400">
        <f>SUM(G169+J169+M169+P169+S169)</f>
        <v>4</v>
      </c>
      <c r="W169" s="79"/>
      <c r="X169" s="79"/>
      <c r="Y169" s="79"/>
      <c r="Z169" s="79"/>
      <c r="AA169" s="79"/>
      <c r="AB169" s="79"/>
      <c r="AL169" s="169">
        <f>IF(AU169=0,0,IFERROR(INDEX(RanglisteST2!K:K,MATCH(AU169,RanglisteST2!A:A,0)),0))</f>
        <v>207.34</v>
      </c>
      <c r="AM169" s="169">
        <f>IF(AU169=0,0,SUMIF(AU163:AU171,AU169,AV163:AV171))</f>
        <v>1107</v>
      </c>
      <c r="AN169" s="169">
        <f>IF(AU169=0,0,SUMIF(AU163:AU171,AU169,AW163:AW171))</f>
        <v>5</v>
      </c>
      <c r="AO169" s="169">
        <f t="shared" si="152"/>
        <v>221.4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38708</v>
      </c>
      <c r="AV169" s="167">
        <f t="shared" si="154"/>
        <v>1107</v>
      </c>
      <c r="AW169" s="169">
        <f t="shared" si="155"/>
        <v>5</v>
      </c>
      <c r="AX169" s="169">
        <f t="shared" si="156"/>
        <v>5</v>
      </c>
      <c r="AY169" s="169">
        <f t="shared" si="157"/>
        <v>227</v>
      </c>
      <c r="AZ169" s="169">
        <f t="shared" si="158"/>
        <v>182</v>
      </c>
      <c r="BA169" s="169">
        <f t="shared" si="159"/>
        <v>218</v>
      </c>
      <c r="BB169" s="169">
        <f t="shared" si="160"/>
        <v>201</v>
      </c>
      <c r="BC169" s="169">
        <f t="shared" si="161"/>
        <v>279</v>
      </c>
      <c r="BD169" s="170"/>
      <c r="BE169" s="168"/>
      <c r="BF169" s="169">
        <f t="shared" si="162"/>
        <v>279</v>
      </c>
      <c r="BG169" s="169">
        <f t="shared" si="163"/>
        <v>279.00000016899997</v>
      </c>
      <c r="BH169" s="169" t="str">
        <f t="shared" si="168"/>
        <v>BK München 1</v>
      </c>
      <c r="BI169" s="168">
        <f t="shared" si="164"/>
        <v>1</v>
      </c>
      <c r="BJ169" s="169">
        <f t="shared" si="165"/>
        <v>1107</v>
      </c>
      <c r="BK169" s="169">
        <f>IF(COUNTIF(AY169:BC169,"&gt;0")&lt;Spielorte!$A$23,0,AV169/Spielorte!$A$23)</f>
        <v>221.4</v>
      </c>
      <c r="BL169" s="169">
        <f t="shared" si="166"/>
        <v>221.40000016900001</v>
      </c>
      <c r="BM169" s="168">
        <f t="shared" si="167"/>
        <v>1</v>
      </c>
    </row>
    <row r="170" spans="1:65" ht="16.95" customHeight="1">
      <c r="A170" s="404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9"/>
      <c r="H170" s="222"/>
      <c r="I170" s="241">
        <f t="shared" si="146"/>
        <v>0</v>
      </c>
      <c r="J170" s="429"/>
      <c r="K170" s="222"/>
      <c r="L170" s="241">
        <f t="shared" si="147"/>
        <v>0</v>
      </c>
      <c r="M170" s="429"/>
      <c r="N170" s="222"/>
      <c r="O170" s="241">
        <f t="shared" si="148"/>
        <v>0</v>
      </c>
      <c r="P170" s="429"/>
      <c r="Q170" s="222"/>
      <c r="R170" s="241">
        <f t="shared" si="149"/>
        <v>0</v>
      </c>
      <c r="S170" s="429"/>
      <c r="T170" s="222">
        <f t="shared" si="150"/>
        <v>0</v>
      </c>
      <c r="U170" s="241">
        <f t="shared" si="151"/>
        <v>0</v>
      </c>
      <c r="V170" s="401"/>
      <c r="W170" s="79"/>
      <c r="X170" s="79"/>
      <c r="Y170" s="79"/>
      <c r="Z170" s="79"/>
      <c r="AA170" s="79"/>
      <c r="AB170" s="79"/>
      <c r="AL170" s="169">
        <f>IF(AU170=0,0,IFERROR(INDEX(RanglisteST2!K:K,MATCH(AU170,RanglisteST2!A:A,0)),0))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0</v>
      </c>
      <c r="BH170" s="169" t="str">
        <f t="shared" si="168"/>
        <v>BK München 1</v>
      </c>
      <c r="BI170" s="168">
        <f t="shared" si="164"/>
        <v>2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0</v>
      </c>
      <c r="BM170" s="168">
        <f t="shared" si="167"/>
        <v>0</v>
      </c>
    </row>
    <row r="171" spans="1:65" ht="16.95" customHeight="1" thickBot="1">
      <c r="A171" s="405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30"/>
      <c r="H171" s="224"/>
      <c r="I171" s="242">
        <f t="shared" si="146"/>
        <v>0</v>
      </c>
      <c r="J171" s="430"/>
      <c r="K171" s="224"/>
      <c r="L171" s="242">
        <f t="shared" si="147"/>
        <v>0</v>
      </c>
      <c r="M171" s="430"/>
      <c r="N171" s="224"/>
      <c r="O171" s="242">
        <f t="shared" si="148"/>
        <v>0</v>
      </c>
      <c r="P171" s="430"/>
      <c r="Q171" s="224"/>
      <c r="R171" s="242">
        <f t="shared" si="149"/>
        <v>0</v>
      </c>
      <c r="S171" s="430"/>
      <c r="T171" s="224">
        <f t="shared" si="150"/>
        <v>0</v>
      </c>
      <c r="U171" s="242">
        <f t="shared" si="151"/>
        <v>0</v>
      </c>
      <c r="V171" s="402"/>
      <c r="W171" s="79"/>
      <c r="X171" s="79"/>
      <c r="Y171" s="79"/>
      <c r="Z171" s="79"/>
      <c r="AA171" s="79"/>
      <c r="AB171" s="79"/>
      <c r="AL171" s="169">
        <f>IF(AU171=0,0,IFERROR(INDEX(RanglisteST2!K:K,MATCH(AU171,RanglisteST2!A:A,0)),0))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0</v>
      </c>
      <c r="BH171" s="169" t="str">
        <f t="shared" si="168"/>
        <v>BK München 1</v>
      </c>
      <c r="BI171" s="168">
        <f t="shared" si="164"/>
        <v>2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0</v>
      </c>
      <c r="BM171" s="168">
        <f t="shared" si="167"/>
        <v>0</v>
      </c>
    </row>
    <row r="172" spans="1:65" ht="27.75" customHeight="1" thickBot="1">
      <c r="B172" s="218" t="s">
        <v>1792</v>
      </c>
      <c r="C172" s="204"/>
      <c r="D172" s="219"/>
      <c r="E172" s="226">
        <f>ABS(SUM(E163:E165))+ABS(SUM(E166:E168))+ABS(SUM(E169:E171))</f>
        <v>606</v>
      </c>
      <c r="F172" s="225">
        <f>ABS(SUM(F163:F165))+ABS(SUM(F166:F168))+ABS(SUM(F169:F171))</f>
        <v>606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624</v>
      </c>
      <c r="I172" s="225">
        <f>ABS(SUM(I163:I165))+ABS(SUM(I166:I168))+ABS(SUM(I169:I171))</f>
        <v>624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654</v>
      </c>
      <c r="L172" s="225">
        <f>ABS(SUM(L163:L165))+ABS(SUM(L166:L168))+ABS(SUM(L169:L171))</f>
        <v>654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592</v>
      </c>
      <c r="O172" s="225">
        <f>ABS(SUM(O163:O165))+ABS(SUM(O166:O168))+ABS(SUM(O169:O171))</f>
        <v>592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670</v>
      </c>
      <c r="R172" s="225">
        <f>ABS(SUM(R163:R165))+ABS(SUM(R166:R168))+ABS(SUM(R169:R171))</f>
        <v>670</v>
      </c>
      <c r="S172" s="81">
        <f>IF(R172+Q181=0,0,IF(R172=Q181,Spielorte!$A$31/2,IF(R172&gt;Q181,Spielorte!$A$31,0)))</f>
        <v>2</v>
      </c>
      <c r="T172" s="228">
        <f>SUM(E172+H172+K172+N172+Q172)</f>
        <v>3146</v>
      </c>
      <c r="U172" s="229">
        <f>SUM(F172+I172+L172+O172+R172)</f>
        <v>3146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>
      <c r="B173" s="230" t="s">
        <v>1803</v>
      </c>
      <c r="C173" s="1"/>
      <c r="D173" s="1"/>
      <c r="E173" s="1"/>
      <c r="F173" s="1"/>
      <c r="G173" s="61">
        <f>SUM(G163:G172)</f>
        <v>4</v>
      </c>
      <c r="H173" s="1"/>
      <c r="I173" s="1"/>
      <c r="J173" s="61">
        <f>SUM(J163:J172)</f>
        <v>4</v>
      </c>
      <c r="K173" s="1"/>
      <c r="L173" s="1"/>
      <c r="M173" s="61">
        <f>SUM(M163:M172)</f>
        <v>5</v>
      </c>
      <c r="N173" s="1"/>
      <c r="O173" s="1"/>
      <c r="P173" s="61">
        <f>SUM(P163:P172)</f>
        <v>4</v>
      </c>
      <c r="Q173" s="1"/>
      <c r="R173" s="1"/>
      <c r="S173" s="61">
        <f>SUM(S163:S172)</f>
        <v>5</v>
      </c>
      <c r="T173" s="1"/>
      <c r="U173" s="1"/>
      <c r="V173" s="61">
        <f>SUM(V163:V172)</f>
        <v>22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22</v>
      </c>
      <c r="AR173" s="167">
        <f>+T172</f>
        <v>3146</v>
      </c>
      <c r="AS173" s="167">
        <f>+U172</f>
        <v>3146</v>
      </c>
      <c r="AT173" s="168">
        <f>+B158</f>
        <v>7</v>
      </c>
      <c r="AW173" s="169">
        <f>SUM(AW157:AW172)</f>
        <v>15</v>
      </c>
      <c r="BD173" s="166">
        <f>+AS173/1000000+AQ173+AR173/1000000000000</f>
        <v>22.003146003146</v>
      </c>
      <c r="BE173" s="168">
        <f>RANK(BD173,BD:BD)</f>
        <v>1</v>
      </c>
      <c r="BI173" s="168"/>
      <c r="BM173" s="168"/>
    </row>
    <row r="174" spans="1:65" ht="11.25" customHeight="1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>
      <c r="B175" s="231" t="s">
        <v>1790</v>
      </c>
      <c r="C175" s="210"/>
      <c r="D175" s="42"/>
      <c r="E175" s="434">
        <f>VLOOKUP($B158,Schlüssel!$A$5:$EK$12,23)</f>
        <v>6</v>
      </c>
      <c r="F175" s="435"/>
      <c r="G175" s="436"/>
      <c r="H175" s="434">
        <f>VLOOKUP($B158,Schlüssel!$A$5:$EK$12,24)</f>
        <v>4</v>
      </c>
      <c r="I175" s="435"/>
      <c r="J175" s="436"/>
      <c r="K175" s="434">
        <f>VLOOKUP($B158,Schlüssel!$A$5:$EK$12,25)</f>
        <v>5</v>
      </c>
      <c r="L175" s="435"/>
      <c r="M175" s="436"/>
      <c r="N175" s="434">
        <f>VLOOKUP($B158,Schlüssel!$A$5:$EK$12,26)</f>
        <v>3</v>
      </c>
      <c r="O175" s="435"/>
      <c r="P175" s="436"/>
      <c r="Q175" s="434">
        <f>VLOOKUP($B158,Schlüssel!$A$5:$EK$12,27)</f>
        <v>2</v>
      </c>
      <c r="R175" s="435"/>
      <c r="S175" s="436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>
      <c r="B176" s="3" t="s">
        <v>9</v>
      </c>
      <c r="C176" s="1"/>
      <c r="D176" s="1"/>
      <c r="E176" s="395" t="str">
        <f>VLOOKUP(E175,Schlüssel!$A$5:$K$12,2)</f>
        <v>Bowling Jugend Bayern 1</v>
      </c>
      <c r="F176" s="438"/>
      <c r="G176" s="396"/>
      <c r="H176" s="395" t="str">
        <f>VLOOKUP(H175,Schlüssel!$A$5:$K$12,2)</f>
        <v>Highroller Rosenheim 3</v>
      </c>
      <c r="I176" s="438"/>
      <c r="J176" s="396"/>
      <c r="K176" s="395" t="str">
        <f>VLOOKUP(K175,Schlüssel!$A$5:$K$12,2)</f>
        <v>Berchtesgaden 1</v>
      </c>
      <c r="L176" s="438"/>
      <c r="M176" s="396"/>
      <c r="N176" s="395" t="str">
        <f>VLOOKUP(N175,Schlüssel!$A$5:$K$12,2)</f>
        <v>Highroller Rosenheim 2</v>
      </c>
      <c r="O176" s="438"/>
      <c r="P176" s="396"/>
      <c r="Q176" s="395" t="str">
        <f>VLOOKUP(Q175,Schlüssel!$A$5:$K$12,2)</f>
        <v>Highroller Rosenheim 1</v>
      </c>
      <c r="R176" s="438"/>
      <c r="S176" s="396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" customHeight="1">
      <c r="B178" s="417" t="s">
        <v>2275</v>
      </c>
      <c r="C178" s="418"/>
      <c r="D178" s="419"/>
      <c r="E178" s="431">
        <f>ABS(INDEX(F:F,MATCH(E175,$B:$B,0)+5)+INDEX(F:F,MATCH(E175,$B:$B,0)+6)+INDEX(F:F,MATCH(E175,$B:$B,0)+7))</f>
        <v>200</v>
      </c>
      <c r="F178" s="432"/>
      <c r="G178" s="433"/>
      <c r="H178" s="431">
        <f>ABS(INDEX(I:I,MATCH(H175,$B:$B,0)+5)+INDEX(I:I,MATCH(H175,$B:$B,0)+6)+INDEX(I:I,MATCH(H175,$B:$B,0)+7))</f>
        <v>170</v>
      </c>
      <c r="I178" s="432"/>
      <c r="J178" s="433"/>
      <c r="K178" s="431">
        <f>ABS(INDEX(L:L,MATCH(K175,$B:$B,0)+5)+INDEX(L:L,MATCH(K175,$B:$B,0)+6)+INDEX(L:L,MATCH(K175,$B:$B,0)+7))</f>
        <v>143</v>
      </c>
      <c r="L178" s="432"/>
      <c r="M178" s="433"/>
      <c r="N178" s="431">
        <f>ABS(INDEX(O:O,MATCH(N175,$B:$B,0)+5)+INDEX(O:O,MATCH(N175,$B:$B,0)+6)+INDEX(O:O,MATCH(N175,$B:$B,0)+7))</f>
        <v>193</v>
      </c>
      <c r="O178" s="432"/>
      <c r="P178" s="433"/>
      <c r="Q178" s="431">
        <f>ABS(INDEX(R:R,MATCH(Q175,$B:$B,0)+5)+INDEX(R:R,MATCH(Q175,$B:$B,0)+6)+INDEX(R:R,MATCH(Q175,$B:$B,0)+7))</f>
        <v>142</v>
      </c>
      <c r="R178" s="432"/>
      <c r="S178" s="433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" customHeight="1">
      <c r="B179" s="417" t="s">
        <v>2276</v>
      </c>
      <c r="C179" s="418"/>
      <c r="D179" s="419"/>
      <c r="E179" s="424">
        <f>ABS(INDEX(F:F,MATCH(E175,$B:$B,0)+8)+INDEX(F:F,MATCH(E175,$B:$B,0)+9)+INDEX(F:F,MATCH(E175,$B:$B,0)+10))</f>
        <v>151</v>
      </c>
      <c r="F179" s="425"/>
      <c r="G179" s="426"/>
      <c r="H179" s="424">
        <f>ABS(INDEX(I:I,MATCH(H175,$B:$B,0)+8)+INDEX(I:I,MATCH(H175,$B:$B,0)+9)+INDEX(I:I,MATCH(H175,$B:$B,0)+10))</f>
        <v>126</v>
      </c>
      <c r="I179" s="425"/>
      <c r="J179" s="426"/>
      <c r="K179" s="424">
        <f>ABS(INDEX(L:L,MATCH(K175,$B:$B,0)+8)+INDEX(L:L,MATCH(K175,$B:$B,0)+9)+INDEX(L:L,MATCH(K175,$B:$B,0)+10))</f>
        <v>188</v>
      </c>
      <c r="L179" s="425"/>
      <c r="M179" s="426"/>
      <c r="N179" s="424">
        <f>ABS(INDEX(O:O,MATCH(N175,$B:$B,0)+8)+INDEX(O:O,MATCH(N175,$B:$B,0)+9)+INDEX(O:O,MATCH(N175,$B:$B,0)+10))</f>
        <v>143</v>
      </c>
      <c r="O179" s="425"/>
      <c r="P179" s="426"/>
      <c r="Q179" s="424">
        <f>ABS(INDEX(R:R,MATCH(Q175,$B:$B,0)+8)+INDEX(R:R,MATCH(Q175,$B:$B,0)+9)+INDEX(R:R,MATCH(Q175,$B:$B,0)+10))</f>
        <v>141</v>
      </c>
      <c r="R179" s="425"/>
      <c r="S179" s="426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" customHeight="1">
      <c r="B180" s="417" t="s">
        <v>2277</v>
      </c>
      <c r="C180" s="418"/>
      <c r="D180" s="419"/>
      <c r="E180" s="424">
        <f>ABS(INDEX(F:F,MATCH(E175,$B:$B,0)+11)+INDEX(F:F,MATCH(E175,$B:$B,0)+12)+INDEX(F:F,MATCH(E175,$B:$B,0)+13))</f>
        <v>136</v>
      </c>
      <c r="F180" s="425"/>
      <c r="G180" s="426"/>
      <c r="H180" s="424">
        <f>ABS(INDEX(I:I,MATCH(H175,$B:$B,0)+11)+INDEX(I:I,MATCH(H175,$B:$B,0)+12)+INDEX(I:I,MATCH(H175,$B:$B,0)+13))</f>
        <v>205</v>
      </c>
      <c r="I180" s="425"/>
      <c r="J180" s="426"/>
      <c r="K180" s="424">
        <f>ABS(INDEX(L:L,MATCH(K175,$B:$B,0)+11)+INDEX(L:L,MATCH(K175,$B:$B,0)+12)+INDEX(L:L,MATCH(K175,$B:$B,0)+13))</f>
        <v>161</v>
      </c>
      <c r="L180" s="425"/>
      <c r="M180" s="426"/>
      <c r="N180" s="424">
        <f>ABS(INDEX(O:O,MATCH(N175,$B:$B,0)+11)+INDEX(O:O,MATCH(N175,$B:$B,0)+12)+INDEX(O:O,MATCH(N175,$B:$B,0)+13))</f>
        <v>174</v>
      </c>
      <c r="O180" s="425"/>
      <c r="P180" s="426"/>
      <c r="Q180" s="424">
        <f>ABS(INDEX(R:R,MATCH(Q175,$B:$B,0)+11)+INDEX(R:R,MATCH(Q175,$B:$B,0)+12)+INDEX(R:R,MATCH(Q175,$B:$B,0)+13))</f>
        <v>184</v>
      </c>
      <c r="R180" s="425"/>
      <c r="S180" s="426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" customHeight="1">
      <c r="B181" s="420" t="s">
        <v>2278</v>
      </c>
      <c r="C181" s="421"/>
      <c r="D181" s="422"/>
      <c r="E181" s="407">
        <f>SUM(E178:E180)</f>
        <v>487</v>
      </c>
      <c r="F181" s="423"/>
      <c r="G181" s="408"/>
      <c r="H181" s="407">
        <f>SUM(H178:H180)</f>
        <v>501</v>
      </c>
      <c r="I181" s="423"/>
      <c r="J181" s="408"/>
      <c r="K181" s="407">
        <f>SUM(K178:K180)</f>
        <v>492</v>
      </c>
      <c r="L181" s="423"/>
      <c r="M181" s="408"/>
      <c r="N181" s="407">
        <f>SUM(N178:N180)</f>
        <v>510</v>
      </c>
      <c r="O181" s="423"/>
      <c r="P181" s="408"/>
      <c r="Q181" s="407">
        <f>SUM(Q178:Q180)</f>
        <v>467</v>
      </c>
      <c r="R181" s="423"/>
      <c r="S181" s="408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>
      <c r="A183" s="255"/>
      <c r="B183" s="7" t="s">
        <v>1802</v>
      </c>
      <c r="C183" s="24"/>
      <c r="D183" s="24"/>
      <c r="E183" s="35" t="s">
        <v>1786</v>
      </c>
      <c r="F183" s="35"/>
      <c r="G183" s="427" t="str">
        <f>Schlüssel!$C$1</f>
        <v>Landesliga Jugend</v>
      </c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06">
        <f>Schlüssel!$AG$1</f>
        <v>45717</v>
      </c>
      <c r="T183" s="406"/>
      <c r="U183" s="406"/>
      <c r="V183" s="406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>
      <c r="A184" s="53"/>
      <c r="B184" s="54">
        <v>8</v>
      </c>
      <c r="E184" s="35" t="s">
        <v>1787</v>
      </c>
      <c r="F184" s="35"/>
      <c r="G184" s="413" t="str">
        <f>Schlüssel!$W$2</f>
        <v>Unterföhring Dreambowl Palace</v>
      </c>
      <c r="H184" s="413"/>
      <c r="I184" s="413"/>
      <c r="J184" s="413"/>
      <c r="K184" s="413"/>
      <c r="L184" s="413"/>
      <c r="M184" s="413"/>
      <c r="N184" s="413"/>
      <c r="O184" s="413"/>
      <c r="P184" s="66"/>
      <c r="Q184" s="411" t="s">
        <v>1785</v>
      </c>
      <c r="R184" s="412"/>
      <c r="S184" s="38">
        <v>2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>
      <c r="B185" s="414" t="str">
        <f>VLOOKUP(B184,Schlüssel!$A$5:$B$12,2)</f>
        <v>EMAX 1</v>
      </c>
      <c r="C185" s="415"/>
      <c r="D185" s="415"/>
      <c r="E185" s="415"/>
      <c r="F185" s="415"/>
      <c r="G185" s="416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3.8" hidden="1" thickBot="1">
      <c r="A186" s="6"/>
      <c r="B186" s="7"/>
      <c r="C186" s="43"/>
      <c r="D186" s="43"/>
      <c r="E186" s="162" t="s">
        <v>10</v>
      </c>
      <c r="F186" s="220"/>
      <c r="G186" s="159">
        <f>VLOOKUP(B184,Schlüssel!$A$5:$EK$12,33)</f>
        <v>11</v>
      </c>
      <c r="H186" s="161" t="s">
        <v>10</v>
      </c>
      <c r="I186" s="220"/>
      <c r="J186" s="159">
        <f>VLOOKUP(B184,Schlüssel!$A$5:$EK$12,34)</f>
        <v>13</v>
      </c>
      <c r="K186" s="161" t="s">
        <v>10</v>
      </c>
      <c r="L186" s="220"/>
      <c r="M186" s="159">
        <f>VLOOKUP(B184,Schlüssel!$A$5:$EK$12,35)</f>
        <v>16</v>
      </c>
      <c r="N186" s="161" t="s">
        <v>10</v>
      </c>
      <c r="O186" s="220"/>
      <c r="P186" s="159">
        <f>VLOOKUP(B184,Schlüssel!$A$5:$EK$12,36)</f>
        <v>14</v>
      </c>
      <c r="Q186" s="161" t="s">
        <v>10</v>
      </c>
      <c r="R186" s="220"/>
      <c r="S186" s="160">
        <f>VLOOKUP(B184,Schlüssel!$A$5:$EK$12,37)</f>
        <v>11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>
      <c r="B187" s="44" t="s">
        <v>1</v>
      </c>
      <c r="C187" s="208"/>
      <c r="D187" s="217"/>
      <c r="E187" s="423" t="s">
        <v>1793</v>
      </c>
      <c r="F187" s="423"/>
      <c r="G187" s="408"/>
      <c r="H187" s="407" t="s">
        <v>1794</v>
      </c>
      <c r="I187" s="423"/>
      <c r="J187" s="408"/>
      <c r="K187" s="407" t="s">
        <v>1795</v>
      </c>
      <c r="L187" s="423"/>
      <c r="M187" s="408"/>
      <c r="N187" s="407" t="s">
        <v>1796</v>
      </c>
      <c r="O187" s="423"/>
      <c r="P187" s="408"/>
      <c r="Q187" s="407" t="s">
        <v>1797</v>
      </c>
      <c r="R187" s="423"/>
      <c r="S187" s="437"/>
      <c r="T187" s="439" t="s">
        <v>1792</v>
      </c>
      <c r="U187" s="440"/>
      <c r="V187" s="410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6.95" customHeight="1">
      <c r="A189" s="403" t="s">
        <v>0</v>
      </c>
      <c r="B189" s="58" t="str">
        <f>IF(C189=0,"",VLOOKUP(C189,Starter!$A$1:$D$196,2,FALSE))</f>
        <v>Vogt, Leonard</v>
      </c>
      <c r="C189" s="232">
        <v>38904</v>
      </c>
      <c r="D189" s="238">
        <f t="shared" ref="D189:D197" si="169">+AP189</f>
        <v>30</v>
      </c>
      <c r="E189" s="221">
        <v>114</v>
      </c>
      <c r="F189" s="240">
        <f t="shared" ref="F189:F197" si="170">IF(E189&gt;0,E189+$D189,0)</f>
        <v>144</v>
      </c>
      <c r="G189" s="428">
        <f>IF(SUM(F189:F191)+E204=0,0,IF(ABS(SUM(F189:F191))=E204,Spielorte!$A$30/2,IF(ABS(SUM(F189:F191))&gt;E204,Spielorte!$A$30,0)))</f>
        <v>1</v>
      </c>
      <c r="H189" s="221">
        <v>148</v>
      </c>
      <c r="I189" s="240">
        <f t="shared" ref="I189:I197" si="171">IF(H189&gt;0,H189+$D189,0)</f>
        <v>178</v>
      </c>
      <c r="J189" s="428">
        <f>IF(SUM(I189:I191)+H204=0,0,IF(ABS(SUM(I189:I191))=H204,Spielorte!$A$30/2,IF(ABS(SUM(I189:I191))&gt;H204,Spielorte!$A$30,0)))</f>
        <v>1</v>
      </c>
      <c r="K189" s="221"/>
      <c r="L189" s="240">
        <f t="shared" ref="L189:L197" si="172">IF(K189&gt;0,K189+$D189,0)</f>
        <v>0</v>
      </c>
      <c r="M189" s="428">
        <f>IF(SUM(L189:L191)+K204=0,0,IF(ABS(SUM(L189:L191))=K204,Spielorte!$A$30/2,IF(ABS(SUM(L189:L191))&gt;K204,Spielorte!$A$30,0)))</f>
        <v>1</v>
      </c>
      <c r="N189" s="221"/>
      <c r="O189" s="240">
        <f t="shared" ref="O189:O197" si="173">IF(N189&gt;0,N189+$D189,0)</f>
        <v>0</v>
      </c>
      <c r="P189" s="428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8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262</v>
      </c>
      <c r="U189" s="240">
        <f t="shared" ref="U189:U197" si="176">ABS(SUM(F189:F189))+ABS(SUM(I189:I189))+ABS(SUM(L189:L189))+ABS(SUM(O189:O189))+ABS(SUM(R189:R189))</f>
        <v>322</v>
      </c>
      <c r="V189" s="400">
        <f>SUM(G189+J189+M189+P189+S189)</f>
        <v>3</v>
      </c>
      <c r="W189" s="79"/>
      <c r="X189" s="79"/>
      <c r="Y189" s="79"/>
      <c r="Z189" s="79"/>
      <c r="AA189" s="79"/>
      <c r="AB189" s="79"/>
      <c r="AL189" s="169">
        <f>IF(AU189=0,0,IFERROR(INDEX(RanglisteST2!K:K,MATCH(AU189,RanglisteST2!A:A,0)),0))</f>
        <v>122.27</v>
      </c>
      <c r="AM189" s="169">
        <f>IF(AU189=0,0,SUMIF(AU189:AU197,AU189,AV189:AV197))</f>
        <v>581</v>
      </c>
      <c r="AN189" s="169">
        <f>IF(AU189=0,0,SUMIF(AU189:AU197,AU189,AW189:AW197))</f>
        <v>4</v>
      </c>
      <c r="AO189" s="169">
        <f t="shared" ref="AO189:AO197" si="177">IFERROR(AM189/AN189,0)</f>
        <v>145.25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30</v>
      </c>
      <c r="AQ189" s="166"/>
      <c r="AR189" s="167"/>
      <c r="AS189" s="167"/>
      <c r="AT189" s="168"/>
      <c r="AU189" s="171">
        <f t="shared" ref="AU189:AU197" si="178">C189</f>
        <v>38904</v>
      </c>
      <c r="AV189" s="167">
        <f t="shared" ref="AV189:AV197" si="179">T189</f>
        <v>262</v>
      </c>
      <c r="AW189" s="169">
        <f t="shared" ref="AW189:AW197" si="180">COUNT(AY189:BC189)</f>
        <v>2</v>
      </c>
      <c r="AX189" s="169">
        <f t="shared" ref="AX189:AX197" si="181">COUNTIF(AY189:BC189,"&gt;0")</f>
        <v>2</v>
      </c>
      <c r="AY189" s="169">
        <f t="shared" ref="AY189:AY197" si="182">IF(E189=0,"",E189)</f>
        <v>114</v>
      </c>
      <c r="AZ189" s="169">
        <f t="shared" ref="AZ189:AZ197" si="183">IF(H189=0,"",H189)</f>
        <v>148</v>
      </c>
      <c r="BA189" s="169" t="str">
        <f t="shared" ref="BA189:BA197" si="184">IF(K189=0,"",K189)</f>
        <v/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148</v>
      </c>
      <c r="BG189" s="169">
        <f t="shared" ref="BG189:BG197" si="188">IF(BF189&lt;MAX(BF:BF),0,BF189+ROW()/1000000000)</f>
        <v>0</v>
      </c>
      <c r="BH189" s="169" t="str">
        <f>+B185</f>
        <v>EMAX 1</v>
      </c>
      <c r="BI189" s="168">
        <f t="shared" ref="BI189:BI197" si="189">RANK(BG189,BG:BG)</f>
        <v>2</v>
      </c>
      <c r="BJ189" s="169">
        <f t="shared" ref="BJ189:BJ197" si="190">SUMIF(AY189:BC189,"&gt;0")</f>
        <v>262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0</v>
      </c>
      <c r="BM189" s="168">
        <f t="shared" ref="BM189:BM197" si="192">IF(BL189=0,0,RANK(BL189,BL:BL))</f>
        <v>0</v>
      </c>
    </row>
    <row r="190" spans="1:65" ht="16.95" customHeight="1">
      <c r="A190" s="404"/>
      <c r="B190" s="58" t="str">
        <f>IF(C190=0,"",VLOOKUP(C190,Starter!$A$1:$D$196,2,FALSE))</f>
        <v>Heiming, Thalea</v>
      </c>
      <c r="C190" s="233">
        <v>38910</v>
      </c>
      <c r="D190" s="239">
        <f t="shared" si="169"/>
        <v>32</v>
      </c>
      <c r="E190" s="222"/>
      <c r="F190" s="241">
        <f t="shared" si="170"/>
        <v>0</v>
      </c>
      <c r="G190" s="429"/>
      <c r="H190" s="222"/>
      <c r="I190" s="241">
        <f t="shared" si="171"/>
        <v>0</v>
      </c>
      <c r="J190" s="429"/>
      <c r="K190" s="222">
        <v>133</v>
      </c>
      <c r="L190" s="241">
        <f t="shared" si="172"/>
        <v>165</v>
      </c>
      <c r="M190" s="429"/>
      <c r="N190" s="222">
        <v>136</v>
      </c>
      <c r="O190" s="241">
        <f t="shared" si="173"/>
        <v>168</v>
      </c>
      <c r="P190" s="429"/>
      <c r="Q190" s="222">
        <v>116</v>
      </c>
      <c r="R190" s="241">
        <f t="shared" si="174"/>
        <v>148</v>
      </c>
      <c r="S190" s="429"/>
      <c r="T190" s="222">
        <f t="shared" si="175"/>
        <v>385</v>
      </c>
      <c r="U190" s="241">
        <f t="shared" si="176"/>
        <v>481</v>
      </c>
      <c r="V190" s="401"/>
      <c r="W190" s="79"/>
      <c r="X190" s="79"/>
      <c r="Y190" s="79"/>
      <c r="Z190" s="79"/>
      <c r="AA190" s="79"/>
      <c r="AB190" s="79"/>
      <c r="AL190" s="169">
        <f>IF(AU190=0,0,IFERROR(INDEX(RanglisteST2!K:K,MATCH(AU190,RanglisteST2!A:A,0)),0))</f>
        <v>119.53</v>
      </c>
      <c r="AM190" s="169">
        <f>IF(AU190=0,0,SUMIF(AU189:AU197,AU190,AV189:AV197))</f>
        <v>493</v>
      </c>
      <c r="AN190" s="169">
        <f>IF(AU190=0,0,SUMIF(AU189:AU197,AU190,AW189:AW197))</f>
        <v>4</v>
      </c>
      <c r="AO190" s="169">
        <f t="shared" si="177"/>
        <v>123.25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32</v>
      </c>
      <c r="AQ190" s="166"/>
      <c r="AR190" s="167"/>
      <c r="AS190" s="167"/>
      <c r="AT190" s="168"/>
      <c r="AU190" s="171">
        <f t="shared" si="178"/>
        <v>38910</v>
      </c>
      <c r="AV190" s="167">
        <f t="shared" si="179"/>
        <v>385</v>
      </c>
      <c r="AW190" s="169">
        <f t="shared" si="180"/>
        <v>3</v>
      </c>
      <c r="AX190" s="169">
        <f t="shared" si="181"/>
        <v>3</v>
      </c>
      <c r="AY190" s="169" t="str">
        <f t="shared" si="182"/>
        <v/>
      </c>
      <c r="AZ190" s="169" t="str">
        <f t="shared" si="183"/>
        <v/>
      </c>
      <c r="BA190" s="169">
        <f t="shared" si="184"/>
        <v>133</v>
      </c>
      <c r="BB190" s="169">
        <f t="shared" si="185"/>
        <v>136</v>
      </c>
      <c r="BC190" s="169">
        <f t="shared" si="186"/>
        <v>116</v>
      </c>
      <c r="BD190" s="170"/>
      <c r="BE190" s="168"/>
      <c r="BF190" s="169">
        <f t="shared" si="187"/>
        <v>136</v>
      </c>
      <c r="BG190" s="169">
        <f t="shared" si="188"/>
        <v>0</v>
      </c>
      <c r="BH190" s="169" t="str">
        <f t="shared" ref="BH190:BH197" si="193">+BH189</f>
        <v>EMAX 1</v>
      </c>
      <c r="BI190" s="168">
        <f t="shared" si="189"/>
        <v>2</v>
      </c>
      <c r="BJ190" s="169">
        <f t="shared" si="190"/>
        <v>385</v>
      </c>
      <c r="BK190" s="169">
        <f>IF(COUNTIF(AY190:BC190,"&gt;0")&lt;Spielorte!$A$23,0,AV190/Spielorte!$A$23)</f>
        <v>0</v>
      </c>
      <c r="BL190" s="169">
        <f t="shared" si="191"/>
        <v>0</v>
      </c>
      <c r="BM190" s="168">
        <f t="shared" si="192"/>
        <v>0</v>
      </c>
    </row>
    <row r="191" spans="1:65" ht="16.95" customHeight="1" thickBot="1">
      <c r="A191" s="405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30"/>
      <c r="H191" s="224"/>
      <c r="I191" s="242">
        <f t="shared" si="171"/>
        <v>0</v>
      </c>
      <c r="J191" s="430"/>
      <c r="K191" s="224"/>
      <c r="L191" s="242">
        <f t="shared" si="172"/>
        <v>0</v>
      </c>
      <c r="M191" s="430"/>
      <c r="N191" s="224"/>
      <c r="O191" s="242">
        <f t="shared" si="173"/>
        <v>0</v>
      </c>
      <c r="P191" s="430"/>
      <c r="Q191" s="224"/>
      <c r="R191" s="242">
        <f t="shared" si="174"/>
        <v>0</v>
      </c>
      <c r="S191" s="430"/>
      <c r="T191" s="224">
        <f t="shared" si="175"/>
        <v>0</v>
      </c>
      <c r="U191" s="242">
        <f t="shared" si="176"/>
        <v>0</v>
      </c>
      <c r="V191" s="402"/>
      <c r="W191" s="79"/>
      <c r="X191" s="79"/>
      <c r="Y191" s="79"/>
      <c r="Z191" s="79"/>
      <c r="AA191" s="79"/>
      <c r="AB191" s="79"/>
      <c r="AL191" s="169">
        <f>IF(AU191=0,0,IFERROR(INDEX(RanglisteST2!K:K,MATCH(AU191,RanglisteST2!A:A,0)),0))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0</v>
      </c>
      <c r="BH191" s="169" t="str">
        <f t="shared" si="193"/>
        <v>EMAX 1</v>
      </c>
      <c r="BI191" s="168">
        <f t="shared" si="189"/>
        <v>2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0</v>
      </c>
      <c r="BM191" s="168">
        <f t="shared" si="192"/>
        <v>0</v>
      </c>
    </row>
    <row r="192" spans="1:65" ht="16.95" customHeight="1">
      <c r="A192" s="403" t="s">
        <v>2</v>
      </c>
      <c r="B192" s="58" t="str">
        <f>IF(C192=0,"",VLOOKUP(C192,Starter!$A$1:$D$196,2,FALSE))</f>
        <v>Heiming, Thalea</v>
      </c>
      <c r="C192" s="235">
        <v>38910</v>
      </c>
      <c r="D192" s="238">
        <f t="shared" si="169"/>
        <v>32</v>
      </c>
      <c r="E192" s="221">
        <v>108</v>
      </c>
      <c r="F192" s="240">
        <f t="shared" si="170"/>
        <v>140</v>
      </c>
      <c r="G192" s="428">
        <f>IF(SUM(F192:F194)+E205=0,0,IF(ABS(SUM(F192:F194))=E205,Spielorte!$A$30/2,IF(ABS(SUM(F192:F194))&gt;E205,Spielorte!$A$30,0)))</f>
        <v>0</v>
      </c>
      <c r="H192" s="221"/>
      <c r="I192" s="240">
        <f t="shared" si="171"/>
        <v>0</v>
      </c>
      <c r="J192" s="428">
        <f>IF(SUM(I192:I194)+H205=0,0,IF(ABS(SUM(I192:I194))=H205,Spielorte!$A$30/2,IF(ABS(SUM(I192:I194))&gt;H205,Spielorte!$A$30,0)))</f>
        <v>1</v>
      </c>
      <c r="K192" s="221"/>
      <c r="L192" s="240">
        <f t="shared" si="172"/>
        <v>0</v>
      </c>
      <c r="M192" s="428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8">
        <f>IF(SUM(O192:O194)+N205=0,0,IF(ABS(SUM(O192:O194))=N205,Spielorte!$A$30/2,IF(ABS(SUM(O192:O194))&gt;N205,Spielorte!$A$30,0)))</f>
        <v>1</v>
      </c>
      <c r="Q192" s="221"/>
      <c r="R192" s="240">
        <f t="shared" si="174"/>
        <v>0</v>
      </c>
      <c r="S192" s="428">
        <f>IF(SUM(R192:R194)+Q205=0,0,IF(ABS(SUM(R192:R194))=Q205,Spielorte!$A$30/2,IF(ABS(SUM(R192:R194))&gt;Q205,Spielorte!$A$30,0)))</f>
        <v>1</v>
      </c>
      <c r="T192" s="221">
        <f t="shared" si="175"/>
        <v>108</v>
      </c>
      <c r="U192" s="240">
        <f t="shared" si="176"/>
        <v>140</v>
      </c>
      <c r="V192" s="400">
        <f>SUM(G192+J192+M192+P192+S192)</f>
        <v>3</v>
      </c>
      <c r="W192" s="79"/>
      <c r="X192" s="79"/>
      <c r="Y192" s="79"/>
      <c r="Z192" s="79"/>
      <c r="AA192" s="79"/>
      <c r="AB192" s="79"/>
      <c r="AL192" s="169">
        <f>IF(AU192=0,0,IFERROR(INDEX(RanglisteST2!K:K,MATCH(AU192,RanglisteST2!A:A,0)),0))</f>
        <v>119.53</v>
      </c>
      <c r="AM192" s="169">
        <f>IF(AU192=0,0,SUMIF(AU189:AU197,AU192,AV189:AV197))</f>
        <v>493</v>
      </c>
      <c r="AN192" s="169">
        <f>IF(AU192=0,0,SUMIF(AU189:AU197,AU192,AW189:AW197))</f>
        <v>4</v>
      </c>
      <c r="AO192" s="169">
        <f t="shared" si="177"/>
        <v>123.25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32</v>
      </c>
      <c r="AQ192" s="166"/>
      <c r="AR192" s="167"/>
      <c r="AS192" s="167"/>
      <c r="AT192" s="168"/>
      <c r="AU192" s="171">
        <f t="shared" si="178"/>
        <v>38910</v>
      </c>
      <c r="AV192" s="167">
        <f t="shared" si="179"/>
        <v>108</v>
      </c>
      <c r="AW192" s="169">
        <f t="shared" si="180"/>
        <v>1</v>
      </c>
      <c r="AX192" s="169">
        <f t="shared" si="181"/>
        <v>1</v>
      </c>
      <c r="AY192" s="169">
        <f t="shared" si="182"/>
        <v>108</v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108</v>
      </c>
      <c r="BG192" s="169">
        <f t="shared" si="188"/>
        <v>0</v>
      </c>
      <c r="BH192" s="169" t="str">
        <f t="shared" si="193"/>
        <v>EMAX 1</v>
      </c>
      <c r="BI192" s="168">
        <f t="shared" si="189"/>
        <v>2</v>
      </c>
      <c r="BJ192" s="169">
        <f t="shared" si="190"/>
        <v>108</v>
      </c>
      <c r="BK192" s="169">
        <f>IF(COUNTIF(AY192:BC192,"&gt;0")&lt;Spielorte!$A$23,0,AV192/Spielorte!$A$23)</f>
        <v>0</v>
      </c>
      <c r="BL192" s="169">
        <f t="shared" si="191"/>
        <v>0</v>
      </c>
      <c r="BM192" s="168">
        <f t="shared" si="192"/>
        <v>0</v>
      </c>
    </row>
    <row r="193" spans="1:65" ht="16.95" customHeight="1">
      <c r="A193" s="404"/>
      <c r="B193" s="58" t="str">
        <f>IF(C193=0,"",VLOOKUP(C193,Starter!$A$1:$D$196,2,FALSE))</f>
        <v>Hofer, Anja</v>
      </c>
      <c r="C193" s="233">
        <v>38890</v>
      </c>
      <c r="D193" s="239">
        <f t="shared" si="169"/>
        <v>55</v>
      </c>
      <c r="E193" s="222"/>
      <c r="F193" s="241">
        <f t="shared" si="170"/>
        <v>0</v>
      </c>
      <c r="G193" s="429"/>
      <c r="H193" s="222">
        <v>114</v>
      </c>
      <c r="I193" s="241">
        <f t="shared" si="171"/>
        <v>169</v>
      </c>
      <c r="J193" s="429"/>
      <c r="K193" s="222">
        <v>96</v>
      </c>
      <c r="L193" s="241">
        <f t="shared" si="172"/>
        <v>151</v>
      </c>
      <c r="M193" s="429"/>
      <c r="N193" s="222">
        <v>98</v>
      </c>
      <c r="O193" s="241">
        <f t="shared" si="173"/>
        <v>153</v>
      </c>
      <c r="P193" s="429"/>
      <c r="Q193" s="222">
        <v>115</v>
      </c>
      <c r="R193" s="241">
        <f t="shared" si="174"/>
        <v>170</v>
      </c>
      <c r="S193" s="429"/>
      <c r="T193" s="222">
        <f t="shared" si="175"/>
        <v>423</v>
      </c>
      <c r="U193" s="241">
        <f t="shared" si="176"/>
        <v>643</v>
      </c>
      <c r="V193" s="401"/>
      <c r="W193" s="79"/>
      <c r="X193" s="79"/>
      <c r="Y193" s="79"/>
      <c r="Z193" s="79"/>
      <c r="AA193" s="79"/>
      <c r="AB193" s="79"/>
      <c r="AL193" s="169">
        <f>IF(AU193=0,0,IFERROR(INDEX(RanglisteST2!K:K,MATCH(AU193,RanglisteST2!A:A,0)),0))</f>
        <v>91.04</v>
      </c>
      <c r="AM193" s="169">
        <f>IF(AU193=0,0,SUMIF(AU189:AU197,AU193,AV189:AV197))</f>
        <v>423</v>
      </c>
      <c r="AN193" s="169">
        <f>IF(AU193=0,0,SUMIF(AU189:AU197,AU193,AW189:AW197))</f>
        <v>4</v>
      </c>
      <c r="AO193" s="169">
        <f t="shared" si="177"/>
        <v>105.75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55</v>
      </c>
      <c r="AQ193" s="166"/>
      <c r="AR193" s="167"/>
      <c r="AS193" s="167"/>
      <c r="AT193" s="168"/>
      <c r="AU193" s="171">
        <f t="shared" si="178"/>
        <v>38890</v>
      </c>
      <c r="AV193" s="167">
        <f t="shared" si="179"/>
        <v>423</v>
      </c>
      <c r="AW193" s="169">
        <f t="shared" si="180"/>
        <v>4</v>
      </c>
      <c r="AX193" s="169">
        <f t="shared" si="181"/>
        <v>4</v>
      </c>
      <c r="AY193" s="169" t="str">
        <f t="shared" si="182"/>
        <v/>
      </c>
      <c r="AZ193" s="169">
        <f t="shared" si="183"/>
        <v>114</v>
      </c>
      <c r="BA193" s="169">
        <f t="shared" si="184"/>
        <v>96</v>
      </c>
      <c r="BB193" s="169">
        <f t="shared" si="185"/>
        <v>98</v>
      </c>
      <c r="BC193" s="169">
        <f t="shared" si="186"/>
        <v>115</v>
      </c>
      <c r="BD193" s="170"/>
      <c r="BE193" s="168"/>
      <c r="BF193" s="169">
        <f t="shared" si="187"/>
        <v>115</v>
      </c>
      <c r="BG193" s="169">
        <f t="shared" si="188"/>
        <v>0</v>
      </c>
      <c r="BH193" s="169" t="str">
        <f t="shared" si="193"/>
        <v>EMAX 1</v>
      </c>
      <c r="BI193" s="168">
        <f t="shared" si="189"/>
        <v>2</v>
      </c>
      <c r="BJ193" s="169">
        <f t="shared" si="190"/>
        <v>423</v>
      </c>
      <c r="BK193" s="169">
        <f>IF(COUNTIF(AY193:BC193,"&gt;0")&lt;Spielorte!$A$23,0,AV193/Spielorte!$A$23)</f>
        <v>0</v>
      </c>
      <c r="BL193" s="169">
        <f t="shared" si="191"/>
        <v>0</v>
      </c>
      <c r="BM193" s="168">
        <f t="shared" si="192"/>
        <v>0</v>
      </c>
    </row>
    <row r="194" spans="1:65" ht="16.95" customHeight="1" thickBot="1">
      <c r="A194" s="405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30"/>
      <c r="H194" s="224"/>
      <c r="I194" s="242">
        <f t="shared" si="171"/>
        <v>0</v>
      </c>
      <c r="J194" s="430"/>
      <c r="K194" s="224"/>
      <c r="L194" s="242">
        <f t="shared" si="172"/>
        <v>0</v>
      </c>
      <c r="M194" s="430"/>
      <c r="N194" s="224"/>
      <c r="O194" s="242">
        <f t="shared" si="173"/>
        <v>0</v>
      </c>
      <c r="P194" s="430"/>
      <c r="Q194" s="224"/>
      <c r="R194" s="242">
        <f t="shared" si="174"/>
        <v>0</v>
      </c>
      <c r="S194" s="430"/>
      <c r="T194" s="224">
        <f t="shared" si="175"/>
        <v>0</v>
      </c>
      <c r="U194" s="242">
        <f t="shared" si="176"/>
        <v>0</v>
      </c>
      <c r="V194" s="402"/>
      <c r="W194" s="79"/>
      <c r="X194" s="79"/>
      <c r="Y194" s="79"/>
      <c r="Z194" s="79"/>
      <c r="AA194" s="79"/>
      <c r="AB194" s="79"/>
      <c r="AL194" s="169">
        <f>IF(AU194=0,0,IFERROR(INDEX(RanglisteST2!K:K,MATCH(AU194,RanglisteST2!A:A,0)),0))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0</v>
      </c>
      <c r="BH194" s="169" t="str">
        <f t="shared" si="193"/>
        <v>EMAX 1</v>
      </c>
      <c r="BI194" s="168">
        <f t="shared" si="189"/>
        <v>2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0</v>
      </c>
      <c r="BM194" s="168">
        <f t="shared" si="192"/>
        <v>0</v>
      </c>
    </row>
    <row r="195" spans="1:65" ht="16.95" customHeight="1">
      <c r="A195" s="403" t="s">
        <v>3</v>
      </c>
      <c r="B195" s="58" t="str">
        <f>IF(C195=0,"",VLOOKUP(C195,Starter!$A$1:$D$196,2,FALSE))</f>
        <v>Böhm, Eric-Pascal</v>
      </c>
      <c r="C195" s="235">
        <v>38706</v>
      </c>
      <c r="D195" s="238">
        <f t="shared" si="169"/>
        <v>15</v>
      </c>
      <c r="E195" s="221">
        <v>157</v>
      </c>
      <c r="F195" s="240">
        <f t="shared" si="170"/>
        <v>172</v>
      </c>
      <c r="G195" s="428">
        <f>IF(SUM(F195:F197)+E206=0,0,IF(ABS(SUM(F195:F197))=E206,Spielorte!$A$30/2,IF(ABS(SUM(F195:F197))&gt;E206,Spielorte!$A$30,0)))</f>
        <v>1</v>
      </c>
      <c r="H195" s="221">
        <v>196</v>
      </c>
      <c r="I195" s="240">
        <f t="shared" si="171"/>
        <v>211</v>
      </c>
      <c r="J195" s="428">
        <f>IF(SUM(I195:I197)+H206=0,0,IF(ABS(SUM(I195:I197))=H206,Spielorte!$A$30/2,IF(ABS(SUM(I195:I197))&gt;H206,Spielorte!$A$30,0)))</f>
        <v>1</v>
      </c>
      <c r="K195" s="221">
        <v>150</v>
      </c>
      <c r="L195" s="240">
        <f t="shared" si="172"/>
        <v>165</v>
      </c>
      <c r="M195" s="428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8">
        <f>IF(SUM(O195:O197)+N206=0,0,IF(ABS(SUM(O195:O197))=N206,Spielorte!$A$30/2,IF(ABS(SUM(O195:O197))&gt;N206,Spielorte!$A$30,0)))</f>
        <v>1</v>
      </c>
      <c r="Q195" s="221"/>
      <c r="R195" s="240">
        <f t="shared" si="174"/>
        <v>0</v>
      </c>
      <c r="S195" s="428">
        <f>IF(SUM(R195:R197)+Q206=0,0,IF(ABS(SUM(R195:R197))=Q206,Spielorte!$A$30/2,IF(ABS(SUM(R195:R197))&gt;Q206,Spielorte!$A$30,0)))</f>
        <v>1</v>
      </c>
      <c r="T195" s="221">
        <f t="shared" si="175"/>
        <v>503</v>
      </c>
      <c r="U195" s="240">
        <f t="shared" si="176"/>
        <v>548</v>
      </c>
      <c r="V195" s="400">
        <f>SUM(G195+J195+M195+P195+S195)</f>
        <v>4</v>
      </c>
      <c r="W195" s="79"/>
      <c r="X195" s="79"/>
      <c r="Y195" s="79"/>
      <c r="Z195" s="79"/>
      <c r="AA195" s="79"/>
      <c r="AB195" s="79"/>
      <c r="AL195" s="169">
        <f>IF(AU195=0,0,IFERROR(INDEX(RanglisteST2!K:K,MATCH(AU195,RanglisteST2!A:A,0)),0))</f>
        <v>140.78</v>
      </c>
      <c r="AM195" s="169">
        <f>IF(AU195=0,0,SUMIF(AU189:AU197,AU195,AV189:AV197))</f>
        <v>503</v>
      </c>
      <c r="AN195" s="169">
        <f>IF(AU195=0,0,SUMIF(AU189:AU197,AU195,AW189:AW197))</f>
        <v>3</v>
      </c>
      <c r="AO195" s="169">
        <f t="shared" si="177"/>
        <v>167.66666666666666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15</v>
      </c>
      <c r="AQ195" s="166"/>
      <c r="AR195" s="167"/>
      <c r="AS195" s="167"/>
      <c r="AT195" s="168"/>
      <c r="AU195" s="171">
        <f t="shared" si="178"/>
        <v>38706</v>
      </c>
      <c r="AV195" s="167">
        <f t="shared" si="179"/>
        <v>503</v>
      </c>
      <c r="AW195" s="169">
        <f t="shared" si="180"/>
        <v>3</v>
      </c>
      <c r="AX195" s="169">
        <f t="shared" si="181"/>
        <v>3</v>
      </c>
      <c r="AY195" s="169">
        <f t="shared" si="182"/>
        <v>157</v>
      </c>
      <c r="AZ195" s="169">
        <f t="shared" si="183"/>
        <v>196</v>
      </c>
      <c r="BA195" s="169">
        <f t="shared" si="184"/>
        <v>150</v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196</v>
      </c>
      <c r="BG195" s="169">
        <f t="shared" si="188"/>
        <v>0</v>
      </c>
      <c r="BH195" s="169" t="str">
        <f t="shared" si="193"/>
        <v>EMAX 1</v>
      </c>
      <c r="BI195" s="168">
        <f t="shared" si="189"/>
        <v>2</v>
      </c>
      <c r="BJ195" s="169">
        <f t="shared" si="190"/>
        <v>503</v>
      </c>
      <c r="BK195" s="169">
        <f>IF(COUNTIF(AY195:BC195,"&gt;0")&lt;Spielorte!$A$23,0,AV195/Spielorte!$A$23)</f>
        <v>0</v>
      </c>
      <c r="BL195" s="169">
        <f t="shared" si="191"/>
        <v>0</v>
      </c>
      <c r="BM195" s="168">
        <f t="shared" si="192"/>
        <v>0</v>
      </c>
    </row>
    <row r="196" spans="1:65" ht="16.95" customHeight="1">
      <c r="A196" s="404"/>
      <c r="B196" s="58" t="str">
        <f>IF(C196=0,"",VLOOKUP(C196,Starter!$A$1:$D$196,2,FALSE))</f>
        <v>Vogt, Leonard</v>
      </c>
      <c r="C196" s="233">
        <v>38904</v>
      </c>
      <c r="D196" s="239">
        <f t="shared" si="169"/>
        <v>30</v>
      </c>
      <c r="E196" s="222"/>
      <c r="F196" s="241">
        <f t="shared" si="170"/>
        <v>0</v>
      </c>
      <c r="G196" s="429"/>
      <c r="H196" s="222"/>
      <c r="I196" s="241">
        <f t="shared" si="171"/>
        <v>0</v>
      </c>
      <c r="J196" s="429"/>
      <c r="K196" s="222"/>
      <c r="L196" s="241">
        <f t="shared" si="172"/>
        <v>0</v>
      </c>
      <c r="M196" s="429"/>
      <c r="N196" s="222">
        <v>188</v>
      </c>
      <c r="O196" s="241">
        <f t="shared" si="173"/>
        <v>218</v>
      </c>
      <c r="P196" s="429"/>
      <c r="Q196" s="222">
        <v>131</v>
      </c>
      <c r="R196" s="241">
        <f t="shared" si="174"/>
        <v>161</v>
      </c>
      <c r="S196" s="429"/>
      <c r="T196" s="222">
        <f t="shared" si="175"/>
        <v>319</v>
      </c>
      <c r="U196" s="241">
        <f t="shared" si="176"/>
        <v>379</v>
      </c>
      <c r="V196" s="401"/>
      <c r="W196" s="79"/>
      <c r="X196" s="79"/>
      <c r="Y196" s="79"/>
      <c r="Z196" s="79"/>
      <c r="AA196" s="79"/>
      <c r="AB196" s="79"/>
      <c r="AL196" s="169">
        <f>IF(AU196=0,0,IFERROR(INDEX(RanglisteST2!K:K,MATCH(AU196,RanglisteST2!A:A,0)),0))</f>
        <v>122.27</v>
      </c>
      <c r="AM196" s="169">
        <f>IF(AU196=0,0,SUMIF(AU189:AU197,AU196,AV189:AV197))</f>
        <v>581</v>
      </c>
      <c r="AN196" s="169">
        <f>IF(AU196=0,0,SUMIF(AU189:AU197,AU196,AW189:AW197))</f>
        <v>4</v>
      </c>
      <c r="AO196" s="169">
        <f t="shared" si="177"/>
        <v>145.25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30</v>
      </c>
      <c r="AQ196" s="166"/>
      <c r="AR196" s="167"/>
      <c r="AS196" s="167"/>
      <c r="AT196" s="168"/>
      <c r="AU196" s="171">
        <f t="shared" si="178"/>
        <v>38904</v>
      </c>
      <c r="AV196" s="167">
        <f t="shared" si="179"/>
        <v>319</v>
      </c>
      <c r="AW196" s="169">
        <f t="shared" si="180"/>
        <v>2</v>
      </c>
      <c r="AX196" s="169">
        <f t="shared" si="181"/>
        <v>2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>
        <f t="shared" si="185"/>
        <v>188</v>
      </c>
      <c r="BC196" s="169">
        <f t="shared" si="186"/>
        <v>131</v>
      </c>
      <c r="BD196" s="170"/>
      <c r="BE196" s="168"/>
      <c r="BF196" s="169">
        <f t="shared" si="187"/>
        <v>188</v>
      </c>
      <c r="BG196" s="169">
        <f t="shared" si="188"/>
        <v>0</v>
      </c>
      <c r="BH196" s="169" t="str">
        <f t="shared" si="193"/>
        <v>EMAX 1</v>
      </c>
      <c r="BI196" s="168">
        <f t="shared" si="189"/>
        <v>2</v>
      </c>
      <c r="BJ196" s="169">
        <f t="shared" si="190"/>
        <v>319</v>
      </c>
      <c r="BK196" s="169">
        <f>IF(COUNTIF(AY196:BC196,"&gt;0")&lt;Spielorte!$A$23,0,AV196/Spielorte!$A$23)</f>
        <v>0</v>
      </c>
      <c r="BL196" s="169">
        <f t="shared" si="191"/>
        <v>0</v>
      </c>
      <c r="BM196" s="168">
        <f t="shared" si="192"/>
        <v>0</v>
      </c>
    </row>
    <row r="197" spans="1:65" ht="16.95" customHeight="1" thickBot="1">
      <c r="A197" s="405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30"/>
      <c r="H197" s="224"/>
      <c r="I197" s="242">
        <f t="shared" si="171"/>
        <v>0</v>
      </c>
      <c r="J197" s="430"/>
      <c r="K197" s="224"/>
      <c r="L197" s="242">
        <f t="shared" si="172"/>
        <v>0</v>
      </c>
      <c r="M197" s="430"/>
      <c r="N197" s="224"/>
      <c r="O197" s="242">
        <f t="shared" si="173"/>
        <v>0</v>
      </c>
      <c r="P197" s="430"/>
      <c r="Q197" s="224"/>
      <c r="R197" s="242">
        <f t="shared" si="174"/>
        <v>0</v>
      </c>
      <c r="S197" s="430"/>
      <c r="T197" s="224">
        <f t="shared" si="175"/>
        <v>0</v>
      </c>
      <c r="U197" s="242">
        <f t="shared" si="176"/>
        <v>0</v>
      </c>
      <c r="V197" s="402"/>
      <c r="W197" s="79"/>
      <c r="X197" s="79"/>
      <c r="Y197" s="79"/>
      <c r="Z197" s="79"/>
      <c r="AA197" s="79"/>
      <c r="AB197" s="79"/>
      <c r="AL197" s="169">
        <f>IF(AU197=0,0,IFERROR(INDEX(RanglisteST2!K:K,MATCH(AU197,RanglisteST2!A:A,0)),0))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0</v>
      </c>
      <c r="BH197" s="169" t="str">
        <f t="shared" si="193"/>
        <v>EMAX 1</v>
      </c>
      <c r="BI197" s="168">
        <f t="shared" si="189"/>
        <v>2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0</v>
      </c>
      <c r="BM197" s="168">
        <f t="shared" si="192"/>
        <v>0</v>
      </c>
    </row>
    <row r="198" spans="1:65" ht="27.75" customHeight="1" thickBot="1">
      <c r="B198" s="218" t="s">
        <v>1792</v>
      </c>
      <c r="C198" s="204"/>
      <c r="D198" s="219"/>
      <c r="E198" s="226">
        <f>ABS(SUM(E189:E191))+ABS(SUM(E192:E194))+ABS(SUM(E195:E197))</f>
        <v>379</v>
      </c>
      <c r="F198" s="225">
        <f>ABS(SUM(F189:F191))+ABS(SUM(F192:F194))+ABS(SUM(F195:F197))</f>
        <v>456</v>
      </c>
      <c r="G198" s="81">
        <f>IF(F198+E207=0,0,IF(F198=E207,Spielorte!$A$31/2,IF(F198&gt;E207,Spielorte!$A$31,0)))</f>
        <v>2</v>
      </c>
      <c r="H198" s="226">
        <f>ABS(SUM(H189:H191))+ABS(SUM(H192:H194))+ABS(SUM(H195:H197))</f>
        <v>458</v>
      </c>
      <c r="I198" s="225">
        <f>ABS(SUM(I189:I191))+ABS(SUM(I192:I194))+ABS(SUM(I195:I197))</f>
        <v>558</v>
      </c>
      <c r="J198" s="81">
        <f>IF(I198+H207=0,0,IF(I198=H207,Spielorte!$A$31/2,IF(I198&gt;H207,Spielorte!$A$31,0)))</f>
        <v>2</v>
      </c>
      <c r="K198" s="226">
        <f>ABS(SUM(K189:K191))+ABS(SUM(K192:K194))+ABS(SUM(K195:K197))</f>
        <v>379</v>
      </c>
      <c r="L198" s="225">
        <f>ABS(SUM(L189:L191))+ABS(SUM(L192:L194))+ABS(SUM(L195:L197))</f>
        <v>481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422</v>
      </c>
      <c r="O198" s="225">
        <f>ABS(SUM(O189:O191))+ABS(SUM(O192:O194))+ABS(SUM(O195:O197))</f>
        <v>539</v>
      </c>
      <c r="P198" s="81">
        <f>IF(O198+N207=0,0,IF(O198=N207,Spielorte!$A$31/2,IF(O198&gt;N207,Spielorte!$A$31,0)))</f>
        <v>2</v>
      </c>
      <c r="Q198" s="226">
        <f>ABS(SUM(Q189:Q191))+ABS(SUM(Q192:Q194))+ABS(SUM(Q195:Q197))</f>
        <v>362</v>
      </c>
      <c r="R198" s="225">
        <f>ABS(SUM(R189:R191))+ABS(SUM(R192:R194))+ABS(SUM(R195:R197))</f>
        <v>479</v>
      </c>
      <c r="S198" s="81">
        <f>IF(R198+Q207=0,0,IF(R198=Q207,Spielorte!$A$31/2,IF(R198&gt;Q207,Spielorte!$A$31,0)))</f>
        <v>0</v>
      </c>
      <c r="T198" s="228">
        <f>SUM(E198+H198+K198+N198+Q198)</f>
        <v>2000</v>
      </c>
      <c r="U198" s="229">
        <f>SUM(F198+I198+L198+O198+R198)</f>
        <v>2513</v>
      </c>
      <c r="V198" s="12">
        <f>SUM(G198+J198+M198+P198+S198)</f>
        <v>6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>
      <c r="B199" s="230" t="s">
        <v>1803</v>
      </c>
      <c r="C199" s="1"/>
      <c r="D199" s="1"/>
      <c r="E199" s="1"/>
      <c r="F199" s="1"/>
      <c r="G199" s="61">
        <f>SUM(G189:G198)</f>
        <v>4</v>
      </c>
      <c r="H199" s="1"/>
      <c r="I199" s="1"/>
      <c r="J199" s="61">
        <f>SUM(J189:J198)</f>
        <v>5</v>
      </c>
      <c r="K199" s="1"/>
      <c r="L199" s="1"/>
      <c r="M199" s="61">
        <f>SUM(M189:M198)</f>
        <v>1</v>
      </c>
      <c r="N199" s="1"/>
      <c r="O199" s="1"/>
      <c r="P199" s="61">
        <f>SUM(P189:P198)</f>
        <v>4</v>
      </c>
      <c r="Q199" s="1"/>
      <c r="R199" s="1"/>
      <c r="S199" s="61">
        <f>SUM(S189:S198)</f>
        <v>2</v>
      </c>
      <c r="T199" s="1"/>
      <c r="U199" s="1"/>
      <c r="V199" s="61">
        <f>SUM(V189:V198)</f>
        <v>16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16</v>
      </c>
      <c r="AR199" s="167">
        <f>+T198</f>
        <v>2000</v>
      </c>
      <c r="AS199" s="167">
        <f>+U198</f>
        <v>2513</v>
      </c>
      <c r="AT199" s="168">
        <f>+B184</f>
        <v>8</v>
      </c>
      <c r="AW199" s="169">
        <f>SUM(AW183:AW198)</f>
        <v>15</v>
      </c>
      <c r="BD199" s="166">
        <f>+AS199/1000000+AQ199+AR199/1000000000000</f>
        <v>16.002513002000001</v>
      </c>
      <c r="BE199" s="168">
        <f>RANK(BD199,BD:BD)</f>
        <v>3</v>
      </c>
      <c r="BI199" s="168"/>
      <c r="BM199" s="168"/>
    </row>
    <row r="200" spans="1:65" ht="11.25" customHeight="1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>
      <c r="B201" s="231" t="s">
        <v>1790</v>
      </c>
      <c r="C201" s="210"/>
      <c r="D201" s="42"/>
      <c r="E201" s="434">
        <f>VLOOKUP($B184,Schlüssel!$A$5:$EK$12,23)</f>
        <v>5</v>
      </c>
      <c r="F201" s="435"/>
      <c r="G201" s="436"/>
      <c r="H201" s="434">
        <f>VLOOKUP($B184,Schlüssel!$A$5:$EK$12,24)</f>
        <v>2</v>
      </c>
      <c r="I201" s="435"/>
      <c r="J201" s="436"/>
      <c r="K201" s="434">
        <f>VLOOKUP($B184,Schlüssel!$A$5:$EK$12,25)</f>
        <v>6</v>
      </c>
      <c r="L201" s="435"/>
      <c r="M201" s="436"/>
      <c r="N201" s="434">
        <f>VLOOKUP($B184,Schlüssel!$A$5:$EK$12,26)</f>
        <v>1</v>
      </c>
      <c r="O201" s="435"/>
      <c r="P201" s="436"/>
      <c r="Q201" s="434">
        <f>VLOOKUP($B184,Schlüssel!$A$5:$EK$12,27)</f>
        <v>4</v>
      </c>
      <c r="R201" s="435"/>
      <c r="S201" s="436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>
      <c r="B202" s="3" t="s">
        <v>9</v>
      </c>
      <c r="C202" s="1"/>
      <c r="D202" s="1"/>
      <c r="E202" s="395" t="str">
        <f>VLOOKUP(E201,Schlüssel!$A$5:$K$12,2)</f>
        <v>Berchtesgaden 1</v>
      </c>
      <c r="F202" s="438"/>
      <c r="G202" s="396"/>
      <c r="H202" s="395" t="str">
        <f>VLOOKUP(H201,Schlüssel!$A$5:$K$12,2)</f>
        <v>Highroller Rosenheim 1</v>
      </c>
      <c r="I202" s="438"/>
      <c r="J202" s="396"/>
      <c r="K202" s="395" t="str">
        <f>VLOOKUP(K201,Schlüssel!$A$5:$K$12,2)</f>
        <v>Bowling Jugend Bayern 1</v>
      </c>
      <c r="L202" s="438"/>
      <c r="M202" s="396"/>
      <c r="N202" s="395" t="str">
        <f>VLOOKUP(N201,Schlüssel!$A$5:$K$12,2)</f>
        <v>Bad Tölz 1</v>
      </c>
      <c r="O202" s="438"/>
      <c r="P202" s="396"/>
      <c r="Q202" s="395" t="str">
        <f>VLOOKUP(Q201,Schlüssel!$A$5:$K$12,2)</f>
        <v>Highroller Rosenheim 3</v>
      </c>
      <c r="R202" s="438"/>
      <c r="S202" s="396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" customHeight="1">
      <c r="B204" s="417" t="s">
        <v>2275</v>
      </c>
      <c r="C204" s="418"/>
      <c r="D204" s="419"/>
      <c r="E204" s="431">
        <f>ABS(INDEX(F:F,MATCH(E201,$B:$B,0)+5)+INDEX(F:F,MATCH(E201,$B:$B,0)+6)+INDEX(F:F,MATCH(E201,$B:$B,0)+7))</f>
        <v>130</v>
      </c>
      <c r="F204" s="432"/>
      <c r="G204" s="433"/>
      <c r="H204" s="431">
        <f>ABS(INDEX(I:I,MATCH(H201,$B:$B,0)+5)+INDEX(I:I,MATCH(H201,$B:$B,0)+6)+INDEX(I:I,MATCH(H201,$B:$B,0)+7))</f>
        <v>124</v>
      </c>
      <c r="I204" s="432"/>
      <c r="J204" s="433"/>
      <c r="K204" s="431">
        <f>ABS(INDEX(L:L,MATCH(K201,$B:$B,0)+5)+INDEX(L:L,MATCH(K201,$B:$B,0)+6)+INDEX(L:L,MATCH(K201,$B:$B,0)+7))</f>
        <v>151</v>
      </c>
      <c r="L204" s="432"/>
      <c r="M204" s="433"/>
      <c r="N204" s="431">
        <f>ABS(INDEX(O:O,MATCH(N201,$B:$B,0)+5)+INDEX(O:O,MATCH(N201,$B:$B,0)+6)+INDEX(O:O,MATCH(N201,$B:$B,0)+7))</f>
        <v>230</v>
      </c>
      <c r="O204" s="432"/>
      <c r="P204" s="433"/>
      <c r="Q204" s="431">
        <f>ABS(INDEX(R:R,MATCH(Q201,$B:$B,0)+5)+INDEX(R:R,MATCH(Q201,$B:$B,0)+6)+INDEX(R:R,MATCH(Q201,$B:$B,0)+7))</f>
        <v>172</v>
      </c>
      <c r="R204" s="432"/>
      <c r="S204" s="433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" customHeight="1">
      <c r="B205" s="417" t="s">
        <v>2276</v>
      </c>
      <c r="C205" s="418"/>
      <c r="D205" s="419"/>
      <c r="E205" s="424">
        <f>ABS(INDEX(F:F,MATCH(E201,$B:$B,0)+8)+INDEX(F:F,MATCH(E201,$B:$B,0)+9)+INDEX(F:F,MATCH(E201,$B:$B,0)+10))</f>
        <v>180</v>
      </c>
      <c r="F205" s="425"/>
      <c r="G205" s="426"/>
      <c r="H205" s="424">
        <f>ABS(INDEX(I:I,MATCH(H201,$B:$B,0)+8)+INDEX(I:I,MATCH(H201,$B:$B,0)+9)+INDEX(I:I,MATCH(H201,$B:$B,0)+10))</f>
        <v>140</v>
      </c>
      <c r="I205" s="425"/>
      <c r="J205" s="426"/>
      <c r="K205" s="424">
        <f>ABS(INDEX(L:L,MATCH(K201,$B:$B,0)+8)+INDEX(L:L,MATCH(K201,$B:$B,0)+9)+INDEX(L:L,MATCH(K201,$B:$B,0)+10))</f>
        <v>191</v>
      </c>
      <c r="L205" s="425"/>
      <c r="M205" s="426"/>
      <c r="N205" s="424">
        <f>ABS(INDEX(O:O,MATCH(N201,$B:$B,0)+8)+INDEX(O:O,MATCH(N201,$B:$B,0)+9)+INDEX(O:O,MATCH(N201,$B:$B,0)+10))</f>
        <v>152</v>
      </c>
      <c r="O205" s="425"/>
      <c r="P205" s="426"/>
      <c r="Q205" s="424">
        <f>ABS(INDEX(R:R,MATCH(Q201,$B:$B,0)+8)+INDEX(R:R,MATCH(Q201,$B:$B,0)+9)+INDEX(R:R,MATCH(Q201,$B:$B,0)+10))</f>
        <v>160</v>
      </c>
      <c r="R205" s="425"/>
      <c r="S205" s="426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" customHeight="1">
      <c r="B206" s="417" t="s">
        <v>2277</v>
      </c>
      <c r="C206" s="418"/>
      <c r="D206" s="419"/>
      <c r="E206" s="424">
        <f>ABS(INDEX(F:F,MATCH(E201,$B:$B,0)+11)+INDEX(F:F,MATCH(E201,$B:$B,0)+12)+INDEX(F:F,MATCH(E201,$B:$B,0)+13))</f>
        <v>124</v>
      </c>
      <c r="F206" s="425"/>
      <c r="G206" s="426"/>
      <c r="H206" s="424">
        <f>ABS(INDEX(I:I,MATCH(H201,$B:$B,0)+11)+INDEX(I:I,MATCH(H201,$B:$B,0)+12)+INDEX(I:I,MATCH(H201,$B:$B,0)+13))</f>
        <v>194</v>
      </c>
      <c r="I206" s="425"/>
      <c r="J206" s="426"/>
      <c r="K206" s="424">
        <f>ABS(INDEX(L:L,MATCH(K201,$B:$B,0)+11)+INDEX(L:L,MATCH(K201,$B:$B,0)+12)+INDEX(L:L,MATCH(K201,$B:$B,0)+13))</f>
        <v>177</v>
      </c>
      <c r="L206" s="425"/>
      <c r="M206" s="426"/>
      <c r="N206" s="424">
        <f>ABS(INDEX(O:O,MATCH(N201,$B:$B,0)+11)+INDEX(O:O,MATCH(N201,$B:$B,0)+12)+INDEX(O:O,MATCH(N201,$B:$B,0)+13))</f>
        <v>139</v>
      </c>
      <c r="O206" s="425"/>
      <c r="P206" s="426"/>
      <c r="Q206" s="424">
        <f>ABS(INDEX(R:R,MATCH(Q201,$B:$B,0)+11)+INDEX(R:R,MATCH(Q201,$B:$B,0)+12)+INDEX(R:R,MATCH(Q201,$B:$B,0)+13))</f>
        <v>151</v>
      </c>
      <c r="R206" s="425"/>
      <c r="S206" s="426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" customHeight="1">
      <c r="B207" s="420" t="s">
        <v>2278</v>
      </c>
      <c r="C207" s="421"/>
      <c r="D207" s="422"/>
      <c r="E207" s="407">
        <f>SUM(E204:E206)</f>
        <v>434</v>
      </c>
      <c r="F207" s="423"/>
      <c r="G207" s="408"/>
      <c r="H207" s="407">
        <f>SUM(H204:H206)</f>
        <v>458</v>
      </c>
      <c r="I207" s="423"/>
      <c r="J207" s="408"/>
      <c r="K207" s="407">
        <f>SUM(K204:K206)</f>
        <v>519</v>
      </c>
      <c r="L207" s="423"/>
      <c r="M207" s="408"/>
      <c r="N207" s="407">
        <f>SUM(N204:N206)</f>
        <v>521</v>
      </c>
      <c r="O207" s="423"/>
      <c r="P207" s="408"/>
      <c r="Q207" s="407">
        <f>SUM(Q204:Q206)</f>
        <v>483</v>
      </c>
      <c r="R207" s="423"/>
      <c r="S207" s="408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formatCells="0" formatColumns="0" formatRows="0"/>
  <mergeCells count="528">
    <mergeCell ref="A140:A142"/>
    <mergeCell ref="A143:A145"/>
    <mergeCell ref="J137:J139"/>
    <mergeCell ref="M137:M139"/>
    <mergeCell ref="P137:P139"/>
    <mergeCell ref="S137:S139"/>
    <mergeCell ref="M143:M145"/>
    <mergeCell ref="P143:P145"/>
    <mergeCell ref="V143:V145"/>
    <mergeCell ref="G143:G145"/>
    <mergeCell ref="J143:J145"/>
    <mergeCell ref="G140:G142"/>
    <mergeCell ref="J140:J142"/>
    <mergeCell ref="M140:M142"/>
    <mergeCell ref="P140:P142"/>
    <mergeCell ref="S140:S142"/>
    <mergeCell ref="S143:S145"/>
    <mergeCell ref="V140:V142"/>
    <mergeCell ref="V117:V119"/>
    <mergeCell ref="E124:G124"/>
    <mergeCell ref="H124:J124"/>
    <mergeCell ref="K124:M124"/>
    <mergeCell ref="E135:G135"/>
    <mergeCell ref="A137:A139"/>
    <mergeCell ref="G137:G139"/>
    <mergeCell ref="V137:V139"/>
    <mergeCell ref="H135:J135"/>
    <mergeCell ref="K135:M135"/>
    <mergeCell ref="N135:P135"/>
    <mergeCell ref="Q135:S135"/>
    <mergeCell ref="T135:V135"/>
    <mergeCell ref="E126:G126"/>
    <mergeCell ref="H126:J126"/>
    <mergeCell ref="K126:M126"/>
    <mergeCell ref="G132:O132"/>
    <mergeCell ref="Q132:R132"/>
    <mergeCell ref="B133:G133"/>
    <mergeCell ref="B129:D129"/>
    <mergeCell ref="E129:G129"/>
    <mergeCell ref="A117:A119"/>
    <mergeCell ref="N129:P129"/>
    <mergeCell ref="Q129:S129"/>
    <mergeCell ref="H102:J102"/>
    <mergeCell ref="K102:M102"/>
    <mergeCell ref="N102:P102"/>
    <mergeCell ref="Q102:S102"/>
    <mergeCell ref="G114:G116"/>
    <mergeCell ref="J114:J116"/>
    <mergeCell ref="M114:M116"/>
    <mergeCell ref="P114:P116"/>
    <mergeCell ref="S114:S116"/>
    <mergeCell ref="P111:P113"/>
    <mergeCell ref="A111:A113"/>
    <mergeCell ref="A114:A116"/>
    <mergeCell ref="E103:G103"/>
    <mergeCell ref="H103:J103"/>
    <mergeCell ref="K103:M103"/>
    <mergeCell ref="N103:P103"/>
    <mergeCell ref="Q103:S103"/>
    <mergeCell ref="M117:M119"/>
    <mergeCell ref="P117:P119"/>
    <mergeCell ref="S117:S119"/>
    <mergeCell ref="A85:A87"/>
    <mergeCell ref="E98:G98"/>
    <mergeCell ref="H98:J98"/>
    <mergeCell ref="V88:V90"/>
    <mergeCell ref="G91:G93"/>
    <mergeCell ref="J91:J93"/>
    <mergeCell ref="M91:M93"/>
    <mergeCell ref="P91:P93"/>
    <mergeCell ref="S91:S93"/>
    <mergeCell ref="V91:V93"/>
    <mergeCell ref="A88:A90"/>
    <mergeCell ref="A91:A93"/>
    <mergeCell ref="Q97:S97"/>
    <mergeCell ref="G85:G87"/>
    <mergeCell ref="J85:J87"/>
    <mergeCell ref="M85:M87"/>
    <mergeCell ref="P85:P87"/>
    <mergeCell ref="S85:S87"/>
    <mergeCell ref="V85:V87"/>
    <mergeCell ref="A62:A64"/>
    <mergeCell ref="A65:A67"/>
    <mergeCell ref="G65:G67"/>
    <mergeCell ref="J65:J67"/>
    <mergeCell ref="M65:M67"/>
    <mergeCell ref="P65:P67"/>
    <mergeCell ref="S65:S67"/>
    <mergeCell ref="K71:M71"/>
    <mergeCell ref="N71:P71"/>
    <mergeCell ref="Q71:S71"/>
    <mergeCell ref="J62:J64"/>
    <mergeCell ref="M62:M64"/>
    <mergeCell ref="H71:J71"/>
    <mergeCell ref="A7:A9"/>
    <mergeCell ref="A10:A12"/>
    <mergeCell ref="A13:A15"/>
    <mergeCell ref="M36:M38"/>
    <mergeCell ref="E20:G20"/>
    <mergeCell ref="H20:J20"/>
    <mergeCell ref="J59:J61"/>
    <mergeCell ref="M59:M61"/>
    <mergeCell ref="B50:D50"/>
    <mergeCell ref="B51:D51"/>
    <mergeCell ref="G53:R53"/>
    <mergeCell ref="G54:O54"/>
    <mergeCell ref="A33:A35"/>
    <mergeCell ref="P59:P61"/>
    <mergeCell ref="N46:P46"/>
    <mergeCell ref="Q46:S46"/>
    <mergeCell ref="A36:A38"/>
    <mergeCell ref="A39:A41"/>
    <mergeCell ref="S59:S61"/>
    <mergeCell ref="E46:G46"/>
    <mergeCell ref="H46:J46"/>
    <mergeCell ref="K46:M46"/>
    <mergeCell ref="A59:A61"/>
    <mergeCell ref="G39:G41"/>
    <mergeCell ref="M39:M41"/>
    <mergeCell ref="P39:P41"/>
    <mergeCell ref="S39:S41"/>
    <mergeCell ref="V39:V41"/>
    <mergeCell ref="E72:G72"/>
    <mergeCell ref="H72:J72"/>
    <mergeCell ref="K72:M72"/>
    <mergeCell ref="N72:P72"/>
    <mergeCell ref="Q72:S72"/>
    <mergeCell ref="H50:J50"/>
    <mergeCell ref="K50:M50"/>
    <mergeCell ref="E45:G45"/>
    <mergeCell ref="H45:J45"/>
    <mergeCell ref="K45:M45"/>
    <mergeCell ref="E48:G48"/>
    <mergeCell ref="H48:J48"/>
    <mergeCell ref="K48:M48"/>
    <mergeCell ref="K49:M49"/>
    <mergeCell ref="V59:V61"/>
    <mergeCell ref="P62:P64"/>
    <mergeCell ref="S62:S64"/>
    <mergeCell ref="V62:V64"/>
    <mergeCell ref="V65:V67"/>
    <mergeCell ref="Q50:S50"/>
    <mergeCell ref="T83:V83"/>
    <mergeCell ref="Q80:R80"/>
    <mergeCell ref="S1:V1"/>
    <mergeCell ref="S27:V27"/>
    <mergeCell ref="S53:V53"/>
    <mergeCell ref="V33:V35"/>
    <mergeCell ref="G28:O28"/>
    <mergeCell ref="Q28:R28"/>
    <mergeCell ref="E23:G23"/>
    <mergeCell ref="H23:J23"/>
    <mergeCell ref="K23:M23"/>
    <mergeCell ref="N23:P23"/>
    <mergeCell ref="K20:M20"/>
    <mergeCell ref="N20:P20"/>
    <mergeCell ref="Q20:S20"/>
    <mergeCell ref="N22:P22"/>
    <mergeCell ref="Q22:S22"/>
    <mergeCell ref="Q23:S23"/>
    <mergeCell ref="T31:V31"/>
    <mergeCell ref="E50:G50"/>
    <mergeCell ref="P36:P38"/>
    <mergeCell ref="S36:S38"/>
    <mergeCell ref="V36:V38"/>
    <mergeCell ref="N50:P50"/>
    <mergeCell ref="Q100:S100"/>
    <mergeCell ref="E77:G77"/>
    <mergeCell ref="H77:J77"/>
    <mergeCell ref="K77:M77"/>
    <mergeCell ref="N77:P77"/>
    <mergeCell ref="Q77:S77"/>
    <mergeCell ref="G88:G90"/>
    <mergeCell ref="J88:J90"/>
    <mergeCell ref="M88:M90"/>
    <mergeCell ref="P88:P90"/>
    <mergeCell ref="S88:S90"/>
    <mergeCell ref="K98:M98"/>
    <mergeCell ref="E19:G19"/>
    <mergeCell ref="H19:J19"/>
    <mergeCell ref="H24:J24"/>
    <mergeCell ref="K24:M24"/>
    <mergeCell ref="N24:P24"/>
    <mergeCell ref="Q24:S24"/>
    <mergeCell ref="Q19:S19"/>
    <mergeCell ref="E22:G22"/>
    <mergeCell ref="H22:J22"/>
    <mergeCell ref="K22:M22"/>
    <mergeCell ref="K19:M19"/>
    <mergeCell ref="N19:P19"/>
    <mergeCell ref="E24:G24"/>
    <mergeCell ref="G36:G38"/>
    <mergeCell ref="J36:J38"/>
    <mergeCell ref="E49:G49"/>
    <mergeCell ref="H49:J49"/>
    <mergeCell ref="Q54:R54"/>
    <mergeCell ref="B55:G55"/>
    <mergeCell ref="Q31:S31"/>
    <mergeCell ref="E25:G25"/>
    <mergeCell ref="H25:J25"/>
    <mergeCell ref="K25:M25"/>
    <mergeCell ref="N25:P25"/>
    <mergeCell ref="Q25:S25"/>
    <mergeCell ref="P33:P35"/>
    <mergeCell ref="S33:S35"/>
    <mergeCell ref="E31:G31"/>
    <mergeCell ref="H31:J31"/>
    <mergeCell ref="K31:M31"/>
    <mergeCell ref="N31:P31"/>
    <mergeCell ref="Q45:S45"/>
    <mergeCell ref="N48:P48"/>
    <mergeCell ref="Q48:S48"/>
    <mergeCell ref="N49:P49"/>
    <mergeCell ref="Q49:S49"/>
    <mergeCell ref="J39:J41"/>
    <mergeCell ref="E128:G128"/>
    <mergeCell ref="H128:J128"/>
    <mergeCell ref="K128:M128"/>
    <mergeCell ref="N128:P128"/>
    <mergeCell ref="Q128:S128"/>
    <mergeCell ref="E123:G123"/>
    <mergeCell ref="T57:V57"/>
    <mergeCell ref="E101:G101"/>
    <mergeCell ref="H101:J101"/>
    <mergeCell ref="K101:M101"/>
    <mergeCell ref="N101:P101"/>
    <mergeCell ref="Q101:S101"/>
    <mergeCell ref="G79:R79"/>
    <mergeCell ref="G80:O80"/>
    <mergeCell ref="N98:P98"/>
    <mergeCell ref="Q98:S98"/>
    <mergeCell ref="S79:V79"/>
    <mergeCell ref="E127:G127"/>
    <mergeCell ref="H127:J127"/>
    <mergeCell ref="K127:M127"/>
    <mergeCell ref="N127:P127"/>
    <mergeCell ref="Q127:S127"/>
    <mergeCell ref="E100:G100"/>
    <mergeCell ref="H100:J100"/>
    <mergeCell ref="H154:J154"/>
    <mergeCell ref="K154:M154"/>
    <mergeCell ref="N154:P154"/>
    <mergeCell ref="Q154:S154"/>
    <mergeCell ref="E149:G149"/>
    <mergeCell ref="H149:J149"/>
    <mergeCell ref="K149:M149"/>
    <mergeCell ref="N149:P149"/>
    <mergeCell ref="E152:G152"/>
    <mergeCell ref="H152:J152"/>
    <mergeCell ref="K152:M152"/>
    <mergeCell ref="N152:P152"/>
    <mergeCell ref="Q152:S152"/>
    <mergeCell ref="E150:G150"/>
    <mergeCell ref="H150:J150"/>
    <mergeCell ref="K150:M150"/>
    <mergeCell ref="N150:P150"/>
    <mergeCell ref="Q150:S150"/>
    <mergeCell ref="Q149:S149"/>
    <mergeCell ref="T5:V5"/>
    <mergeCell ref="V10:V12"/>
    <mergeCell ref="S13:S15"/>
    <mergeCell ref="V13:V15"/>
    <mergeCell ref="S10:S12"/>
    <mergeCell ref="G13:G15"/>
    <mergeCell ref="J13:J15"/>
    <mergeCell ref="M13:M15"/>
    <mergeCell ref="P13:P15"/>
    <mergeCell ref="G7:G9"/>
    <mergeCell ref="J7:J9"/>
    <mergeCell ref="M7:M9"/>
    <mergeCell ref="P7:P9"/>
    <mergeCell ref="S7:S9"/>
    <mergeCell ref="E5:G5"/>
    <mergeCell ref="H5:J5"/>
    <mergeCell ref="K5:M5"/>
    <mergeCell ref="N5:P5"/>
    <mergeCell ref="Q5:S5"/>
    <mergeCell ref="V7:V9"/>
    <mergeCell ref="G10:G12"/>
    <mergeCell ref="J10:J12"/>
    <mergeCell ref="M10:M12"/>
    <mergeCell ref="P10:P12"/>
    <mergeCell ref="T109:V109"/>
    <mergeCell ref="H123:J123"/>
    <mergeCell ref="K123:M123"/>
    <mergeCell ref="N123:P123"/>
    <mergeCell ref="Q123:S123"/>
    <mergeCell ref="K51:M51"/>
    <mergeCell ref="N51:P51"/>
    <mergeCell ref="Q51:S51"/>
    <mergeCell ref="M33:M35"/>
    <mergeCell ref="H83:J83"/>
    <mergeCell ref="K83:M83"/>
    <mergeCell ref="N83:P83"/>
    <mergeCell ref="Q83:S83"/>
    <mergeCell ref="Q76:S76"/>
    <mergeCell ref="H74:J74"/>
    <mergeCell ref="K74:M74"/>
    <mergeCell ref="N74:P74"/>
    <mergeCell ref="Q74:S74"/>
    <mergeCell ref="H97:J97"/>
    <mergeCell ref="K97:M97"/>
    <mergeCell ref="N97:P97"/>
    <mergeCell ref="N45:P45"/>
    <mergeCell ref="K100:M100"/>
    <mergeCell ref="N100:P100"/>
    <mergeCell ref="B152:D152"/>
    <mergeCell ref="B153:D153"/>
    <mergeCell ref="B154:D154"/>
    <mergeCell ref="B155:D155"/>
    <mergeCell ref="G1:R1"/>
    <mergeCell ref="G2:O2"/>
    <mergeCell ref="Q2:R2"/>
    <mergeCell ref="B3:G3"/>
    <mergeCell ref="G27:R27"/>
    <mergeCell ref="B74:D74"/>
    <mergeCell ref="B100:D100"/>
    <mergeCell ref="B101:D101"/>
    <mergeCell ref="B22:D22"/>
    <mergeCell ref="B23:D23"/>
    <mergeCell ref="B24:D24"/>
    <mergeCell ref="B25:D25"/>
    <mergeCell ref="B48:D48"/>
    <mergeCell ref="B49:D49"/>
    <mergeCell ref="B29:G29"/>
    <mergeCell ref="E57:G57"/>
    <mergeCell ref="G33:G35"/>
    <mergeCell ref="J33:J35"/>
    <mergeCell ref="E51:G51"/>
    <mergeCell ref="H51:J51"/>
    <mergeCell ref="B75:D75"/>
    <mergeCell ref="B76:D76"/>
    <mergeCell ref="B77:D77"/>
    <mergeCell ref="H57:J57"/>
    <mergeCell ref="K57:M57"/>
    <mergeCell ref="N57:P57"/>
    <mergeCell ref="Q57:S57"/>
    <mergeCell ref="E75:G75"/>
    <mergeCell ref="H75:J75"/>
    <mergeCell ref="K75:M75"/>
    <mergeCell ref="N75:P75"/>
    <mergeCell ref="Q75:S75"/>
    <mergeCell ref="E76:G76"/>
    <mergeCell ref="H76:J76"/>
    <mergeCell ref="K76:M76"/>
    <mergeCell ref="N76:P76"/>
    <mergeCell ref="G59:G61"/>
    <mergeCell ref="G62:G64"/>
    <mergeCell ref="E71:G71"/>
    <mergeCell ref="E74:G74"/>
    <mergeCell ref="B126:D126"/>
    <mergeCell ref="B127:D127"/>
    <mergeCell ref="B128:D128"/>
    <mergeCell ref="N126:P126"/>
    <mergeCell ref="Q126:S126"/>
    <mergeCell ref="G111:G113"/>
    <mergeCell ref="J111:J113"/>
    <mergeCell ref="S111:S113"/>
    <mergeCell ref="B81:G81"/>
    <mergeCell ref="E109:G109"/>
    <mergeCell ref="H109:J109"/>
    <mergeCell ref="K109:M109"/>
    <mergeCell ref="N109:P109"/>
    <mergeCell ref="Q109:S109"/>
    <mergeCell ref="E83:G83"/>
    <mergeCell ref="E97:G97"/>
    <mergeCell ref="S105:V105"/>
    <mergeCell ref="G105:R105"/>
    <mergeCell ref="G106:O106"/>
    <mergeCell ref="Q106:R106"/>
    <mergeCell ref="B107:G107"/>
    <mergeCell ref="B102:D102"/>
    <mergeCell ref="B103:D103"/>
    <mergeCell ref="E102:G102"/>
    <mergeCell ref="S131:V131"/>
    <mergeCell ref="G131:R131"/>
    <mergeCell ref="V111:V113"/>
    <mergeCell ref="V114:V116"/>
    <mergeCell ref="N124:P124"/>
    <mergeCell ref="Q124:S124"/>
    <mergeCell ref="G117:G119"/>
    <mergeCell ref="J117:J119"/>
    <mergeCell ref="G157:R157"/>
    <mergeCell ref="S157:V157"/>
    <mergeCell ref="H129:J129"/>
    <mergeCell ref="K129:M129"/>
    <mergeCell ref="M111:M113"/>
    <mergeCell ref="E155:G155"/>
    <mergeCell ref="H155:J155"/>
    <mergeCell ref="K155:M155"/>
    <mergeCell ref="N155:P155"/>
    <mergeCell ref="Q155:S155"/>
    <mergeCell ref="E153:G153"/>
    <mergeCell ref="H153:J153"/>
    <mergeCell ref="K153:M153"/>
    <mergeCell ref="N153:P153"/>
    <mergeCell ref="Q153:S153"/>
    <mergeCell ref="E154:G154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</mergeCells>
  <conditionalFormatting sqref="D7:D15">
    <cfRule type="cellIs" dxfId="388" priority="72" stopIfTrue="1" operator="equal">
      <formula>0</formula>
    </cfRule>
  </conditionalFormatting>
  <conditionalFormatting sqref="D33:D41">
    <cfRule type="cellIs" dxfId="387" priority="63" stopIfTrue="1" operator="equal">
      <formula>0</formula>
    </cfRule>
  </conditionalFormatting>
  <conditionalFormatting sqref="D59:D67">
    <cfRule type="cellIs" dxfId="386" priority="54" stopIfTrue="1" operator="equal">
      <formula>0</formula>
    </cfRule>
  </conditionalFormatting>
  <conditionalFormatting sqref="D85:D93">
    <cfRule type="cellIs" dxfId="385" priority="45" stopIfTrue="1" operator="equal">
      <formula>0</formula>
    </cfRule>
  </conditionalFormatting>
  <conditionalFormatting sqref="D111:D119">
    <cfRule type="cellIs" dxfId="384" priority="36" stopIfTrue="1" operator="equal">
      <formula>0</formula>
    </cfRule>
  </conditionalFormatting>
  <conditionalFormatting sqref="D137:D145">
    <cfRule type="cellIs" dxfId="383" priority="27" stopIfTrue="1" operator="equal">
      <formula>0</formula>
    </cfRule>
  </conditionalFormatting>
  <conditionalFormatting sqref="D163:D171">
    <cfRule type="cellIs" dxfId="382" priority="18" stopIfTrue="1" operator="equal">
      <formula>0</formula>
    </cfRule>
  </conditionalFormatting>
  <conditionalFormatting sqref="D189:D197">
    <cfRule type="cellIs" dxfId="381" priority="9" stopIfTrue="1" operator="equal">
      <formula>0</formula>
    </cfRule>
  </conditionalFormatting>
  <conditionalFormatting sqref="F7:F15">
    <cfRule type="cellIs" dxfId="380" priority="71" stopIfTrue="1" operator="equal">
      <formula>0</formula>
    </cfRule>
  </conditionalFormatting>
  <conditionalFormatting sqref="F33:F41">
    <cfRule type="cellIs" dxfId="379" priority="62" stopIfTrue="1" operator="equal">
      <formula>0</formula>
    </cfRule>
  </conditionalFormatting>
  <conditionalFormatting sqref="F59:F67">
    <cfRule type="cellIs" dxfId="378" priority="53" stopIfTrue="1" operator="equal">
      <formula>0</formula>
    </cfRule>
  </conditionalFormatting>
  <conditionalFormatting sqref="F85:F93">
    <cfRule type="cellIs" dxfId="377" priority="44" stopIfTrue="1" operator="equal">
      <formula>0</formula>
    </cfRule>
  </conditionalFormatting>
  <conditionalFormatting sqref="F111:F119">
    <cfRule type="cellIs" dxfId="376" priority="35" stopIfTrue="1" operator="equal">
      <formula>0</formula>
    </cfRule>
  </conditionalFormatting>
  <conditionalFormatting sqref="F137:F145">
    <cfRule type="cellIs" dxfId="375" priority="26" stopIfTrue="1" operator="equal">
      <formula>0</formula>
    </cfRule>
  </conditionalFormatting>
  <conditionalFormatting sqref="F163:F171">
    <cfRule type="cellIs" dxfId="374" priority="17" stopIfTrue="1" operator="equal">
      <formula>0</formula>
    </cfRule>
  </conditionalFormatting>
  <conditionalFormatting sqref="F189:F197">
    <cfRule type="cellIs" dxfId="373" priority="8" stopIfTrue="1" operator="equal">
      <formula>0</formula>
    </cfRule>
  </conditionalFormatting>
  <conditionalFormatting sqref="I7:I15">
    <cfRule type="cellIs" dxfId="372" priority="70" stopIfTrue="1" operator="equal">
      <formula>0</formula>
    </cfRule>
  </conditionalFormatting>
  <conditionalFormatting sqref="I33:I41">
    <cfRule type="cellIs" dxfId="371" priority="61" stopIfTrue="1" operator="equal">
      <formula>0</formula>
    </cfRule>
  </conditionalFormatting>
  <conditionalFormatting sqref="I59:I67">
    <cfRule type="cellIs" dxfId="370" priority="52" stopIfTrue="1" operator="equal">
      <formula>0</formula>
    </cfRule>
  </conditionalFormatting>
  <conditionalFormatting sqref="I85:I93">
    <cfRule type="cellIs" dxfId="369" priority="43" stopIfTrue="1" operator="equal">
      <formula>0</formula>
    </cfRule>
  </conditionalFormatting>
  <conditionalFormatting sqref="I111:I119">
    <cfRule type="cellIs" dxfId="368" priority="34" stopIfTrue="1" operator="equal">
      <formula>0</formula>
    </cfRule>
  </conditionalFormatting>
  <conditionalFormatting sqref="I137:I145">
    <cfRule type="cellIs" dxfId="367" priority="25" stopIfTrue="1" operator="equal">
      <formula>0</formula>
    </cfRule>
  </conditionalFormatting>
  <conditionalFormatting sqref="I163:I171">
    <cfRule type="cellIs" dxfId="366" priority="16" stopIfTrue="1" operator="equal">
      <formula>0</formula>
    </cfRule>
  </conditionalFormatting>
  <conditionalFormatting sqref="I189:I197">
    <cfRule type="cellIs" dxfId="365" priority="7" stopIfTrue="1" operator="equal">
      <formula>0</formula>
    </cfRule>
  </conditionalFormatting>
  <conditionalFormatting sqref="L7:L15">
    <cfRule type="cellIs" dxfId="364" priority="69" stopIfTrue="1" operator="equal">
      <formula>0</formula>
    </cfRule>
  </conditionalFormatting>
  <conditionalFormatting sqref="L33:L41">
    <cfRule type="cellIs" dxfId="363" priority="60" stopIfTrue="1" operator="equal">
      <formula>0</formula>
    </cfRule>
  </conditionalFormatting>
  <conditionalFormatting sqref="L59:L67">
    <cfRule type="cellIs" dxfId="362" priority="51" stopIfTrue="1" operator="equal">
      <formula>0</formula>
    </cfRule>
  </conditionalFormatting>
  <conditionalFormatting sqref="L85:L93">
    <cfRule type="cellIs" dxfId="361" priority="42" stopIfTrue="1" operator="equal">
      <formula>0</formula>
    </cfRule>
  </conditionalFormatting>
  <conditionalFormatting sqref="L111:L119">
    <cfRule type="cellIs" dxfId="360" priority="33" stopIfTrue="1" operator="equal">
      <formula>0</formula>
    </cfRule>
  </conditionalFormatting>
  <conditionalFormatting sqref="L137:L145">
    <cfRule type="cellIs" dxfId="359" priority="24" stopIfTrue="1" operator="equal">
      <formula>0</formula>
    </cfRule>
  </conditionalFormatting>
  <conditionalFormatting sqref="L163:L171">
    <cfRule type="cellIs" dxfId="358" priority="15" stopIfTrue="1" operator="equal">
      <formula>0</formula>
    </cfRule>
  </conditionalFormatting>
  <conditionalFormatting sqref="L189:L197">
    <cfRule type="cellIs" dxfId="357" priority="6" stopIfTrue="1" operator="equal">
      <formula>0</formula>
    </cfRule>
  </conditionalFormatting>
  <conditionalFormatting sqref="O7:O15">
    <cfRule type="cellIs" dxfId="356" priority="68" stopIfTrue="1" operator="equal">
      <formula>0</formula>
    </cfRule>
  </conditionalFormatting>
  <conditionalFormatting sqref="O33:O41">
    <cfRule type="cellIs" dxfId="355" priority="59" stopIfTrue="1" operator="equal">
      <formula>0</formula>
    </cfRule>
  </conditionalFormatting>
  <conditionalFormatting sqref="O59:O67">
    <cfRule type="cellIs" dxfId="354" priority="50" stopIfTrue="1" operator="equal">
      <formula>0</formula>
    </cfRule>
  </conditionalFormatting>
  <conditionalFormatting sqref="O85:O93">
    <cfRule type="cellIs" dxfId="353" priority="41" stopIfTrue="1" operator="equal">
      <formula>0</formula>
    </cfRule>
  </conditionalFormatting>
  <conditionalFormatting sqref="O111:O119">
    <cfRule type="cellIs" dxfId="352" priority="32" stopIfTrue="1" operator="equal">
      <formula>0</formula>
    </cfRule>
  </conditionalFormatting>
  <conditionalFormatting sqref="O137:O145">
    <cfRule type="cellIs" dxfId="351" priority="23" stopIfTrue="1" operator="equal">
      <formula>0</formula>
    </cfRule>
  </conditionalFormatting>
  <conditionalFormatting sqref="O163:O171">
    <cfRule type="cellIs" dxfId="350" priority="14" stopIfTrue="1" operator="equal">
      <formula>0</formula>
    </cfRule>
  </conditionalFormatting>
  <conditionalFormatting sqref="O189:O197">
    <cfRule type="cellIs" dxfId="349" priority="5" stopIfTrue="1" operator="equal">
      <formula>0</formula>
    </cfRule>
  </conditionalFormatting>
  <conditionalFormatting sqref="R7:R15">
    <cfRule type="cellIs" dxfId="348" priority="67" stopIfTrue="1" operator="equal">
      <formula>0</formula>
    </cfRule>
  </conditionalFormatting>
  <conditionalFormatting sqref="R33:R41">
    <cfRule type="cellIs" dxfId="347" priority="58" stopIfTrue="1" operator="equal">
      <formula>0</formula>
    </cfRule>
  </conditionalFormatting>
  <conditionalFormatting sqref="R59:R67">
    <cfRule type="cellIs" dxfId="346" priority="49" stopIfTrue="1" operator="equal">
      <formula>0</formula>
    </cfRule>
  </conditionalFormatting>
  <conditionalFormatting sqref="R85:R93">
    <cfRule type="cellIs" dxfId="345" priority="40" stopIfTrue="1" operator="equal">
      <formula>0</formula>
    </cfRule>
  </conditionalFormatting>
  <conditionalFormatting sqref="R111:R119">
    <cfRule type="cellIs" dxfId="344" priority="31" stopIfTrue="1" operator="equal">
      <formula>0</formula>
    </cfRule>
  </conditionalFormatting>
  <conditionalFormatting sqref="R137:R145">
    <cfRule type="cellIs" dxfId="343" priority="22" stopIfTrue="1" operator="equal">
      <formula>0</formula>
    </cfRule>
  </conditionalFormatting>
  <conditionalFormatting sqref="R163:R171">
    <cfRule type="cellIs" dxfId="342" priority="13" stopIfTrue="1" operator="equal">
      <formula>0</formula>
    </cfRule>
  </conditionalFormatting>
  <conditionalFormatting sqref="R189:R197">
    <cfRule type="cellIs" dxfId="341" priority="4" stopIfTrue="1" operator="equal">
      <formula>0</formula>
    </cfRule>
  </conditionalFormatting>
  <conditionalFormatting sqref="U7:U15">
    <cfRule type="cellIs" dxfId="340" priority="64" stopIfTrue="1" operator="equal">
      <formula>0</formula>
    </cfRule>
  </conditionalFormatting>
  <conditionalFormatting sqref="U33:U41">
    <cfRule type="cellIs" dxfId="339" priority="55" stopIfTrue="1" operator="equal">
      <formula>0</formula>
    </cfRule>
  </conditionalFormatting>
  <conditionalFormatting sqref="U59:U67">
    <cfRule type="cellIs" dxfId="338" priority="46" stopIfTrue="1" operator="equal">
      <formula>0</formula>
    </cfRule>
  </conditionalFormatting>
  <conditionalFormatting sqref="U85:U93">
    <cfRule type="cellIs" dxfId="337" priority="37" stopIfTrue="1" operator="equal">
      <formula>0</formula>
    </cfRule>
  </conditionalFormatting>
  <conditionalFormatting sqref="U111:U119">
    <cfRule type="cellIs" dxfId="336" priority="28" stopIfTrue="1" operator="equal">
      <formula>0</formula>
    </cfRule>
  </conditionalFormatting>
  <conditionalFormatting sqref="U137:U145">
    <cfRule type="cellIs" dxfId="335" priority="19" stopIfTrue="1" operator="equal">
      <formula>0</formula>
    </cfRule>
  </conditionalFormatting>
  <conditionalFormatting sqref="U163:U171">
    <cfRule type="cellIs" dxfId="334" priority="10" stopIfTrue="1" operator="equal">
      <formula>0</formula>
    </cfRule>
  </conditionalFormatting>
  <conditionalFormatting sqref="U189:U197">
    <cfRule type="cellIs" dxfId="333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M39 M33 Q33:R41 P39 P33 M65 M59 Q59:R67 P65 P59 M91 M85 Q85:R93 P91 P85 P10 E7:F15 Q137:R145 P143 P137 H7:I15 G13 G7 G10 K7:L15 J13 J7 J10 N7:O15 M10 P36 E33:F41 S13 S7 S10 H33:I41 G39 G33 G36 K33:L41 J39 J33 J36 N33:O41 M36 P62 E59:F67 S39 S33 S36 H59:I67 G65 G59 G62 K59:L67 J65 J59 J62 N59:O67 M62 P88 E85:F93 S65 S59 S62 H85:I93 G91 G85 G88 K85:L93 J91 J85 J88 N85:O93 M88 P114 E111:F119 S91 S85 S88 H111:I119 G117 G111 G114 K111:L119 J117 J111 J114 N111:O119 M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0B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H26"/>
  <sheetViews>
    <sheetView topLeftCell="A6" zoomScale="90" zoomScaleNormal="90" workbookViewId="0">
      <selection activeCell="C48" sqref="C48:T48"/>
    </sheetView>
  </sheetViews>
  <sheetFormatPr baseColWidth="10" defaultRowHeight="13.2"/>
  <cols>
    <col min="1" max="1" width="4.2187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44140625" customWidth="1"/>
    <col min="14" max="14" width="7.6640625" customWidth="1"/>
    <col min="16" max="16" width="4.44140625" customWidth="1"/>
    <col min="17" max="17" width="11.44140625" customWidth="1"/>
    <col min="18" max="18" width="14.33203125" customWidth="1"/>
    <col min="19" max="26" width="11.44140625" customWidth="1"/>
    <col min="27" max="27" width="11.77734375" style="169" hidden="1" customWidth="1"/>
    <col min="28" max="28" width="5" style="169" hidden="1" customWidth="1"/>
    <col min="29" max="29" width="8.44140625" style="169" hidden="1" customWidth="1"/>
    <col min="30" max="30" width="4" style="169" hidden="1" customWidth="1"/>
    <col min="31" max="31" width="4.6640625" style="169" hidden="1" customWidth="1"/>
    <col min="32" max="34" width="11.44140625" hidden="1" customWidth="1"/>
    <col min="35" max="50" width="11.44140625" customWidth="1"/>
  </cols>
  <sheetData>
    <row r="1" spans="1:31" ht="28.5" customHeight="1">
      <c r="A1" s="449" t="str">
        <f>Schlüssel!$C$1</f>
        <v>Landesliga Jugend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55"/>
      <c r="Q1" s="55"/>
      <c r="AA1" s="169" t="s">
        <v>2091</v>
      </c>
    </row>
    <row r="2" spans="1:31" ht="28.5" customHeight="1">
      <c r="A2" s="450" t="str">
        <f>"Saison "&amp;Spielorte!C18&amp;"     -     Spieltag "&amp;Erfassung2!S2&amp;"     -     "&amp;TEXT(Erfassung2!S1,"T. MMMM JJJJ")</f>
        <v>Saison 2024/2025     -     Spieltag 2     -     1. März 2025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55"/>
      <c r="Q2" s="55"/>
    </row>
    <row r="3" spans="1:31" ht="28.5" customHeight="1">
      <c r="A3" s="450" t="str">
        <f>+Erfassung2!G2</f>
        <v>Unterföhring Dreambowl Palace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55"/>
      <c r="Q3" s="55"/>
    </row>
    <row r="4" spans="1:31" ht="13.8" thickBot="1"/>
    <row r="5" spans="1:31">
      <c r="A5" s="451" t="s">
        <v>1804</v>
      </c>
      <c r="B5" s="447" t="s">
        <v>1805</v>
      </c>
      <c r="C5" s="443" t="s">
        <v>1793</v>
      </c>
      <c r="D5" s="444"/>
      <c r="E5" s="443" t="s">
        <v>1794</v>
      </c>
      <c r="F5" s="444"/>
      <c r="G5" s="443" t="s">
        <v>1795</v>
      </c>
      <c r="H5" s="444"/>
      <c r="I5" s="443" t="s">
        <v>1796</v>
      </c>
      <c r="J5" s="444"/>
      <c r="K5" s="443" t="s">
        <v>1797</v>
      </c>
      <c r="L5" s="444"/>
      <c r="M5" s="443" t="s">
        <v>1792</v>
      </c>
      <c r="N5" s="444"/>
      <c r="O5" s="445" t="s">
        <v>1806</v>
      </c>
      <c r="P5" s="55"/>
      <c r="Q5" s="55"/>
    </row>
    <row r="6" spans="1:31" ht="13.8" thickBot="1">
      <c r="A6" s="452"/>
      <c r="B6" s="448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6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>
      <c r="A7" s="163">
        <v>1</v>
      </c>
      <c r="B7" s="104" t="str">
        <f>INDEX(Erfassung2!$B:$B,MATCH($A7,Erfassung2!$BE:$BE,0)-14)</f>
        <v>BK München 1</v>
      </c>
      <c r="C7" s="82">
        <f>INDEX(Erfassung2!F:F,MATCH($A7,Erfassung2!$BE:$BE,0)-1)</f>
        <v>606</v>
      </c>
      <c r="D7" s="83">
        <f>INDEX(Erfassung2!G:G,MATCH($A7,Erfassung2!$BE:$BE,0))</f>
        <v>4</v>
      </c>
      <c r="E7" s="82">
        <f>INDEX(Erfassung2!I:I,MATCH($A7,Erfassung2!$BE:$BE,0)-1)</f>
        <v>624</v>
      </c>
      <c r="F7" s="83">
        <f>INDEX(Erfassung2!J:J,MATCH($A7,Erfassung2!$BE:$BE,0))</f>
        <v>4</v>
      </c>
      <c r="G7" s="82">
        <f>INDEX(Erfassung2!L:L,MATCH($A7,Erfassung2!$BE:$BE,0)-1)</f>
        <v>654</v>
      </c>
      <c r="H7" s="83">
        <f>INDEX(Erfassung2!M:M,MATCH($A7,Erfassung2!$BE:$BE,0))</f>
        <v>5</v>
      </c>
      <c r="I7" s="82">
        <f>INDEX(Erfassung2!O:O,MATCH($A7,Erfassung2!$BE:$BE,0)-1)</f>
        <v>592</v>
      </c>
      <c r="J7" s="83">
        <f>INDEX(Erfassung2!P:P,MATCH($A7,Erfassung2!$BE:$BE,0))</f>
        <v>4</v>
      </c>
      <c r="K7" s="82">
        <f>INDEX(Erfassung2!R:R,MATCH($A7,Erfassung2!$BE:$BE,0)-1)</f>
        <v>670</v>
      </c>
      <c r="L7" s="83">
        <f>INDEX(Erfassung2!S:S,MATCH($A7,Erfassung2!$BE:$BE,0))</f>
        <v>5</v>
      </c>
      <c r="M7" s="84">
        <f t="shared" ref="M7:N12" si="0">SUM(C7+E7+G7+I7+K7)</f>
        <v>3146</v>
      </c>
      <c r="N7" s="85">
        <f t="shared" si="0"/>
        <v>22</v>
      </c>
      <c r="O7" s="65">
        <f>IFERROR(M7/                             INDEX(Erfassung2!AW:AW,                                               MATCH(A7,             Erfassung2!BE:BE,       0)                  ),0)</f>
        <v>209.73333333333332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INDEX(Tabelle1!M:M,MATCH(B7,Tabelle1!B:B,0))+M7</f>
        <v>6115</v>
      </c>
      <c r="AB7" s="167">
        <f>INDEX(Tabelle1!N:N,MATCH(B7,Tabelle1!B:B,0))+N7</f>
        <v>45</v>
      </c>
      <c r="AC7" s="169">
        <f t="shared" ref="AC7:AC14" si="1">+AB7+AA7/1000000000</f>
        <v>45.000006114999998</v>
      </c>
      <c r="AD7" s="169">
        <f t="shared" ref="AD7:AD14" si="2">RANK(AC7,AC:AC)</f>
        <v>1</v>
      </c>
      <c r="AE7" s="169">
        <f>INDEX(Tabelle1!AE:AE,MATCH(B7,Tabelle1!B:B,0))+SUMIF(Erfassung2!BH:BH,B7,Erfassung2!AW:AW)</f>
        <v>30</v>
      </c>
    </row>
    <row r="8" spans="1:31" ht="42" customHeight="1" thickBot="1">
      <c r="A8" s="163">
        <v>2</v>
      </c>
      <c r="B8" s="104" t="str">
        <f>INDEX(Erfassung2!$B:$B,MATCH($A8,Erfassung2!$BE:$BE,0)-14)</f>
        <v>Bad Tölz 1</v>
      </c>
      <c r="C8" s="82">
        <f>INDEX(Erfassung2!F:F,MATCH($A8,Erfassung2!$BE:$BE,0)-1)</f>
        <v>517</v>
      </c>
      <c r="D8" s="83">
        <f>INDEX(Erfassung2!G:G,MATCH($A8,Erfassung2!$BE:$BE,0))</f>
        <v>4.5</v>
      </c>
      <c r="E8" s="82">
        <f>INDEX(Erfassung2!I:I,MATCH($A8,Erfassung2!$BE:$BE,0)-1)</f>
        <v>531</v>
      </c>
      <c r="F8" s="83">
        <f>INDEX(Erfassung2!J:J,MATCH($A8,Erfassung2!$BE:$BE,0))</f>
        <v>4</v>
      </c>
      <c r="G8" s="82">
        <f>INDEX(Erfassung2!L:L,MATCH($A8,Erfassung2!$BE:$BE,0)-1)</f>
        <v>500</v>
      </c>
      <c r="H8" s="83">
        <f>INDEX(Erfassung2!M:M,MATCH($A8,Erfassung2!$BE:$BE,0))</f>
        <v>4</v>
      </c>
      <c r="I8" s="82">
        <f>INDEX(Erfassung2!O:O,MATCH($A8,Erfassung2!$BE:$BE,0)-1)</f>
        <v>521</v>
      </c>
      <c r="J8" s="83">
        <f>INDEX(Erfassung2!P:P,MATCH($A8,Erfassung2!$BE:$BE,0))</f>
        <v>1</v>
      </c>
      <c r="K8" s="82">
        <f>INDEX(Erfassung2!R:R,MATCH($A8,Erfassung2!$BE:$BE,0)-1)</f>
        <v>547</v>
      </c>
      <c r="L8" s="83">
        <f>INDEX(Erfassung2!S:S,MATCH($A8,Erfassung2!$BE:$BE,0))</f>
        <v>4</v>
      </c>
      <c r="M8" s="84">
        <f t="shared" si="0"/>
        <v>2616</v>
      </c>
      <c r="N8" s="85">
        <f t="shared" si="0"/>
        <v>17.5</v>
      </c>
      <c r="O8" s="65">
        <f>IFERROR(M8/                             INDEX(Erfassung2!AW:AW,                                               MATCH(A8,             Erfassung2!BE:BE,       0)                  ),0)</f>
        <v>174.4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>
        <f>INDEX(Tabelle1!M:M,MATCH(B8,Tabelle1!B:B,0))+M8</f>
        <v>4457</v>
      </c>
      <c r="AB8" s="167">
        <f>INDEX(Tabelle1!N:N,MATCH(B8,Tabelle1!B:B,0))+N8</f>
        <v>25.5</v>
      </c>
      <c r="AC8" s="169">
        <f t="shared" si="1"/>
        <v>25.500004456999999</v>
      </c>
      <c r="AD8" s="169">
        <f t="shared" si="2"/>
        <v>4</v>
      </c>
      <c r="AE8" s="169">
        <f>INDEX(Tabelle1!AE:AE,MATCH(B8,Tabelle1!B:B,0))+SUMIF(Erfassung2!BH:BH,B8,Erfassung2!AW:AW)</f>
        <v>25</v>
      </c>
    </row>
    <row r="9" spans="1:31" ht="42" customHeight="1" thickBot="1">
      <c r="A9" s="163">
        <v>3</v>
      </c>
      <c r="B9" s="104" t="str">
        <f>INDEX(Erfassung2!$B:$B,MATCH($A9,Erfassung2!$BE:$BE,0)-14)</f>
        <v>EMAX 1</v>
      </c>
      <c r="C9" s="82">
        <f>INDEX(Erfassung2!F:F,MATCH($A9,Erfassung2!$BE:$BE,0)-1)</f>
        <v>456</v>
      </c>
      <c r="D9" s="83">
        <f>INDEX(Erfassung2!G:G,MATCH($A9,Erfassung2!$BE:$BE,0))</f>
        <v>4</v>
      </c>
      <c r="E9" s="82">
        <f>INDEX(Erfassung2!I:I,MATCH($A9,Erfassung2!$BE:$BE,0)-1)</f>
        <v>558</v>
      </c>
      <c r="F9" s="83">
        <f>INDEX(Erfassung2!J:J,MATCH($A9,Erfassung2!$BE:$BE,0))</f>
        <v>5</v>
      </c>
      <c r="G9" s="82">
        <f>INDEX(Erfassung2!L:L,MATCH($A9,Erfassung2!$BE:$BE,0)-1)</f>
        <v>481</v>
      </c>
      <c r="H9" s="83">
        <f>INDEX(Erfassung2!M:M,MATCH($A9,Erfassung2!$BE:$BE,0))</f>
        <v>1</v>
      </c>
      <c r="I9" s="82">
        <f>INDEX(Erfassung2!O:O,MATCH($A9,Erfassung2!$BE:$BE,0)-1)</f>
        <v>539</v>
      </c>
      <c r="J9" s="83">
        <f>INDEX(Erfassung2!P:P,MATCH($A9,Erfassung2!$BE:$BE,0))</f>
        <v>4</v>
      </c>
      <c r="K9" s="82">
        <f>INDEX(Erfassung2!R:R,MATCH($A9,Erfassung2!$BE:$BE,0)-1)</f>
        <v>479</v>
      </c>
      <c r="L9" s="83">
        <f>INDEX(Erfassung2!S:S,MATCH($A9,Erfassung2!$BE:$BE,0))</f>
        <v>2</v>
      </c>
      <c r="M9" s="84">
        <f t="shared" si="0"/>
        <v>2513</v>
      </c>
      <c r="N9" s="85">
        <f t="shared" si="0"/>
        <v>16</v>
      </c>
      <c r="O9" s="65">
        <f>IFERROR(M9/                             INDEX(Erfassung2!AW:AW,                                               MATCH(A9,             Erfassung2!BE:BE,       0)                  ),0)</f>
        <v>167.53333333333333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>
        <f>INDEX(Tabelle1!M:M,MATCH(B9,Tabelle1!B:B,0))+M9</f>
        <v>4794</v>
      </c>
      <c r="AB9" s="167">
        <f>INDEX(Tabelle1!N:N,MATCH(B9,Tabelle1!B:B,0))+N9</f>
        <v>30</v>
      </c>
      <c r="AC9" s="169">
        <f t="shared" si="1"/>
        <v>30.000004793999999</v>
      </c>
      <c r="AD9" s="169">
        <f t="shared" si="2"/>
        <v>2</v>
      </c>
      <c r="AE9" s="169">
        <f>INDEX(Tabelle1!AE:AE,MATCH(B9,Tabelle1!B:B,0))+SUMIF(Erfassung2!BH:BH,B9,Erfassung2!AW:AW)</f>
        <v>30</v>
      </c>
    </row>
    <row r="10" spans="1:31" ht="42" customHeight="1" thickBot="1">
      <c r="A10" s="163">
        <v>4</v>
      </c>
      <c r="B10" s="104" t="str">
        <f>INDEX(Erfassung2!$B:$B,MATCH($A10,Erfassung2!$BE:$BE,0)-14)</f>
        <v>Bowling Jugend Bayern 1</v>
      </c>
      <c r="C10" s="82">
        <f>INDEX(Erfassung2!F:F,MATCH($A10,Erfassung2!$BE:$BE,0)-1)</f>
        <v>487</v>
      </c>
      <c r="D10" s="83">
        <f>INDEX(Erfassung2!G:G,MATCH($A10,Erfassung2!$BE:$BE,0))</f>
        <v>1</v>
      </c>
      <c r="E10" s="82">
        <f>INDEX(Erfassung2!I:I,MATCH($A10,Erfassung2!$BE:$BE,0)-1)</f>
        <v>515</v>
      </c>
      <c r="F10" s="83">
        <f>INDEX(Erfassung2!J:J,MATCH($A10,Erfassung2!$BE:$BE,0))</f>
        <v>1</v>
      </c>
      <c r="G10" s="82">
        <f>INDEX(Erfassung2!L:L,MATCH($A10,Erfassung2!$BE:$BE,0)-1)</f>
        <v>519</v>
      </c>
      <c r="H10" s="83">
        <f>INDEX(Erfassung2!M:M,MATCH($A10,Erfassung2!$BE:$BE,0))</f>
        <v>4</v>
      </c>
      <c r="I10" s="82">
        <f>INDEX(Erfassung2!O:O,MATCH($A10,Erfassung2!$BE:$BE,0)-1)</f>
        <v>476</v>
      </c>
      <c r="J10" s="83">
        <f>INDEX(Erfassung2!P:P,MATCH($A10,Erfassung2!$BE:$BE,0))</f>
        <v>4</v>
      </c>
      <c r="K10" s="82">
        <f>INDEX(Erfassung2!R:R,MATCH($A10,Erfassung2!$BE:$BE,0)-1)</f>
        <v>560</v>
      </c>
      <c r="L10" s="83">
        <f>INDEX(Erfassung2!S:S,MATCH($A10,Erfassung2!$BE:$BE,0))</f>
        <v>4.5</v>
      </c>
      <c r="M10" s="84">
        <f t="shared" si="0"/>
        <v>2557</v>
      </c>
      <c r="N10" s="85">
        <f t="shared" si="0"/>
        <v>14.5</v>
      </c>
      <c r="O10" s="65">
        <f>IFERROR(M10/                             INDEX(Erfassung2!AW:AW,                                               MATCH(A10,             Erfassung2!BE:BE,       0)                  ),0)</f>
        <v>170.46666666666667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>
        <f>INDEX(Tabelle1!M:M,MATCH(B10,Tabelle1!B:B,0))+M10</f>
        <v>4853</v>
      </c>
      <c r="AB10" s="167">
        <f>INDEX(Tabelle1!N:N,MATCH(B10,Tabelle1!B:B,0))+N10</f>
        <v>28.5</v>
      </c>
      <c r="AC10" s="169">
        <f t="shared" si="1"/>
        <v>28.500004853</v>
      </c>
      <c r="AD10" s="169">
        <f t="shared" si="2"/>
        <v>3</v>
      </c>
      <c r="AE10" s="169">
        <f>INDEX(Tabelle1!AE:AE,MATCH(B10,Tabelle1!B:B,0))+SUMIF(Erfassung2!BH:BH,B10,Erfassung2!AW:AW)</f>
        <v>30</v>
      </c>
    </row>
    <row r="11" spans="1:31" ht="42" customHeight="1" thickBot="1">
      <c r="A11" s="163">
        <v>5</v>
      </c>
      <c r="B11" s="104" t="str">
        <f>_xlfn.ANCHORARRAY(INDEX(Erfassung2!$B:$B,MATCH($A11,Erfassung2!$BE:$BE,0)-14))</f>
        <v>Highroller Rosenheim 3</v>
      </c>
      <c r="C11" s="82">
        <f>INDEX(Erfassung2!F:F,MATCH($A11,Erfassung2!$BE:$BE,0)-1)</f>
        <v>434</v>
      </c>
      <c r="D11" s="83">
        <f>INDEX(Erfassung2!G:G,MATCH($A11,Erfassung2!$BE:$BE,0))</f>
        <v>0.5</v>
      </c>
      <c r="E11" s="82">
        <f>INDEX(Erfassung2!I:I,MATCH($A11,Erfassung2!$BE:$BE,0)-1)</f>
        <v>501</v>
      </c>
      <c r="F11" s="83">
        <f>INDEX(Erfassung2!J:J,MATCH($A11,Erfassung2!$BE:$BE,0))</f>
        <v>1</v>
      </c>
      <c r="G11" s="82">
        <f>INDEX(Erfassung2!L:L,MATCH($A11,Erfassung2!$BE:$BE,0)-1)</f>
        <v>471</v>
      </c>
      <c r="H11" s="83">
        <f>INDEX(Erfassung2!M:M,MATCH($A11,Erfassung2!$BE:$BE,0))</f>
        <v>3</v>
      </c>
      <c r="I11" s="82">
        <f>INDEX(Erfassung2!O:O,MATCH($A11,Erfassung2!$BE:$BE,0)-1)</f>
        <v>539</v>
      </c>
      <c r="J11" s="83">
        <f>INDEX(Erfassung2!P:P,MATCH($A11,Erfassung2!$BE:$BE,0))</f>
        <v>4</v>
      </c>
      <c r="K11" s="82">
        <f>INDEX(Erfassung2!R:R,MATCH($A11,Erfassung2!$BE:$BE,0)-1)</f>
        <v>483</v>
      </c>
      <c r="L11" s="83">
        <f>INDEX(Erfassung2!S:S,MATCH($A11,Erfassung2!$BE:$BE,0))</f>
        <v>3</v>
      </c>
      <c r="M11" s="84">
        <f t="shared" si="0"/>
        <v>2428</v>
      </c>
      <c r="N11" s="85">
        <f t="shared" si="0"/>
        <v>11.5</v>
      </c>
      <c r="O11" s="65">
        <f>IFERROR(M11/                             INDEX(Erfassung2!AW:AW,                                               MATCH(A11,             Erfassung2!BE:BE,       0)                  ),0)</f>
        <v>161.86666666666667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>
        <f>INDEX(Tabelle1!M:M,MATCH(B11,Tabelle1!B:B,0))+M11</f>
        <v>4625</v>
      </c>
      <c r="AB11" s="167">
        <f>INDEX(Tabelle1!N:N,MATCH(B11,Tabelle1!B:B,0))+N11</f>
        <v>16</v>
      </c>
      <c r="AC11" s="169">
        <f t="shared" si="1"/>
        <v>16.000004624999999</v>
      </c>
      <c r="AD11" s="169">
        <f t="shared" si="2"/>
        <v>7</v>
      </c>
      <c r="AE11" s="169">
        <f>INDEX(Tabelle1!AE:AE,MATCH(B11,Tabelle1!B:B,0))+SUMIF(Erfassung2!BH:BH,B11,Erfassung2!AW:AW)</f>
        <v>30</v>
      </c>
    </row>
    <row r="12" spans="1:31" ht="42" customHeight="1" thickBot="1">
      <c r="A12" s="163">
        <v>6</v>
      </c>
      <c r="B12" s="104" t="str">
        <f>INDEX(Erfassung2!$B:$B,MATCH($A12,Erfassung2!$BE:$BE,0)-14)</f>
        <v>Berchtesgaden 1</v>
      </c>
      <c r="C12" s="82">
        <f>INDEX(Erfassung2!F:F,MATCH($A12,Erfassung2!$BE:$BE,0)-1)</f>
        <v>434</v>
      </c>
      <c r="D12" s="83">
        <f>INDEX(Erfassung2!G:G,MATCH($A12,Erfassung2!$BE:$BE,0))</f>
        <v>1</v>
      </c>
      <c r="E12" s="82">
        <f>INDEX(Erfassung2!I:I,MATCH($A12,Erfassung2!$BE:$BE,0)-1)</f>
        <v>562</v>
      </c>
      <c r="F12" s="83">
        <f>INDEX(Erfassung2!J:J,MATCH($A12,Erfassung2!$BE:$BE,0))</f>
        <v>4</v>
      </c>
      <c r="G12" s="82">
        <f>INDEX(Erfassung2!L:L,MATCH($A12,Erfassung2!$BE:$BE,0)-1)</f>
        <v>492</v>
      </c>
      <c r="H12" s="83">
        <f>INDEX(Erfassung2!M:M,MATCH($A12,Erfassung2!$BE:$BE,0))</f>
        <v>0</v>
      </c>
      <c r="I12" s="82">
        <f>INDEX(Erfassung2!O:O,MATCH($A12,Erfassung2!$BE:$BE,0)-1)</f>
        <v>451</v>
      </c>
      <c r="J12" s="83">
        <f>INDEX(Erfassung2!P:P,MATCH($A12,Erfassung2!$BE:$BE,0))</f>
        <v>1</v>
      </c>
      <c r="K12" s="82">
        <f>INDEX(Erfassung2!R:R,MATCH($A12,Erfassung2!$BE:$BE,0)-1)</f>
        <v>450</v>
      </c>
      <c r="L12" s="83">
        <f>INDEX(Erfassung2!S:S,MATCH($A12,Erfassung2!$BE:$BE,0))</f>
        <v>1</v>
      </c>
      <c r="M12" s="84">
        <f t="shared" si="0"/>
        <v>2389</v>
      </c>
      <c r="N12" s="85">
        <f t="shared" si="0"/>
        <v>7</v>
      </c>
      <c r="O12" s="65">
        <f>IFERROR(M12/                             INDEX(Erfassung2!AW:AW,                                               MATCH(A12,             Erfassung2!BE:BE,       0)                  ),0)</f>
        <v>159.26666666666668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>
        <f>INDEX(Tabelle1!M:M,MATCH(B12,Tabelle1!B:B,0))+M12</f>
        <v>4744</v>
      </c>
      <c r="AB12" s="167">
        <f>INDEX(Tabelle1!N:N,MATCH(B12,Tabelle1!B:B,0))+N12</f>
        <v>25</v>
      </c>
      <c r="AC12" s="169">
        <f t="shared" si="1"/>
        <v>25.000004744000002</v>
      </c>
      <c r="AD12" s="169">
        <f t="shared" si="2"/>
        <v>5</v>
      </c>
      <c r="AE12" s="169">
        <f>INDEX(Tabelle1!AE:AE,MATCH(B12,Tabelle1!B:B,0))+SUMIF(Erfassung2!BH:BH,B12,Erfassung2!AW:AW)</f>
        <v>30</v>
      </c>
    </row>
    <row r="13" spans="1:31" ht="42" customHeight="1" thickBot="1">
      <c r="A13" s="163">
        <v>7</v>
      </c>
      <c r="B13" s="104" t="str">
        <f>INDEX(Erfassung2!$B:$B,MATCH($A13,Erfassung2!$BE:$BE,0)-14)</f>
        <v>Highroller Rosenheim 1</v>
      </c>
      <c r="C13" s="82">
        <f>INDEX(Erfassung2!F:F,MATCH($A13,Erfassung2!$BE:$BE,0)-1)</f>
        <v>444</v>
      </c>
      <c r="D13" s="83">
        <f>INDEX(Erfassung2!G:G,MATCH($A13,Erfassung2!$BE:$BE,0))</f>
        <v>4</v>
      </c>
      <c r="E13" s="82">
        <f>INDEX(Erfassung2!I:I,MATCH($A13,Erfassung2!$BE:$BE,0)-1)</f>
        <v>458</v>
      </c>
      <c r="F13" s="83">
        <f>INDEX(Erfassung2!J:J,MATCH($A13,Erfassung2!$BE:$BE,0))</f>
        <v>0</v>
      </c>
      <c r="G13" s="82">
        <f>INDEX(Erfassung2!L:L,MATCH($A13,Erfassung2!$BE:$BE,0)-1)</f>
        <v>458</v>
      </c>
      <c r="H13" s="83">
        <f>INDEX(Erfassung2!M:M,MATCH($A13,Erfassung2!$BE:$BE,0))</f>
        <v>2</v>
      </c>
      <c r="I13" s="82">
        <f>INDEX(Erfassung2!O:O,MATCH($A13,Erfassung2!$BE:$BE,0)-1)</f>
        <v>462</v>
      </c>
      <c r="J13" s="83">
        <f>INDEX(Erfassung2!P:P,MATCH($A13,Erfassung2!$BE:$BE,0))</f>
        <v>1</v>
      </c>
      <c r="K13" s="82">
        <f>INDEX(Erfassung2!R:R,MATCH($A13,Erfassung2!$BE:$BE,0)-1)</f>
        <v>467</v>
      </c>
      <c r="L13" s="83">
        <f>INDEX(Erfassung2!S:S,MATCH($A13,Erfassung2!$BE:$BE,0))</f>
        <v>0</v>
      </c>
      <c r="M13" s="84">
        <f t="shared" ref="M13:M14" si="3">SUM(C13+E13+G13+I13+K13)</f>
        <v>2289</v>
      </c>
      <c r="N13" s="85">
        <f t="shared" ref="N13:N14" si="4">SUM(D13+F13+H13+J13+L13)</f>
        <v>7</v>
      </c>
      <c r="O13" s="65">
        <f>IFERROR(M13/                             INDEX(Erfassung2!AW:AW,                                               MATCH(A13,             Erfassung2!BE:BE,       0)                  ),0)</f>
        <v>152.6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>
        <f>INDEX(Tabelle1!M:M,MATCH(B13,Tabelle1!B:B,0))+M13</f>
        <v>4530</v>
      </c>
      <c r="AB13" s="167">
        <f>INDEX(Tabelle1!N:N,MATCH(B13,Tabelle1!B:B,0))+N13</f>
        <v>17</v>
      </c>
      <c r="AC13" s="169">
        <f t="shared" si="1"/>
        <v>17.000004529999998</v>
      </c>
      <c r="AD13" s="169">
        <f t="shared" si="2"/>
        <v>6</v>
      </c>
      <c r="AE13" s="169">
        <f>INDEX(Tabelle1!AE:AE,MATCH(B13,Tabelle1!B:B,0))+SUMIF(Erfassung2!BH:BH,B13,Erfassung2!AW:AW)</f>
        <v>30</v>
      </c>
    </row>
    <row r="14" spans="1:31" ht="42" customHeight="1" thickBot="1">
      <c r="A14" s="163">
        <v>8</v>
      </c>
      <c r="B14" s="104" t="str">
        <f>INDEX(Erfassung2!$B:$B,MATCH($A14,Erfassung2!$BE:$BE,0)-14)</f>
        <v>Highroller Rosenheim 2</v>
      </c>
      <c r="C14" s="82">
        <f>INDEX(Erfassung2!F:F,MATCH($A14,Erfassung2!$BE:$BE,0)-1)</f>
        <v>404</v>
      </c>
      <c r="D14" s="83">
        <f>INDEX(Erfassung2!G:G,MATCH($A14,Erfassung2!$BE:$BE,0))</f>
        <v>1</v>
      </c>
      <c r="E14" s="82">
        <f>INDEX(Erfassung2!I:I,MATCH($A14,Erfassung2!$BE:$BE,0)-1)</f>
        <v>456</v>
      </c>
      <c r="F14" s="83">
        <f>INDEX(Erfassung2!J:J,MATCH($A14,Erfassung2!$BE:$BE,0))</f>
        <v>1</v>
      </c>
      <c r="G14" s="82">
        <f>INDEX(Erfassung2!L:L,MATCH($A14,Erfassung2!$BE:$BE,0)-1)</f>
        <v>450</v>
      </c>
      <c r="H14" s="83">
        <f>INDEX(Erfassung2!M:M,MATCH($A14,Erfassung2!$BE:$BE,0))</f>
        <v>1</v>
      </c>
      <c r="I14" s="82">
        <f>INDEX(Erfassung2!O:O,MATCH($A14,Erfassung2!$BE:$BE,0)-1)</f>
        <v>510</v>
      </c>
      <c r="J14" s="83">
        <f>INDEX(Erfassung2!P:P,MATCH($A14,Erfassung2!$BE:$BE,0))</f>
        <v>1</v>
      </c>
      <c r="K14" s="82">
        <f>INDEX(Erfassung2!R:R,MATCH($A14,Erfassung2!$BE:$BE,0)-1)</f>
        <v>477</v>
      </c>
      <c r="L14" s="83">
        <f>INDEX(Erfassung2!S:S,MATCH($A14,Erfassung2!$BE:$BE,0))</f>
        <v>0.5</v>
      </c>
      <c r="M14" s="84">
        <f t="shared" si="3"/>
        <v>2297</v>
      </c>
      <c r="N14" s="85">
        <f t="shared" si="4"/>
        <v>4.5</v>
      </c>
      <c r="O14" s="65">
        <f>IFERROR(M14/                             INDEX(Erfassung2!AW:AW,                                               MATCH(A14,             Erfassung2!BE:BE,       0)                  ),0)</f>
        <v>153.13333333333333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>
        <f>INDEX(Tabelle1!M:M,MATCH(B14,Tabelle1!B:B,0))+M14</f>
        <v>4474</v>
      </c>
      <c r="AB14" s="167">
        <f>INDEX(Tabelle1!N:N,MATCH(B14,Tabelle1!B:B,0))+N14</f>
        <v>13</v>
      </c>
      <c r="AC14" s="169">
        <f t="shared" si="1"/>
        <v>13.000004474000001</v>
      </c>
      <c r="AD14" s="169">
        <f t="shared" si="2"/>
        <v>8</v>
      </c>
      <c r="AE14" s="169">
        <f>INDEX(Tabelle1!AE:AE,MATCH(B14,Tabelle1!B:B,0))+SUMIF(Erfassung2!BH:BH,B14,Erfassung2!AW:AW)</f>
        <v>30</v>
      </c>
    </row>
    <row r="17" spans="2:18" ht="15.6">
      <c r="B17" s="442" t="s">
        <v>2379</v>
      </c>
      <c r="C17" s="442"/>
      <c r="D17" s="442"/>
      <c r="E17" s="442"/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89"/>
      <c r="Q17" s="89"/>
      <c r="R17" s="89"/>
    </row>
    <row r="18" spans="2:18">
      <c r="C18" s="453"/>
      <c r="D18" s="453"/>
      <c r="E18" s="453"/>
      <c r="F18" s="453"/>
      <c r="G18" s="453"/>
      <c r="H18" s="453"/>
    </row>
    <row r="19" spans="2:18">
      <c r="B19" s="89" t="s">
        <v>1817</v>
      </c>
      <c r="C19" t="str">
        <f>IFERROR(INDEX(Erfassung2!B:B,MATCH(1,Erfassung2!BI:BI,0)),"")</f>
        <v>Gründl, Alexander</v>
      </c>
      <c r="H19" t="str">
        <f>INDEX(Erfassung2!BH:BH,MATCH(C19,Erfassung2!B:B,0))</f>
        <v>BK München 1</v>
      </c>
      <c r="N19" s="87">
        <f>IFERROR(ROUND(INDEX(Erfassung2!BG:BG,MATCH(1,Erfassung2!BI:BI,0)),0),"")</f>
        <v>279</v>
      </c>
    </row>
    <row r="20" spans="2:18">
      <c r="B20" s="89"/>
      <c r="C20" t="str">
        <f>IF(N20="","",IFERROR(INDEX(Erfassung2!B:B,MATCH(2,Erfassung2!BI:BI,0)),""))</f>
        <v/>
      </c>
      <c r="H20" t="str">
        <f>IF(C20="","",INDEX(Erfassung2!BH:BH,MATCH(C20,Erfassung2!B:B,0)))</f>
        <v/>
      </c>
      <c r="N20" s="88" t="str">
        <f>IF(IFERROR(ROUND(INDEX(Erfassung2!BG:BG,MATCH(2,Erfassung2!BI:BI,0)),0),0)=0,"",IFERROR(ROUND(INDEX(Erfassung2!BG:BG,MATCH(2,Erfassung2!BI:BI,0)),0),0))</f>
        <v/>
      </c>
    </row>
    <row r="21" spans="2:18">
      <c r="B21" s="89"/>
      <c r="C21" t="str">
        <f>IF(N21="","",IFERROR(INDEX(Erfassung2!B:B,MATCH(3,Erfassung2!BI:BI,0)),""))</f>
        <v/>
      </c>
      <c r="H21" t="str">
        <f>IF(C21="","",INDEX(Erfassung2!BH:BH,MATCH(C21,Erfassung2!B:B,0)))</f>
        <v/>
      </c>
      <c r="N21" s="88" t="str">
        <f>IF(IFERROR(ROUND(INDEX(Erfassung2!BG:BG,MATCH(3,Erfassung2!BI:BI,0)),0),0)=0,"",IFERROR(ROUND(INDEX(Erfassung2!BG:BG,MATCH(3,Erfassung2!BI:BI,0)),0),""))</f>
        <v/>
      </c>
    </row>
    <row r="22" spans="2:18">
      <c r="B22" s="89" t="s">
        <v>1818</v>
      </c>
      <c r="C22" t="str">
        <f>IFERROR(INDEX(Erfassung2!B:B,MATCH(1,Erfassung2!BM:BM,0)),"")</f>
        <v>Gründl, Alexander</v>
      </c>
      <c r="H22" t="str">
        <f>INDEX(Erfassung2!BH:BH,MATCH(C22,Erfassung2!B:B,0))</f>
        <v>BK München 1</v>
      </c>
      <c r="N22" s="441" t="str">
        <f>IFERROR(ROUND(INDEX(Erfassung2!BJ:BJ,MATCH(1,Erfassung2!BM:BM,0)),0),"")&amp;"  /  "&amp;ROUND(IFERROR(ROUND(INDEX(Erfassung2!BJ:BJ,MATCH(1,Erfassung2!BM:BM,0)),0),"")/5,2)</f>
        <v>1107  /  221,4</v>
      </c>
      <c r="O22" s="441"/>
      <c r="P22" s="78"/>
    </row>
    <row r="23" spans="2:18">
      <c r="C23" t="str">
        <f>IF(N23="","",IFERROR(INDEX(Erfassung2!B:B,MATCH(2,Erfassung2!BM:BM,0)),""))</f>
        <v/>
      </c>
      <c r="E23" s="6"/>
      <c r="H23" t="str">
        <f>IF(C23="","",INDEX(Erfassung2!BH:BH,MATCH(C23,Erfassung2!B:B,0)))</f>
        <v/>
      </c>
      <c r="N23" s="88" t="str">
        <f>IF(IFERROR(ROUND(INDEX(Erfassung2!BJ:BJ,MATCH(2,Erfassung2!BM:BM,0)),0),0)=0,"",IFERROR(ROUND(INDEX(Erfassung2!BJ:BJ,MATCH(2,Erfassung2!BM:BM,0)),0),0))</f>
        <v/>
      </c>
    </row>
    <row r="24" spans="2:18">
      <c r="C24" t="str">
        <f>IF(N24="","",IFERROR(INDEX(Erfassung2!B:B,MATCH(3,Erfassung2!BM:BM,0)),""))</f>
        <v/>
      </c>
      <c r="E24" s="6"/>
      <c r="H24" t="str">
        <f>IF(C24="","",INDEX(Erfassung2!BH:BH,MATCH(C24,Erfassung2!B:B,0)))</f>
        <v/>
      </c>
      <c r="N24" s="88" t="str">
        <f>IF(IFERROR(ROUND(INDEX(Erfassung2!BJ:BJ,MATCH(3,Erfassung2!BM:BM,0)),0),0)=0,"",IFERROR(ROUND(INDEX(Erfassung2!BJ:BJ,MATCH(3,Erfassung2!BM:BM,0)),0),0))</f>
        <v/>
      </c>
    </row>
    <row r="26" spans="2:18" ht="23.25" customHeight="1"/>
  </sheetData>
  <sheetProtection algorithmName="SHA-512" hashValue="uIjM/7Oe0lMf7TZo4sh1kbDw7ZTWsPz7vAq+iWJakfEblUo0jxS9VVqwYqtX1SmwxYQwGWauYXyn6wWKqgBKLw==" saltValue="NUiAWhudx7VVztmKmnGrsA==" spinCount="100000" sheet="1" objects="1" scenarios="1" formatCells="0" formatColumns="0" formatRows="0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B17:O17"/>
    <mergeCell ref="C18:H18"/>
    <mergeCell ref="N22:O22"/>
    <mergeCell ref="M5:N5"/>
    <mergeCell ref="O5:O6"/>
    <mergeCell ref="K5:L5"/>
  </mergeCells>
  <conditionalFormatting sqref="C7:L14">
    <cfRule type="top10" dxfId="332" priority="6" stopIfTrue="1" rank="1"/>
  </conditionalFormatting>
  <conditionalFormatting sqref="M7:M14">
    <cfRule type="top10" dxfId="331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6" fitToWidth="0" orientation="landscape" r:id="rId1"/>
  <headerFooter alignWithMargins="0">
    <oddHeader>&amp;R&amp;G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</sheetPr>
  <dimension ref="A1:O14"/>
  <sheetViews>
    <sheetView workbookViewId="0">
      <selection activeCell="C48" sqref="C48:T48"/>
    </sheetView>
  </sheetViews>
  <sheetFormatPr baseColWidth="10" defaultRowHeight="13.2"/>
  <cols>
    <col min="1" max="1" width="4.21875" customWidth="1"/>
    <col min="2" max="2" width="21.6640625" customWidth="1"/>
    <col min="3" max="6" width="8.6640625" customWidth="1"/>
    <col min="7" max="7" width="13.44140625" customWidth="1"/>
    <col min="8" max="8" width="9.44140625" customWidth="1"/>
    <col min="10" max="10" width="6.44140625" customWidth="1"/>
  </cols>
  <sheetData>
    <row r="1" spans="1:15" ht="28.5" customHeight="1">
      <c r="A1" s="449" t="str">
        <f>Schlüssel!$C$1</f>
        <v>Landesliga Jugend</v>
      </c>
      <c r="B1" s="449"/>
      <c r="C1" s="449"/>
      <c r="D1" s="449"/>
      <c r="E1" s="449"/>
      <c r="F1" s="449"/>
      <c r="G1" s="449"/>
      <c r="H1" s="449"/>
      <c r="I1" s="449"/>
    </row>
    <row r="2" spans="1:15" ht="28.5" customHeight="1">
      <c r="A2" s="450" t="str">
        <f>"Saison "&amp;Spielorte!C18&amp;"     -     Spieltag "&amp;Erfassung2!S2&amp;"     -     "&amp;TEXT(Erfassung2!S1,"T. MMMM JJJJ")</f>
        <v>Saison 2024/2025     -     Spieltag 2     -     1. März 2025</v>
      </c>
      <c r="B2" s="450"/>
      <c r="C2" s="450"/>
      <c r="D2" s="450"/>
      <c r="E2" s="450"/>
      <c r="F2" s="450"/>
      <c r="G2" s="450"/>
      <c r="H2" s="450"/>
      <c r="I2" s="450"/>
      <c r="J2" s="62"/>
      <c r="K2" s="62"/>
      <c r="L2" s="62"/>
      <c r="M2" s="62"/>
      <c r="N2" s="62"/>
      <c r="O2" s="62"/>
    </row>
    <row r="3" spans="1:15" ht="28.5" customHeight="1">
      <c r="A3" s="449" t="s">
        <v>1863</v>
      </c>
      <c r="B3" s="449"/>
      <c r="C3" s="449"/>
      <c r="D3" s="449"/>
      <c r="E3" s="449"/>
      <c r="F3" s="449"/>
      <c r="G3" s="449"/>
      <c r="H3" s="449"/>
      <c r="I3" s="449"/>
      <c r="J3" s="62"/>
      <c r="K3" s="62"/>
      <c r="L3" s="62"/>
      <c r="M3" s="62"/>
      <c r="N3" s="62"/>
      <c r="O3" s="62"/>
    </row>
    <row r="4" spans="1:15" ht="28.5" customHeight="1" thickBot="1">
      <c r="A4" s="164"/>
      <c r="B4" s="164"/>
      <c r="C4" s="73"/>
      <c r="D4" s="165"/>
      <c r="E4" s="165"/>
      <c r="F4" s="165"/>
      <c r="G4" s="165"/>
      <c r="H4" s="74"/>
      <c r="I4" s="147"/>
    </row>
    <row r="5" spans="1:15">
      <c r="A5" s="451" t="s">
        <v>1804</v>
      </c>
      <c r="B5" s="447" t="s">
        <v>1805</v>
      </c>
      <c r="C5" s="443" t="s">
        <v>1808</v>
      </c>
      <c r="D5" s="444"/>
      <c r="E5" s="454" t="s">
        <v>1809</v>
      </c>
      <c r="F5" s="455"/>
      <c r="G5" s="443" t="s">
        <v>1792</v>
      </c>
      <c r="H5" s="444"/>
      <c r="I5" s="445" t="s">
        <v>1806</v>
      </c>
    </row>
    <row r="6" spans="1:15" ht="13.8" thickBot="1">
      <c r="A6" s="452"/>
      <c r="B6" s="448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446"/>
    </row>
    <row r="7" spans="1:15" ht="42" customHeight="1" thickBot="1">
      <c r="A7" s="172">
        <v>1</v>
      </c>
      <c r="B7" s="104" t="str">
        <f>INDEX(Tabelle2!B:B,MATCH(A7,Tabelle2!AD:AD,0))</f>
        <v>BK München 1</v>
      </c>
      <c r="C7" s="148">
        <f>INDEX(Tabelle1!M:M,MATCH(B7,Tabelle1!B:B,0))</f>
        <v>2969</v>
      </c>
      <c r="D7" s="149">
        <f>INDEX(Tabelle1!N:N,MATCH(B7,Tabelle1!B:B,0))</f>
        <v>23</v>
      </c>
      <c r="E7" s="148">
        <f>INDEX(Tabelle2!M:M,MATCH(B7,Tabelle2!B:B,0))</f>
        <v>3146</v>
      </c>
      <c r="F7" s="149">
        <f>INDEX(Tabelle2!N:N,MATCH(B7,Tabelle2!B:B,0))</f>
        <v>22</v>
      </c>
      <c r="G7" s="173">
        <f t="shared" ref="G7:H12" si="0">SUM(C7+E7)</f>
        <v>6115</v>
      </c>
      <c r="H7" s="174">
        <f t="shared" si="0"/>
        <v>45</v>
      </c>
      <c r="I7" s="175">
        <f>G7/INDEX(Tabelle2!$AE:$AE,MATCH($B7,Tabelle2!$B:$B,0))</f>
        <v>203.83333333333334</v>
      </c>
      <c r="J7" s="70"/>
    </row>
    <row r="8" spans="1:15" ht="42" customHeight="1" thickBot="1">
      <c r="A8" s="172">
        <v>2</v>
      </c>
      <c r="B8" s="104" t="str">
        <f>INDEX(Tabelle2!B:B,MATCH(A8,Tabelle2!AD:AD,0))</f>
        <v>EMAX 1</v>
      </c>
      <c r="C8" s="148">
        <f>INDEX(Tabelle1!M:M,MATCH(B8,Tabelle1!B:B,0))</f>
        <v>2281</v>
      </c>
      <c r="D8" s="149">
        <f>INDEX(Tabelle1!N:N,MATCH(B8,Tabelle1!B:B,0))</f>
        <v>14</v>
      </c>
      <c r="E8" s="148">
        <f>INDEX(Tabelle2!M:M,MATCH(B8,Tabelle2!B:B,0))</f>
        <v>2513</v>
      </c>
      <c r="F8" s="149">
        <f>INDEX(Tabelle2!N:N,MATCH(B8,Tabelle2!B:B,0))</f>
        <v>16</v>
      </c>
      <c r="G8" s="173">
        <f t="shared" si="0"/>
        <v>4794</v>
      </c>
      <c r="H8" s="174">
        <f t="shared" si="0"/>
        <v>30</v>
      </c>
      <c r="I8" s="175">
        <f>G8/INDEX(Tabelle2!AE:AE,MATCH(B8,Tabelle2!B:B,0))</f>
        <v>159.80000000000001</v>
      </c>
      <c r="J8" s="70"/>
    </row>
    <row r="9" spans="1:15" ht="42" customHeight="1" thickBot="1">
      <c r="A9" s="172">
        <v>3</v>
      </c>
      <c r="B9" s="104" t="str">
        <f>INDEX(Tabelle2!B:B,MATCH(A9,Tabelle2!AD:AD,0))</f>
        <v>Bowling Jugend Bayern 1</v>
      </c>
      <c r="C9" s="148">
        <f>INDEX(Tabelle1!M:M,MATCH(B9,Tabelle1!B:B,0))</f>
        <v>2296</v>
      </c>
      <c r="D9" s="149">
        <f>INDEX(Tabelle1!N:N,MATCH(B9,Tabelle1!B:B,0))</f>
        <v>14</v>
      </c>
      <c r="E9" s="148">
        <f>INDEX(Tabelle2!M:M,MATCH(B9,Tabelle2!B:B,0))</f>
        <v>2557</v>
      </c>
      <c r="F9" s="149">
        <f>INDEX(Tabelle2!N:N,MATCH(B9,Tabelle2!B:B,0))</f>
        <v>14.5</v>
      </c>
      <c r="G9" s="173">
        <f t="shared" si="0"/>
        <v>4853</v>
      </c>
      <c r="H9" s="174">
        <f t="shared" si="0"/>
        <v>28.5</v>
      </c>
      <c r="I9" s="175">
        <f>G9/INDEX(Tabelle2!AE:AE,MATCH(B9,Tabelle2!B:B,0))</f>
        <v>161.76666666666668</v>
      </c>
      <c r="J9" s="70"/>
    </row>
    <row r="10" spans="1:15" ht="42" customHeight="1" thickBot="1">
      <c r="A10" s="172">
        <v>4</v>
      </c>
      <c r="B10" s="104" t="str">
        <f>INDEX(Tabelle2!B:B,MATCH(A10,Tabelle2!AD:AD,0))</f>
        <v>Bad Tölz 1</v>
      </c>
      <c r="C10" s="148">
        <f>INDEX(Tabelle1!M:M,MATCH(B10,Tabelle1!B:B,0))</f>
        <v>1841</v>
      </c>
      <c r="D10" s="149">
        <f>INDEX(Tabelle1!N:N,MATCH(B10,Tabelle1!B:B,0))</f>
        <v>8</v>
      </c>
      <c r="E10" s="148">
        <f>INDEX(Tabelle2!M:M,MATCH(B10,Tabelle2!B:B,0))</f>
        <v>2616</v>
      </c>
      <c r="F10" s="149">
        <f>INDEX(Tabelle2!N:N,MATCH(B10,Tabelle2!B:B,0))</f>
        <v>17.5</v>
      </c>
      <c r="G10" s="173">
        <f t="shared" si="0"/>
        <v>4457</v>
      </c>
      <c r="H10" s="174">
        <f t="shared" si="0"/>
        <v>25.5</v>
      </c>
      <c r="I10" s="175">
        <f>G10/INDEX(Tabelle2!AE:AE,MATCH(B10,Tabelle2!B:B,0))</f>
        <v>178.28</v>
      </c>
      <c r="J10" s="70"/>
    </row>
    <row r="11" spans="1:15" ht="42" customHeight="1" thickBot="1">
      <c r="A11" s="172">
        <v>5</v>
      </c>
      <c r="B11" s="104" t="str">
        <f>INDEX(Tabelle2!B:B,MATCH(A11,Tabelle2!AD:AD,0))</f>
        <v>Berchtesgaden 1</v>
      </c>
      <c r="C11" s="148">
        <f>INDEX(Tabelle1!M:M,MATCH(B11,Tabelle1!B:B,0))</f>
        <v>2355</v>
      </c>
      <c r="D11" s="149">
        <f>INDEX(Tabelle1!N:N,MATCH(B11,Tabelle1!B:B,0))</f>
        <v>18</v>
      </c>
      <c r="E11" s="148">
        <f>INDEX(Tabelle2!M:M,MATCH(B11,Tabelle2!B:B,0))</f>
        <v>2389</v>
      </c>
      <c r="F11" s="149">
        <f>INDEX(Tabelle2!N:N,MATCH(B11,Tabelle2!B:B,0))</f>
        <v>7</v>
      </c>
      <c r="G11" s="173">
        <f t="shared" si="0"/>
        <v>4744</v>
      </c>
      <c r="H11" s="174">
        <f t="shared" si="0"/>
        <v>25</v>
      </c>
      <c r="I11" s="175">
        <f>G11/INDEX(Tabelle2!AE:AE,MATCH(B11,Tabelle2!B:B,0))</f>
        <v>158.13333333333333</v>
      </c>
      <c r="J11" s="70"/>
    </row>
    <row r="12" spans="1:15" ht="42" customHeight="1" thickBot="1">
      <c r="A12" s="172">
        <v>6</v>
      </c>
      <c r="B12" s="104" t="str">
        <f>INDEX(Tabelle2!B:B,MATCH(A12,Tabelle2!AD:AD,0))</f>
        <v>Highroller Rosenheim 1</v>
      </c>
      <c r="C12" s="148">
        <f>INDEX(Tabelle1!M:M,MATCH(B12,Tabelle1!B:B,0))</f>
        <v>2241</v>
      </c>
      <c r="D12" s="149">
        <f>INDEX(Tabelle1!N:N,MATCH(B12,Tabelle1!B:B,0))</f>
        <v>10</v>
      </c>
      <c r="E12" s="148">
        <f>INDEX(Tabelle2!M:M,MATCH(B12,Tabelle2!B:B,0))</f>
        <v>2289</v>
      </c>
      <c r="F12" s="149">
        <f>INDEX(Tabelle2!N:N,MATCH(B12,Tabelle2!B:B,0))</f>
        <v>7</v>
      </c>
      <c r="G12" s="173">
        <f t="shared" si="0"/>
        <v>4530</v>
      </c>
      <c r="H12" s="174">
        <f t="shared" si="0"/>
        <v>17</v>
      </c>
      <c r="I12" s="175">
        <f>IFERROR(G12/INDEX(Tabelle2!AE:AE,MATCH(B12,Tabelle2!B:B,0)),0)</f>
        <v>151</v>
      </c>
      <c r="J12" s="70"/>
    </row>
    <row r="13" spans="1:15" ht="42" customHeight="1" thickBot="1">
      <c r="A13" s="172">
        <v>7</v>
      </c>
      <c r="B13" s="104" t="str">
        <f>INDEX(Tabelle2!B:B,MATCH(A13,Tabelle2!AD:AD,0))</f>
        <v>Highroller Rosenheim 3</v>
      </c>
      <c r="C13" s="148">
        <f>INDEX(Tabelle1!M:M,MATCH(B13,Tabelle1!B:B,0))</f>
        <v>2197</v>
      </c>
      <c r="D13" s="149">
        <f>INDEX(Tabelle1!N:N,MATCH(B13,Tabelle1!B:B,0))</f>
        <v>4.5</v>
      </c>
      <c r="E13" s="148">
        <f>INDEX(Tabelle2!M:M,MATCH(B13,Tabelle2!B:B,0))</f>
        <v>2428</v>
      </c>
      <c r="F13" s="149">
        <f>INDEX(Tabelle2!N:N,MATCH(B13,Tabelle2!B:B,0))</f>
        <v>11.5</v>
      </c>
      <c r="G13" s="173">
        <f t="shared" ref="G13:G14" si="1">SUM(C13+E13)</f>
        <v>4625</v>
      </c>
      <c r="H13" s="174">
        <f t="shared" ref="H13:H14" si="2">SUM(D13+F13)</f>
        <v>16</v>
      </c>
      <c r="I13" s="175">
        <f>IFERROR(G13/INDEX(Tabelle2!AE:AE,MATCH(B13,Tabelle2!B:B,0)),0)</f>
        <v>154.16666666666666</v>
      </c>
      <c r="J13" s="70"/>
    </row>
    <row r="14" spans="1:15" ht="42" customHeight="1" thickBot="1">
      <c r="A14" s="172">
        <v>8</v>
      </c>
      <c r="B14" s="104" t="str">
        <f>INDEX(Tabelle2!B:B,MATCH(A14,Tabelle2!AD:AD,0))</f>
        <v>Highroller Rosenheim 2</v>
      </c>
      <c r="C14" s="148">
        <f>INDEX(Tabelle1!M:M,MATCH(B14,Tabelle1!B:B,0))</f>
        <v>2177</v>
      </c>
      <c r="D14" s="149">
        <f>INDEX(Tabelle1!N:N,MATCH(B14,Tabelle1!B:B,0))</f>
        <v>8.5</v>
      </c>
      <c r="E14" s="148">
        <f>INDEX(Tabelle2!M:M,MATCH(B14,Tabelle2!B:B,0))</f>
        <v>2297</v>
      </c>
      <c r="F14" s="149">
        <f>INDEX(Tabelle2!N:N,MATCH(B14,Tabelle2!B:B,0))</f>
        <v>4.5</v>
      </c>
      <c r="G14" s="173">
        <f t="shared" si="1"/>
        <v>4474</v>
      </c>
      <c r="H14" s="174">
        <f t="shared" si="2"/>
        <v>13</v>
      </c>
      <c r="I14" s="175">
        <f>IFERROR(G14/INDEX(Tabelle2!AE:AE,MATCH(B14,Tabelle2!B:B,0)),0)</f>
        <v>149.13333333333333</v>
      </c>
      <c r="J14" s="70"/>
    </row>
  </sheetData>
  <sheetProtection password="D19C" sheet="1" objects="1" scenarios="1" formatCells="0" formatColumns="0" formatRows="0"/>
  <mergeCells count="9">
    <mergeCell ref="A1:I1"/>
    <mergeCell ref="A2:I2"/>
    <mergeCell ref="A3:I3"/>
    <mergeCell ref="I5:I6"/>
    <mergeCell ref="G5:H5"/>
    <mergeCell ref="A5:A6"/>
    <mergeCell ref="B5:B6"/>
    <mergeCell ref="C5:D5"/>
    <mergeCell ref="E5:F5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C48" sqref="C48:T48"/>
    </sheetView>
  </sheetViews>
  <sheetFormatPr baseColWidth="10" defaultColWidth="11.44140625" defaultRowHeight="13.2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44140625" style="91"/>
    <col min="10" max="11" width="11.44140625" style="91" customWidth="1"/>
    <col min="12" max="16" width="11.44140625" style="91" hidden="1" customWidth="1"/>
    <col min="17" max="20" width="11.44140625" style="91" customWidth="1"/>
    <col min="21" max="16384" width="11.44140625" style="91"/>
  </cols>
  <sheetData>
    <row r="1" spans="1:16" ht="28.5" customHeight="1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>
      <c r="A2" s="96" t="s">
        <v>1785</v>
      </c>
      <c r="C2" s="97">
        <v>2</v>
      </c>
      <c r="D2" s="97" t="s">
        <v>1821</v>
      </c>
      <c r="E2" s="98"/>
      <c r="F2" s="99"/>
      <c r="L2" s="91">
        <f>INDEX(Starter!A:A,ROW()-1)</f>
        <v>38890</v>
      </c>
      <c r="M2" s="91">
        <f>SUMIF(Erfassung2!AU:AU,L2,Erfassung2!BJ:BJ)</f>
        <v>423</v>
      </c>
      <c r="N2" s="91">
        <f>SUMIF(Erfassung2!AU:AU,L2,Erfassung2!AX:AX)</f>
        <v>4</v>
      </c>
      <c r="O2" s="91">
        <f>IF(N2=0,0,M2/N2-ROW()/1000000000)</f>
        <v>105.74999999800001</v>
      </c>
      <c r="P2" s="91">
        <f>RANK(O2,O:O)</f>
        <v>26</v>
      </c>
    </row>
    <row r="3" spans="1:16">
      <c r="L3" s="91">
        <f>INDEX(Starter!A:A,ROW()-1)</f>
        <v>38785</v>
      </c>
      <c r="M3" s="91">
        <f>SUMIF(Erfassung2!AU:AU,L3,Erfassung2!BJ:BJ)</f>
        <v>0</v>
      </c>
      <c r="N3" s="91">
        <f>SUMIF(Erfassung2!AU:AU,L3,Erfassung2!AX:AX)</f>
        <v>0</v>
      </c>
      <c r="O3" s="91">
        <f t="shared" ref="O3:O66" si="0">IF(N3=0,0,M3/N3-ROW()/1000000000)</f>
        <v>0</v>
      </c>
      <c r="P3" s="91">
        <f t="shared" ref="P3:P66" si="1">RANK(O3,O:O)</f>
        <v>34</v>
      </c>
    </row>
    <row r="4" spans="1:16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SUMIF(Erfassung2!AU:AU,L4,Erfassung2!BJ:BJ)</f>
        <v>503</v>
      </c>
      <c r="N4" s="91">
        <f>SUMIF(Erfassung2!AU:AU,L4,Erfassung2!AX:AX)</f>
        <v>3</v>
      </c>
      <c r="O4" s="91">
        <f t="shared" si="0"/>
        <v>167.66666666266667</v>
      </c>
      <c r="P4" s="91">
        <f t="shared" si="1"/>
        <v>6</v>
      </c>
    </row>
    <row r="5" spans="1:16">
      <c r="A5" s="91">
        <v>1</v>
      </c>
      <c r="B5" s="91">
        <f t="shared" ref="B5:B68" si="2">IFERROR(INDEX(L:L,MATCH(A5,P:P,0)),"")</f>
        <v>38708</v>
      </c>
      <c r="C5" s="91" t="str">
        <f>IFERROR(INDEX(Starter!B:B,MATCH(B5,Starter!A:A,0)),"")</f>
        <v>Gründl, Alexander</v>
      </c>
      <c r="D5" s="91" t="str">
        <f>IFERROR(INDEX(Starter!C:C,MATCH(B5,Starter!A:A,0)),"")</f>
        <v>BK München</v>
      </c>
      <c r="E5" s="100">
        <f t="shared" ref="E5:E68" si="3">IFERROR(INDEX(M:M,MATCH(A5,P:P,0)),"")</f>
        <v>1107</v>
      </c>
      <c r="F5" s="91">
        <f t="shared" ref="F5:F68" si="4">IFERROR(INDEX(N:N,MATCH(A5,P:P,0)),"")</f>
        <v>5</v>
      </c>
      <c r="G5" s="95">
        <f t="shared" ref="G5:G68" si="5">IFERROR(INDEX(O:O,MATCH(A5,P:P,0)),"")</f>
        <v>221.39999996500001</v>
      </c>
      <c r="L5" s="91">
        <f>INDEX(Starter!A:A,ROW()-1)</f>
        <v>38904</v>
      </c>
      <c r="M5" s="91">
        <f>SUMIF(Erfassung2!AU:AU,L5,Erfassung2!BJ:BJ)</f>
        <v>581</v>
      </c>
      <c r="N5" s="91">
        <f>SUMIF(Erfassung2!AU:AU,L5,Erfassung2!AX:AX)</f>
        <v>4</v>
      </c>
      <c r="O5" s="91">
        <f t="shared" si="0"/>
        <v>145.249999995</v>
      </c>
      <c r="P5" s="91">
        <f t="shared" si="1"/>
        <v>13</v>
      </c>
    </row>
    <row r="6" spans="1:16">
      <c r="A6" s="91">
        <f t="shared" ref="A6:A69" si="6">IFERROR(IF(A5+1&gt;MAX(P:P)-1,"",A5+1),"")</f>
        <v>2</v>
      </c>
      <c r="B6" s="91">
        <f t="shared" si="2"/>
        <v>38327</v>
      </c>
      <c r="C6" s="91" t="str">
        <f>IFERROR(INDEX(Starter!B:B,MATCH(B6,Starter!A:A,0)),"")</f>
        <v>Jakobi, Moritz</v>
      </c>
      <c r="D6" s="91" t="str">
        <f>IFERROR(INDEX(Starter!C:C,MATCH(B6,Starter!A:A,0)),"")</f>
        <v>BK München</v>
      </c>
      <c r="E6" s="100">
        <f t="shared" si="3"/>
        <v>1094</v>
      </c>
      <c r="F6" s="91">
        <f t="shared" si="4"/>
        <v>5</v>
      </c>
      <c r="G6" s="95">
        <f t="shared" si="5"/>
        <v>218.79999996400002</v>
      </c>
      <c r="L6" s="91">
        <f>INDEX(Starter!A:A,ROW()-1)</f>
        <v>38910</v>
      </c>
      <c r="M6" s="91">
        <f>SUMIF(Erfassung2!AU:AU,L6,Erfassung2!BJ:BJ)</f>
        <v>493</v>
      </c>
      <c r="N6" s="91">
        <f>SUMIF(Erfassung2!AU:AU,L6,Erfassung2!AX:AX)</f>
        <v>4</v>
      </c>
      <c r="O6" s="91">
        <f t="shared" si="0"/>
        <v>123.24999999400001</v>
      </c>
      <c r="P6" s="91">
        <f t="shared" si="1"/>
        <v>21</v>
      </c>
    </row>
    <row r="7" spans="1:16">
      <c r="A7" s="91">
        <f t="shared" si="6"/>
        <v>3</v>
      </c>
      <c r="B7" s="91">
        <f t="shared" si="2"/>
        <v>38845</v>
      </c>
      <c r="C7" s="91" t="str">
        <f>IFERROR(INDEX(Starter!B:B,MATCH(B7,Starter!A:A,0)),"")</f>
        <v>Kugler, Laurin</v>
      </c>
      <c r="D7" s="91" t="str">
        <f>IFERROR(INDEX(Starter!C:C,MATCH(B7,Starter!A:A,0)),"")</f>
        <v>Absolut-Sports.com</v>
      </c>
      <c r="E7" s="100">
        <f t="shared" si="3"/>
        <v>1048</v>
      </c>
      <c r="F7" s="91">
        <f t="shared" si="4"/>
        <v>5</v>
      </c>
      <c r="G7" s="95">
        <f t="shared" si="5"/>
        <v>209.59999999199999</v>
      </c>
      <c r="L7" s="91">
        <f>INDEX(Starter!A:A,ROW()-1)</f>
        <v>38861</v>
      </c>
      <c r="M7" s="91">
        <f>SUMIF(Erfassung2!AU:AU,L7,Erfassung2!BJ:BJ)</f>
        <v>0</v>
      </c>
      <c r="N7" s="91">
        <f>SUMIF(Erfassung2!AU:AU,L7,Erfassung2!AX:AX)</f>
        <v>0</v>
      </c>
      <c r="O7" s="91">
        <f t="shared" si="0"/>
        <v>0</v>
      </c>
      <c r="P7" s="91">
        <f t="shared" si="1"/>
        <v>34</v>
      </c>
    </row>
    <row r="8" spans="1:16">
      <c r="A8" s="91">
        <f t="shared" si="6"/>
        <v>4</v>
      </c>
      <c r="B8" s="91">
        <f t="shared" si="2"/>
        <v>38334</v>
      </c>
      <c r="C8" s="91" t="str">
        <f>IFERROR(INDEX(Starter!B:B,MATCH(B8,Starter!A:A,0)),"")</f>
        <v>Lauchner, Julian</v>
      </c>
      <c r="D8" s="91" t="str">
        <f>IFERROR(INDEX(Starter!C:C,MATCH(B8,Starter!A:A,0)),"")</f>
        <v>BK München</v>
      </c>
      <c r="E8" s="100">
        <f t="shared" si="3"/>
        <v>945</v>
      </c>
      <c r="F8" s="91">
        <f t="shared" si="4"/>
        <v>5</v>
      </c>
      <c r="G8" s="95">
        <f t="shared" si="5"/>
        <v>188.99999995499999</v>
      </c>
      <c r="L8" s="91">
        <f>INDEX(Starter!A:A,ROW()-1)</f>
        <v>38845</v>
      </c>
      <c r="M8" s="91">
        <f>SUMIF(Erfassung2!AU:AU,L8,Erfassung2!BJ:BJ)</f>
        <v>1048</v>
      </c>
      <c r="N8" s="91">
        <f>SUMIF(Erfassung2!AU:AU,L8,Erfassung2!AX:AX)</f>
        <v>5</v>
      </c>
      <c r="O8" s="91">
        <f t="shared" si="0"/>
        <v>209.59999999199999</v>
      </c>
      <c r="P8" s="91">
        <f t="shared" si="1"/>
        <v>3</v>
      </c>
    </row>
    <row r="9" spans="1:16">
      <c r="A9" s="91">
        <f t="shared" si="6"/>
        <v>5</v>
      </c>
      <c r="B9" s="91">
        <f t="shared" si="2"/>
        <v>38942</v>
      </c>
      <c r="C9" s="91" t="str">
        <f>IFERROR(INDEX(Starter!B:B,MATCH(B9,Starter!A:A,0)),"")</f>
        <v>Klettenheimer, Julius</v>
      </c>
      <c r="D9" s="91" t="str">
        <f>IFERROR(INDEX(Starter!C:C,MATCH(B9,Starter!A:A,0)),"")</f>
        <v>Bowling Jugend Bayern</v>
      </c>
      <c r="E9" s="100">
        <f t="shared" si="3"/>
        <v>707</v>
      </c>
      <c r="F9" s="91">
        <f t="shared" si="4"/>
        <v>4</v>
      </c>
      <c r="G9" s="95">
        <f t="shared" si="5"/>
        <v>176.74999995600001</v>
      </c>
      <c r="L9" s="91">
        <f>INDEX(Starter!A:A,ROW()-1)</f>
        <v>38843</v>
      </c>
      <c r="M9" s="91">
        <f>SUMIF(Erfassung2!AU:AU,L9,Erfassung2!BJ:BJ)</f>
        <v>549</v>
      </c>
      <c r="N9" s="91">
        <f>SUMIF(Erfassung2!AU:AU,L9,Erfassung2!AX:AX)</f>
        <v>4</v>
      </c>
      <c r="O9" s="91">
        <f t="shared" si="0"/>
        <v>137.24999999100001</v>
      </c>
      <c r="P9" s="91">
        <f t="shared" si="1"/>
        <v>16</v>
      </c>
    </row>
    <row r="10" spans="1:16">
      <c r="A10" s="91">
        <f t="shared" si="6"/>
        <v>6</v>
      </c>
      <c r="B10" s="91">
        <f t="shared" si="2"/>
        <v>38706</v>
      </c>
      <c r="C10" s="91" t="str">
        <f>IFERROR(INDEX(Starter!B:B,MATCH(B10,Starter!A:A,0)),"")</f>
        <v>Böhm, Eric-Pascal</v>
      </c>
      <c r="D10" s="91" t="str">
        <f>IFERROR(INDEX(Starter!C:C,MATCH(B10,Starter!A:A,0)),"")</f>
        <v>BC EMAX</v>
      </c>
      <c r="E10" s="100">
        <f t="shared" si="3"/>
        <v>503</v>
      </c>
      <c r="F10" s="91">
        <f t="shared" si="4"/>
        <v>3</v>
      </c>
      <c r="G10" s="95">
        <f t="shared" si="5"/>
        <v>167.66666666266667</v>
      </c>
      <c r="L10" s="91">
        <f>INDEX(Starter!A:A,ROW()-1)</f>
        <v>38844</v>
      </c>
      <c r="M10" s="91">
        <f>SUMIF(Erfassung2!AU:AU,L10,Erfassung2!BJ:BJ)</f>
        <v>0</v>
      </c>
      <c r="N10" s="91">
        <f>SUMIF(Erfassung2!AU:AU,L10,Erfassung2!AX:AX)</f>
        <v>0</v>
      </c>
      <c r="O10" s="91">
        <f t="shared" si="0"/>
        <v>0</v>
      </c>
      <c r="P10" s="91">
        <f t="shared" si="1"/>
        <v>34</v>
      </c>
    </row>
    <row r="11" spans="1:16">
      <c r="A11" s="91">
        <f t="shared" si="6"/>
        <v>7</v>
      </c>
      <c r="B11" s="91">
        <f t="shared" si="2"/>
        <v>38781</v>
      </c>
      <c r="C11" s="91" t="str">
        <f>IFERROR(INDEX(Starter!B:B,MATCH(B11,Starter!A:A,0)),"")</f>
        <v>Reichenauer, Leon</v>
      </c>
      <c r="D11" s="91" t="str">
        <f>IFERROR(INDEX(Starter!C:C,MATCH(B11,Starter!A:A,0)),"")</f>
        <v>Bowling Jugend Bayern</v>
      </c>
      <c r="E11" s="100">
        <f t="shared" si="3"/>
        <v>488</v>
      </c>
      <c r="F11" s="91">
        <f t="shared" si="4"/>
        <v>3</v>
      </c>
      <c r="G11" s="95">
        <f t="shared" si="5"/>
        <v>162.66666662466665</v>
      </c>
      <c r="L11" s="91">
        <f>INDEX(Starter!A:A,ROW()-1)</f>
        <v>38772</v>
      </c>
      <c r="M11" s="91">
        <f>SUMIF(Erfassung2!AU:AU,L11,Erfassung2!BJ:BJ)</f>
        <v>0</v>
      </c>
      <c r="N11" s="91">
        <f>SUMIF(Erfassung2!AU:AU,L11,Erfassung2!AX:AX)</f>
        <v>0</v>
      </c>
      <c r="O11" s="91">
        <f t="shared" si="0"/>
        <v>0</v>
      </c>
      <c r="P11" s="91">
        <f t="shared" si="1"/>
        <v>34</v>
      </c>
    </row>
    <row r="12" spans="1:16">
      <c r="A12" s="91">
        <f t="shared" si="6"/>
        <v>8</v>
      </c>
      <c r="B12" s="91">
        <f t="shared" si="2"/>
        <v>38809</v>
      </c>
      <c r="C12" s="91" t="str">
        <f>IFERROR(INDEX(Starter!B:B,MATCH(B12,Starter!A:A,0)),"")</f>
        <v>Elze, Julian</v>
      </c>
      <c r="D12" s="91" t="str">
        <f>IFERROR(INDEX(Starter!C:C,MATCH(B12,Starter!A:A,0)),"")</f>
        <v>BSC Highroller Rosenheim</v>
      </c>
      <c r="E12" s="100">
        <f t="shared" si="3"/>
        <v>485</v>
      </c>
      <c r="F12" s="91">
        <f t="shared" si="4"/>
        <v>3</v>
      </c>
      <c r="G12" s="95">
        <f t="shared" si="5"/>
        <v>161.66666664966667</v>
      </c>
      <c r="L12" s="91">
        <f>INDEX(Starter!A:A,ROW()-1)</f>
        <v>38893</v>
      </c>
      <c r="M12" s="91">
        <f>SUMIF(Erfassung2!AU:AU,L12,Erfassung2!BJ:BJ)</f>
        <v>249</v>
      </c>
      <c r="N12" s="91">
        <f>SUMIF(Erfassung2!AU:AU,L12,Erfassung2!AX:AX)</f>
        <v>3</v>
      </c>
      <c r="O12" s="91">
        <f t="shared" si="0"/>
        <v>82.999999987999999</v>
      </c>
      <c r="P12" s="91">
        <f t="shared" si="1"/>
        <v>31</v>
      </c>
    </row>
    <row r="13" spans="1:16">
      <c r="A13" s="91">
        <f t="shared" si="6"/>
        <v>9</v>
      </c>
      <c r="B13" s="91">
        <f t="shared" si="2"/>
        <v>38714</v>
      </c>
      <c r="C13" s="91" t="str">
        <f>IFERROR(INDEX(Starter!B:B,MATCH(B13,Starter!A:A,0)),"")</f>
        <v>Wieser, Lukas</v>
      </c>
      <c r="D13" s="91" t="str">
        <f>IFERROR(INDEX(Starter!C:C,MATCH(B13,Starter!A:A,0)),"")</f>
        <v>BC Berchtesgaden</v>
      </c>
      <c r="E13" s="100">
        <f t="shared" si="3"/>
        <v>646</v>
      </c>
      <c r="F13" s="91">
        <f t="shared" si="4"/>
        <v>4</v>
      </c>
      <c r="G13" s="95">
        <f t="shared" si="5"/>
        <v>161.49999997099999</v>
      </c>
      <c r="L13" s="91">
        <f>INDEX(Starter!A:A,ROW()-1)</f>
        <v>38760</v>
      </c>
      <c r="M13" s="91">
        <f>SUMIF(Erfassung2!AU:AU,L13,Erfassung2!BJ:BJ)</f>
        <v>539</v>
      </c>
      <c r="N13" s="91">
        <f>SUMIF(Erfassung2!AU:AU,L13,Erfassung2!AX:AX)</f>
        <v>4</v>
      </c>
      <c r="O13" s="91">
        <f t="shared" si="0"/>
        <v>134.749999987</v>
      </c>
      <c r="P13" s="91">
        <f t="shared" si="1"/>
        <v>17</v>
      </c>
    </row>
    <row r="14" spans="1:16">
      <c r="A14" s="91">
        <f t="shared" si="6"/>
        <v>10</v>
      </c>
      <c r="B14" s="91">
        <f t="shared" si="2"/>
        <v>38759</v>
      </c>
      <c r="C14" s="91" t="str">
        <f>IFERROR(INDEX(Starter!B:B,MATCH(B14,Starter!A:A,0)),"")</f>
        <v>Stölzel, Celia</v>
      </c>
      <c r="D14" s="91" t="str">
        <f>IFERROR(INDEX(Starter!C:C,MATCH(B14,Starter!A:A,0)),"")</f>
        <v>BSC Highroller Rosenheim</v>
      </c>
      <c r="E14" s="100">
        <f t="shared" si="3"/>
        <v>599</v>
      </c>
      <c r="F14" s="91">
        <f t="shared" si="4"/>
        <v>4</v>
      </c>
      <c r="G14" s="95">
        <f t="shared" si="5"/>
        <v>149.74999998600001</v>
      </c>
      <c r="L14" s="91">
        <f>INDEX(Starter!A:A,ROW()-1)</f>
        <v>38759</v>
      </c>
      <c r="M14" s="91">
        <f>SUMIF(Erfassung2!AU:AU,L14,Erfassung2!BJ:BJ)</f>
        <v>599</v>
      </c>
      <c r="N14" s="91">
        <f>SUMIF(Erfassung2!AU:AU,L14,Erfassung2!AX:AX)</f>
        <v>4</v>
      </c>
      <c r="O14" s="91">
        <f t="shared" si="0"/>
        <v>149.74999998600001</v>
      </c>
      <c r="P14" s="91">
        <f t="shared" si="1"/>
        <v>10</v>
      </c>
    </row>
    <row r="15" spans="1:16">
      <c r="A15" s="91">
        <f t="shared" si="6"/>
        <v>11</v>
      </c>
      <c r="B15" s="91">
        <f t="shared" si="2"/>
        <v>38773</v>
      </c>
      <c r="C15" s="91" t="str">
        <f>IFERROR(INDEX(Starter!B:B,MATCH(B15,Starter!A:A,0)),"")</f>
        <v>Weiss, Luisa Samira</v>
      </c>
      <c r="D15" s="91" t="str">
        <f>IFERROR(INDEX(Starter!C:C,MATCH(B15,Starter!A:A,0)),"")</f>
        <v>BSC Highroller Rosenheim</v>
      </c>
      <c r="E15" s="100">
        <f t="shared" si="3"/>
        <v>598</v>
      </c>
      <c r="F15" s="91">
        <f t="shared" si="4"/>
        <v>4</v>
      </c>
      <c r="G15" s="95">
        <f t="shared" si="5"/>
        <v>149.499999984</v>
      </c>
      <c r="L15" s="91">
        <f>INDEX(Starter!A:A,ROW()-1)</f>
        <v>38831</v>
      </c>
      <c r="M15" s="91">
        <f>SUMIF(Erfassung2!AU:AU,L15,Erfassung2!BJ:BJ)</f>
        <v>351</v>
      </c>
      <c r="N15" s="91">
        <f>SUMIF(Erfassung2!AU:AU,L15,Erfassung2!AX:AX)</f>
        <v>3</v>
      </c>
      <c r="O15" s="91">
        <f t="shared" si="0"/>
        <v>116.999999985</v>
      </c>
      <c r="P15" s="91">
        <f t="shared" si="1"/>
        <v>22</v>
      </c>
    </row>
    <row r="16" spans="1:16">
      <c r="A16" s="91">
        <f t="shared" si="6"/>
        <v>12</v>
      </c>
      <c r="B16" s="91">
        <f t="shared" si="2"/>
        <v>38819</v>
      </c>
      <c r="C16" s="91" t="str">
        <f>IFERROR(INDEX(Starter!B:B,MATCH(B16,Starter!A:A,0)),"")</f>
        <v>Pittner, Gregor</v>
      </c>
      <c r="D16" s="91" t="str">
        <f>IFERROR(INDEX(Starter!C:C,MATCH(B16,Starter!A:A,0)),"")</f>
        <v>BC Berchtesgaden</v>
      </c>
      <c r="E16" s="100">
        <f t="shared" si="3"/>
        <v>587</v>
      </c>
      <c r="F16" s="91">
        <f t="shared" si="4"/>
        <v>4</v>
      </c>
      <c r="G16" s="95">
        <f t="shared" si="5"/>
        <v>146.74999997</v>
      </c>
      <c r="L16" s="91">
        <f>INDEX(Starter!A:A,ROW()-1)</f>
        <v>38773</v>
      </c>
      <c r="M16" s="91">
        <f>SUMIF(Erfassung2!AU:AU,L16,Erfassung2!BJ:BJ)</f>
        <v>598</v>
      </c>
      <c r="N16" s="91">
        <f>SUMIF(Erfassung2!AU:AU,L16,Erfassung2!AX:AX)</f>
        <v>4</v>
      </c>
      <c r="O16" s="91">
        <f t="shared" si="0"/>
        <v>149.499999984</v>
      </c>
      <c r="P16" s="91">
        <f t="shared" si="1"/>
        <v>11</v>
      </c>
    </row>
    <row r="17" spans="1:16">
      <c r="A17" s="91">
        <f t="shared" si="6"/>
        <v>13</v>
      </c>
      <c r="B17" s="91">
        <f t="shared" si="2"/>
        <v>38904</v>
      </c>
      <c r="C17" s="91" t="str">
        <f>IFERROR(INDEX(Starter!B:B,MATCH(B17,Starter!A:A,0)),"")</f>
        <v>Vogt, Leonard</v>
      </c>
      <c r="D17" s="91" t="str">
        <f>IFERROR(INDEX(Starter!C:C,MATCH(B17,Starter!A:A,0)),"")</f>
        <v>BC EMAX</v>
      </c>
      <c r="E17" s="100">
        <f t="shared" si="3"/>
        <v>581</v>
      </c>
      <c r="F17" s="91">
        <f t="shared" si="4"/>
        <v>4</v>
      </c>
      <c r="G17" s="95">
        <f t="shared" si="5"/>
        <v>145.249999995</v>
      </c>
      <c r="L17" s="91">
        <f>INDEX(Starter!A:A,ROW()-1)</f>
        <v>38809</v>
      </c>
      <c r="M17" s="91">
        <f>SUMIF(Erfassung2!AU:AU,L17,Erfassung2!BJ:BJ)</f>
        <v>485</v>
      </c>
      <c r="N17" s="91">
        <f>SUMIF(Erfassung2!AU:AU,L17,Erfassung2!AX:AX)</f>
        <v>3</v>
      </c>
      <c r="O17" s="91">
        <f t="shared" si="0"/>
        <v>161.66666664966667</v>
      </c>
      <c r="P17" s="91">
        <f t="shared" si="1"/>
        <v>8</v>
      </c>
    </row>
    <row r="18" spans="1:16">
      <c r="A18" s="91">
        <f t="shared" si="6"/>
        <v>14</v>
      </c>
      <c r="B18" s="91">
        <f t="shared" si="2"/>
        <v>38848</v>
      </c>
      <c r="C18" s="91" t="str">
        <f>IFERROR(INDEX(Starter!B:B,MATCH(B18,Starter!A:A,0)),"")</f>
        <v>Marker, Anna</v>
      </c>
      <c r="D18" s="91" t="str">
        <f>IFERROR(INDEX(Starter!C:C,MATCH(B18,Starter!A:A,0)),"")</f>
        <v>BSC Highroller Rosenheim</v>
      </c>
      <c r="E18" s="100">
        <f t="shared" si="3"/>
        <v>573</v>
      </c>
      <c r="F18" s="91">
        <f t="shared" si="4"/>
        <v>4</v>
      </c>
      <c r="G18" s="95">
        <f t="shared" si="5"/>
        <v>143.249999976</v>
      </c>
      <c r="L18" s="91">
        <f>INDEX(Starter!A:A,ROW()-1)</f>
        <v>38923</v>
      </c>
      <c r="M18" s="91">
        <f>SUMIF(Erfassung2!AU:AU,L18,Erfassung2!BJ:BJ)</f>
        <v>350</v>
      </c>
      <c r="N18" s="91">
        <f>SUMIF(Erfassung2!AU:AU,L18,Erfassung2!AX:AX)</f>
        <v>3</v>
      </c>
      <c r="O18" s="91">
        <f t="shared" si="0"/>
        <v>116.66666664866668</v>
      </c>
      <c r="P18" s="91">
        <f t="shared" si="1"/>
        <v>23</v>
      </c>
    </row>
    <row r="19" spans="1:16">
      <c r="A19" s="91">
        <f t="shared" si="6"/>
        <v>15</v>
      </c>
      <c r="B19" s="91">
        <f t="shared" si="2"/>
        <v>38894</v>
      </c>
      <c r="C19" s="91" t="str">
        <f>IFERROR(INDEX(Starter!B:B,MATCH(B19,Starter!A:A,0)),"")</f>
        <v>Prieß, Marc</v>
      </c>
      <c r="D19" s="91" t="str">
        <f>IFERROR(INDEX(Starter!C:C,MATCH(B19,Starter!A:A,0)),"")</f>
        <v>Bowling Jugend Bayern</v>
      </c>
      <c r="E19" s="100">
        <f t="shared" si="3"/>
        <v>713</v>
      </c>
      <c r="F19" s="91">
        <f t="shared" si="4"/>
        <v>5</v>
      </c>
      <c r="G19" s="95">
        <f t="shared" si="5"/>
        <v>142.59999995999999</v>
      </c>
      <c r="L19" s="91">
        <f>INDEX(Starter!A:A,ROW()-1)</f>
        <v>38920</v>
      </c>
      <c r="M19" s="91">
        <f>SUMIF(Erfassung2!AU:AU,L19,Erfassung2!BJ:BJ)</f>
        <v>292</v>
      </c>
      <c r="N19" s="91">
        <f>SUMIF(Erfassung2!AU:AU,L19,Erfassung2!AX:AX)</f>
        <v>3</v>
      </c>
      <c r="O19" s="91">
        <f t="shared" si="0"/>
        <v>97.333333314333331</v>
      </c>
      <c r="P19" s="91">
        <f t="shared" si="1"/>
        <v>29</v>
      </c>
    </row>
    <row r="20" spans="1:16">
      <c r="A20" s="91">
        <f t="shared" si="6"/>
        <v>16</v>
      </c>
      <c r="B20" s="91">
        <f t="shared" si="2"/>
        <v>38843</v>
      </c>
      <c r="C20" s="91" t="str">
        <f>IFERROR(INDEX(Starter!B:B,MATCH(B20,Starter!A:A,0)),"")</f>
        <v>Lintner, Lena</v>
      </c>
      <c r="D20" s="91" t="str">
        <f>IFERROR(INDEX(Starter!C:C,MATCH(B20,Starter!A:A,0)),"")</f>
        <v>Absolut-Sports.com</v>
      </c>
      <c r="E20" s="100">
        <f t="shared" si="3"/>
        <v>549</v>
      </c>
      <c r="F20" s="91">
        <f t="shared" si="4"/>
        <v>4</v>
      </c>
      <c r="G20" s="95">
        <f t="shared" si="5"/>
        <v>137.24999999100001</v>
      </c>
      <c r="L20" s="91">
        <f>INDEX(Starter!A:A,ROW()-1)</f>
        <v>38921</v>
      </c>
      <c r="M20" s="91">
        <f>SUMIF(Erfassung2!AU:AU,L20,Erfassung2!BJ:BJ)</f>
        <v>246</v>
      </c>
      <c r="N20" s="91">
        <f>SUMIF(Erfassung2!AU:AU,L20,Erfassung2!AX:AX)</f>
        <v>3</v>
      </c>
      <c r="O20" s="91">
        <f t="shared" si="0"/>
        <v>81.999999979999998</v>
      </c>
      <c r="P20" s="91">
        <f t="shared" si="1"/>
        <v>32</v>
      </c>
    </row>
    <row r="21" spans="1:16">
      <c r="A21" s="91">
        <f t="shared" si="6"/>
        <v>17</v>
      </c>
      <c r="B21" s="91">
        <f t="shared" si="2"/>
        <v>38760</v>
      </c>
      <c r="C21" s="91" t="str">
        <f>IFERROR(INDEX(Starter!B:B,MATCH(B21,Starter!A:A,0)),"")</f>
        <v>Achhammer, Klara</v>
      </c>
      <c r="D21" s="91" t="str">
        <f>IFERROR(INDEX(Starter!C:C,MATCH(B21,Starter!A:A,0)),"")</f>
        <v>BSC Highroller Rosenheim</v>
      </c>
      <c r="E21" s="100">
        <f t="shared" si="3"/>
        <v>539</v>
      </c>
      <c r="F21" s="91">
        <f t="shared" si="4"/>
        <v>4</v>
      </c>
      <c r="G21" s="95">
        <f t="shared" si="5"/>
        <v>134.749999987</v>
      </c>
      <c r="L21" s="91">
        <f>INDEX(Starter!A:A,ROW()-1)</f>
        <v>38922</v>
      </c>
      <c r="M21" s="91">
        <f>SUMIF(Erfassung2!AU:AU,L21,Erfassung2!BJ:BJ)</f>
        <v>294</v>
      </c>
      <c r="N21" s="91">
        <f>SUMIF(Erfassung2!AU:AU,L21,Erfassung2!AX:AX)</f>
        <v>3</v>
      </c>
      <c r="O21" s="91">
        <f t="shared" si="0"/>
        <v>97.999999978999995</v>
      </c>
      <c r="P21" s="91">
        <f t="shared" si="1"/>
        <v>28</v>
      </c>
    </row>
    <row r="22" spans="1:16">
      <c r="A22" s="91">
        <f t="shared" si="6"/>
        <v>18</v>
      </c>
      <c r="B22" s="91">
        <f t="shared" si="2"/>
        <v>38915</v>
      </c>
      <c r="C22" s="91" t="str">
        <f>IFERROR(INDEX(Starter!B:B,MATCH(B22,Starter!A:A,0)),"")</f>
        <v>Raj, Milan</v>
      </c>
      <c r="D22" s="91" t="str">
        <f>IFERROR(INDEX(Starter!C:C,MATCH(B22,Starter!A:A,0)),"")</f>
        <v>Bowling Jugend Bayern</v>
      </c>
      <c r="E22" s="100">
        <f t="shared" si="3"/>
        <v>266</v>
      </c>
      <c r="F22" s="91">
        <f t="shared" si="4"/>
        <v>2</v>
      </c>
      <c r="G22" s="95">
        <f t="shared" si="5"/>
        <v>132.99999995900001</v>
      </c>
      <c r="L22" s="91">
        <f>INDEX(Starter!A:A,ROW()-1)</f>
        <v>38808</v>
      </c>
      <c r="M22" s="91">
        <f>SUMIF(Erfassung2!AU:AU,L22,Erfassung2!BJ:BJ)</f>
        <v>89</v>
      </c>
      <c r="N22" s="91">
        <f>SUMIF(Erfassung2!AU:AU,L22,Erfassung2!AX:AX)</f>
        <v>1</v>
      </c>
      <c r="O22" s="91">
        <f t="shared" si="0"/>
        <v>88.999999978000005</v>
      </c>
      <c r="P22" s="91">
        <f t="shared" si="1"/>
        <v>30</v>
      </c>
    </row>
    <row r="23" spans="1:16">
      <c r="A23" s="91">
        <f t="shared" si="6"/>
        <v>19</v>
      </c>
      <c r="B23" s="91">
        <f t="shared" si="2"/>
        <v>38849</v>
      </c>
      <c r="C23" s="91" t="str">
        <f>IFERROR(INDEX(Starter!B:B,MATCH(B23,Starter!A:A,0)),"")</f>
        <v>Marker, Lena</v>
      </c>
      <c r="D23" s="91" t="str">
        <f>IFERROR(INDEX(Starter!C:C,MATCH(B23,Starter!A:A,0)),"")</f>
        <v>BSC Highroller Rosenheim</v>
      </c>
      <c r="E23" s="100">
        <f t="shared" si="3"/>
        <v>662</v>
      </c>
      <c r="F23" s="91">
        <f t="shared" si="4"/>
        <v>5</v>
      </c>
      <c r="G23" s="95">
        <f t="shared" si="5"/>
        <v>132.39999997500001</v>
      </c>
      <c r="L23" s="91">
        <f>INDEX(Starter!A:A,ROW()-1)</f>
        <v>38810</v>
      </c>
      <c r="M23" s="91">
        <f>SUMIF(Erfassung2!AU:AU,L23,Erfassung2!BJ:BJ)</f>
        <v>582</v>
      </c>
      <c r="N23" s="91">
        <f>SUMIF(Erfassung2!AU:AU,L23,Erfassung2!AX:AX)</f>
        <v>5</v>
      </c>
      <c r="O23" s="91">
        <f t="shared" si="0"/>
        <v>116.39999997700001</v>
      </c>
      <c r="P23" s="91">
        <f t="shared" si="1"/>
        <v>24</v>
      </c>
    </row>
    <row r="24" spans="1:16">
      <c r="A24" s="91">
        <f t="shared" si="6"/>
        <v>20</v>
      </c>
      <c r="B24" s="91">
        <f t="shared" si="2"/>
        <v>38940</v>
      </c>
      <c r="C24" s="91" t="str">
        <f>IFERROR(INDEX(Starter!B:B,MATCH(B24,Starter!A:A,0)),"")</f>
        <v>Mengel, Marina</v>
      </c>
      <c r="D24" s="91" t="str">
        <f>IFERROR(INDEX(Starter!C:C,MATCH(B24,Starter!A:A,0)),"")</f>
        <v>Absolut-Sports.com</v>
      </c>
      <c r="E24" s="100">
        <f t="shared" si="3"/>
        <v>378</v>
      </c>
      <c r="F24" s="91">
        <f t="shared" si="4"/>
        <v>3</v>
      </c>
      <c r="G24" s="95">
        <f t="shared" si="5"/>
        <v>125.999999957</v>
      </c>
      <c r="L24" s="91">
        <f>INDEX(Starter!A:A,ROW()-1)</f>
        <v>38848</v>
      </c>
      <c r="M24" s="91">
        <f>SUMIF(Erfassung2!AU:AU,L24,Erfassung2!BJ:BJ)</f>
        <v>573</v>
      </c>
      <c r="N24" s="91">
        <f>SUMIF(Erfassung2!AU:AU,L24,Erfassung2!AX:AX)</f>
        <v>4</v>
      </c>
      <c r="O24" s="91">
        <f t="shared" si="0"/>
        <v>143.249999976</v>
      </c>
      <c r="P24" s="91">
        <f t="shared" si="1"/>
        <v>14</v>
      </c>
    </row>
    <row r="25" spans="1:16">
      <c r="A25" s="91">
        <f t="shared" si="6"/>
        <v>21</v>
      </c>
      <c r="B25" s="91">
        <f t="shared" si="2"/>
        <v>38910</v>
      </c>
      <c r="C25" s="91" t="str">
        <f>IFERROR(INDEX(Starter!B:B,MATCH(B25,Starter!A:A,0)),"")</f>
        <v>Heiming, Thalea</v>
      </c>
      <c r="D25" s="91" t="str">
        <f>IFERROR(INDEX(Starter!C:C,MATCH(B25,Starter!A:A,0)),"")</f>
        <v>BC EMAX</v>
      </c>
      <c r="E25" s="100">
        <f t="shared" si="3"/>
        <v>493</v>
      </c>
      <c r="F25" s="91">
        <f t="shared" si="4"/>
        <v>4</v>
      </c>
      <c r="G25" s="95">
        <f t="shared" si="5"/>
        <v>123.24999999400001</v>
      </c>
      <c r="L25" s="91">
        <f>INDEX(Starter!A:A,ROW()-1)</f>
        <v>38849</v>
      </c>
      <c r="M25" s="91">
        <f>SUMIF(Erfassung2!AU:AU,L25,Erfassung2!BJ:BJ)</f>
        <v>662</v>
      </c>
      <c r="N25" s="91">
        <f>SUMIF(Erfassung2!AU:AU,L25,Erfassung2!AX:AX)</f>
        <v>5</v>
      </c>
      <c r="O25" s="91">
        <f t="shared" si="0"/>
        <v>132.39999997500001</v>
      </c>
      <c r="P25" s="91">
        <f t="shared" si="1"/>
        <v>19</v>
      </c>
    </row>
    <row r="26" spans="1:16">
      <c r="A26" s="91">
        <f t="shared" si="6"/>
        <v>22</v>
      </c>
      <c r="B26" s="91">
        <f t="shared" si="2"/>
        <v>38831</v>
      </c>
      <c r="C26" s="91" t="str">
        <f>IFERROR(INDEX(Starter!B:B,MATCH(B26,Starter!A:A,0)),"")</f>
        <v>Thiele, Isabelle</v>
      </c>
      <c r="D26" s="91" t="str">
        <f>IFERROR(INDEX(Starter!C:C,MATCH(B26,Starter!A:A,0)),"")</f>
        <v>BSC Highroller Rosenheim</v>
      </c>
      <c r="E26" s="100">
        <f t="shared" si="3"/>
        <v>351</v>
      </c>
      <c r="F26" s="91">
        <f t="shared" si="4"/>
        <v>3</v>
      </c>
      <c r="G26" s="95">
        <f t="shared" si="5"/>
        <v>116.999999985</v>
      </c>
      <c r="L26" s="91">
        <f>INDEX(Starter!A:A,ROW()-1)</f>
        <v>38925</v>
      </c>
      <c r="M26" s="91">
        <f>SUMIF(Erfassung2!AU:AU,L26,Erfassung2!BJ:BJ)</f>
        <v>0</v>
      </c>
      <c r="N26" s="91">
        <f>SUMIF(Erfassung2!AU:AU,L26,Erfassung2!AX:AX)</f>
        <v>0</v>
      </c>
      <c r="O26" s="91">
        <f t="shared" si="0"/>
        <v>0</v>
      </c>
      <c r="P26" s="91">
        <f t="shared" si="1"/>
        <v>34</v>
      </c>
    </row>
    <row r="27" spans="1:16">
      <c r="A27" s="91">
        <f t="shared" si="6"/>
        <v>23</v>
      </c>
      <c r="B27" s="91">
        <f t="shared" si="2"/>
        <v>38923</v>
      </c>
      <c r="C27" s="91" t="str">
        <f>IFERROR(INDEX(Starter!B:B,MATCH(B27,Starter!A:A,0)),"")</f>
        <v>Weinrich, Lena</v>
      </c>
      <c r="D27" s="91" t="str">
        <f>IFERROR(INDEX(Starter!C:C,MATCH(B27,Starter!A:A,0)),"")</f>
        <v>BSC Highroller Rosenheim</v>
      </c>
      <c r="E27" s="100">
        <f t="shared" si="3"/>
        <v>350</v>
      </c>
      <c r="F27" s="91">
        <f t="shared" si="4"/>
        <v>3</v>
      </c>
      <c r="G27" s="95">
        <f t="shared" si="5"/>
        <v>116.66666664866668</v>
      </c>
      <c r="L27" s="91">
        <f>INDEX(Starter!A:A,ROW()-1)</f>
        <v>38924</v>
      </c>
      <c r="M27" s="91">
        <f>SUMIF(Erfassung2!AU:AU,L27,Erfassung2!BJ:BJ)</f>
        <v>0</v>
      </c>
      <c r="N27" s="91">
        <f>SUMIF(Erfassung2!AU:AU,L27,Erfassung2!AX:AX)</f>
        <v>0</v>
      </c>
      <c r="O27" s="91">
        <f t="shared" si="0"/>
        <v>0</v>
      </c>
      <c r="P27" s="91">
        <f t="shared" si="1"/>
        <v>34</v>
      </c>
    </row>
    <row r="28" spans="1:16">
      <c r="A28" s="91">
        <f t="shared" si="6"/>
        <v>24</v>
      </c>
      <c r="B28" s="91">
        <f t="shared" si="2"/>
        <v>38810</v>
      </c>
      <c r="C28" s="91" t="str">
        <f>IFERROR(INDEX(Starter!B:B,MATCH(B28,Starter!A:A,0)),"")</f>
        <v>Vokshi, Finn</v>
      </c>
      <c r="D28" s="91" t="str">
        <f>IFERROR(INDEX(Starter!C:C,MATCH(B28,Starter!A:A,0)),"")</f>
        <v>BSC Highroller Rosenheim</v>
      </c>
      <c r="E28" s="100">
        <f t="shared" si="3"/>
        <v>582</v>
      </c>
      <c r="F28" s="91">
        <f t="shared" si="4"/>
        <v>5</v>
      </c>
      <c r="G28" s="95">
        <f t="shared" si="5"/>
        <v>116.39999997700001</v>
      </c>
      <c r="L28" s="91">
        <f>INDEX(Starter!A:A,ROW()-1)</f>
        <v>38865</v>
      </c>
      <c r="M28" s="91">
        <f>SUMIF(Erfassung2!AU:AU,L28,Erfassung2!BJ:BJ)</f>
        <v>440</v>
      </c>
      <c r="N28" s="91">
        <f>SUMIF(Erfassung2!AU:AU,L28,Erfassung2!AX:AX)</f>
        <v>4</v>
      </c>
      <c r="O28" s="91">
        <f t="shared" si="0"/>
        <v>109.999999972</v>
      </c>
      <c r="P28" s="91">
        <f t="shared" si="1"/>
        <v>25</v>
      </c>
    </row>
    <row r="29" spans="1:16">
      <c r="A29" s="91">
        <f t="shared" si="6"/>
        <v>25</v>
      </c>
      <c r="B29" s="91">
        <f t="shared" si="2"/>
        <v>38865</v>
      </c>
      <c r="C29" s="91" t="str">
        <f>IFERROR(INDEX(Starter!B:B,MATCH(B29,Starter!A:A,0)),"")</f>
        <v>Labs, Leon</v>
      </c>
      <c r="D29" s="91" t="str">
        <f>IFERROR(INDEX(Starter!C:C,MATCH(B29,Starter!A:A,0)),"")</f>
        <v>BC Berchtesgaden</v>
      </c>
      <c r="E29" s="100">
        <f t="shared" si="3"/>
        <v>440</v>
      </c>
      <c r="F29" s="91">
        <f t="shared" si="4"/>
        <v>4</v>
      </c>
      <c r="G29" s="95">
        <f t="shared" si="5"/>
        <v>109.999999972</v>
      </c>
      <c r="L29" s="91">
        <f>INDEX(Starter!A:A,ROW()-1)</f>
        <v>38714</v>
      </c>
      <c r="M29" s="91">
        <f>SUMIF(Erfassung2!AU:AU,L29,Erfassung2!BJ:BJ)</f>
        <v>646</v>
      </c>
      <c r="N29" s="91">
        <f>SUMIF(Erfassung2!AU:AU,L29,Erfassung2!AX:AX)</f>
        <v>4</v>
      </c>
      <c r="O29" s="91">
        <f t="shared" si="0"/>
        <v>161.49999997099999</v>
      </c>
      <c r="P29" s="91">
        <f t="shared" si="1"/>
        <v>9</v>
      </c>
    </row>
    <row r="30" spans="1:16">
      <c r="A30" s="91">
        <f t="shared" si="6"/>
        <v>26</v>
      </c>
      <c r="B30" s="91">
        <f t="shared" si="2"/>
        <v>38890</v>
      </c>
      <c r="C30" s="91" t="str">
        <f>IFERROR(INDEX(Starter!B:B,MATCH(B30,Starter!A:A,0)),"")</f>
        <v>Hofer, Anja</v>
      </c>
      <c r="D30" s="91" t="str">
        <f>IFERROR(INDEX(Starter!C:C,MATCH(B30,Starter!A:A,0)),"")</f>
        <v>BC EMAX</v>
      </c>
      <c r="E30" s="100">
        <f t="shared" si="3"/>
        <v>423</v>
      </c>
      <c r="F30" s="91">
        <f t="shared" si="4"/>
        <v>4</v>
      </c>
      <c r="G30" s="95">
        <f t="shared" si="5"/>
        <v>105.74999999800001</v>
      </c>
      <c r="L30" s="91">
        <f>INDEX(Starter!A:A,ROW()-1)</f>
        <v>38819</v>
      </c>
      <c r="M30" s="91">
        <f>SUMIF(Erfassung2!AU:AU,L30,Erfassung2!BJ:BJ)</f>
        <v>587</v>
      </c>
      <c r="N30" s="91">
        <f>SUMIF(Erfassung2!AU:AU,L30,Erfassung2!AX:AX)</f>
        <v>4</v>
      </c>
      <c r="O30" s="91">
        <f t="shared" si="0"/>
        <v>146.74999997</v>
      </c>
      <c r="P30" s="91">
        <f t="shared" si="1"/>
        <v>12</v>
      </c>
    </row>
    <row r="31" spans="1:16">
      <c r="A31" s="91">
        <f t="shared" si="6"/>
        <v>27</v>
      </c>
      <c r="B31" s="91">
        <f t="shared" si="2"/>
        <v>38941</v>
      </c>
      <c r="C31" s="91" t="str">
        <f>IFERROR(INDEX(Starter!B:B,MATCH(B31,Starter!A:A,0)),"")</f>
        <v>Calik, Ilay</v>
      </c>
      <c r="D31" s="91" t="str">
        <f>IFERROR(INDEX(Starter!C:C,MATCH(B31,Starter!A:A,0)),"")</f>
        <v>Bowling Jugend Bayern</v>
      </c>
      <c r="E31" s="100">
        <f t="shared" si="3"/>
        <v>100</v>
      </c>
      <c r="F31" s="91">
        <f t="shared" si="4"/>
        <v>1</v>
      </c>
      <c r="G31" s="95">
        <f t="shared" si="5"/>
        <v>99.999999954000003</v>
      </c>
      <c r="L31" s="91">
        <f>INDEX(Starter!A:A,ROW()-1)</f>
        <v>38817</v>
      </c>
      <c r="M31" s="91">
        <f>SUMIF(Erfassung2!AU:AU,L31,Erfassung2!BJ:BJ)</f>
        <v>0</v>
      </c>
      <c r="N31" s="91">
        <f>SUMIF(Erfassung2!AU:AU,L31,Erfassung2!AX:AX)</f>
        <v>0</v>
      </c>
      <c r="O31" s="91">
        <f t="shared" si="0"/>
        <v>0</v>
      </c>
      <c r="P31" s="91">
        <f t="shared" si="1"/>
        <v>34</v>
      </c>
    </row>
    <row r="32" spans="1:16">
      <c r="A32" s="91">
        <f t="shared" si="6"/>
        <v>28</v>
      </c>
      <c r="B32" s="91">
        <f t="shared" si="2"/>
        <v>38922</v>
      </c>
      <c r="C32" s="91" t="str">
        <f>IFERROR(INDEX(Starter!B:B,MATCH(B32,Starter!A:A,0)),"")</f>
        <v>Schimanski, Theodor</v>
      </c>
      <c r="D32" s="91" t="str">
        <f>IFERROR(INDEX(Starter!C:C,MATCH(B32,Starter!A:A,0)),"")</f>
        <v>BSC Highroller Rosenheim</v>
      </c>
      <c r="E32" s="100">
        <f t="shared" si="3"/>
        <v>294</v>
      </c>
      <c r="F32" s="91">
        <f t="shared" si="4"/>
        <v>3</v>
      </c>
      <c r="G32" s="95">
        <f t="shared" si="5"/>
        <v>97.999999978999995</v>
      </c>
      <c r="L32" s="91">
        <f>INDEX(Starter!A:A,ROW()-1)</f>
        <v>38905</v>
      </c>
      <c r="M32" s="91">
        <f>SUMIF(Erfassung2!AU:AU,L32,Erfassung2!BJ:BJ)</f>
        <v>210</v>
      </c>
      <c r="N32" s="91">
        <f>SUMIF(Erfassung2!AU:AU,L32,Erfassung2!AX:AX)</f>
        <v>3</v>
      </c>
      <c r="O32" s="91">
        <f t="shared" si="0"/>
        <v>69.999999967999997</v>
      </c>
      <c r="P32" s="91">
        <f t="shared" si="1"/>
        <v>33</v>
      </c>
    </row>
    <row r="33" spans="1:16">
      <c r="A33" s="91">
        <f t="shared" si="6"/>
        <v>29</v>
      </c>
      <c r="B33" s="91">
        <f t="shared" si="2"/>
        <v>38920</v>
      </c>
      <c r="C33" s="91" t="str">
        <f>IFERROR(INDEX(Starter!B:B,MATCH(B33,Starter!A:A,0)),"")</f>
        <v>Schwarzfischer, Leon</v>
      </c>
      <c r="D33" s="91" t="str">
        <f>IFERROR(INDEX(Starter!C:C,MATCH(B33,Starter!A:A,0)),"")</f>
        <v>BSC Highroller Rosenheim</v>
      </c>
      <c r="E33" s="100">
        <f t="shared" si="3"/>
        <v>292</v>
      </c>
      <c r="F33" s="91">
        <f t="shared" si="4"/>
        <v>3</v>
      </c>
      <c r="G33" s="95">
        <f t="shared" si="5"/>
        <v>97.333333314333331</v>
      </c>
      <c r="L33" s="91">
        <f>INDEX(Starter!A:A,ROW()-1)</f>
        <v>38937</v>
      </c>
      <c r="M33" s="91">
        <f>SUMIF(Erfassung2!AU:AU,L33,Erfassung2!BJ:BJ)</f>
        <v>0</v>
      </c>
      <c r="N33" s="91">
        <f>SUMIF(Erfassung2!AU:AU,L33,Erfassung2!AX:AX)</f>
        <v>0</v>
      </c>
      <c r="O33" s="91">
        <f t="shared" si="0"/>
        <v>0</v>
      </c>
      <c r="P33" s="91">
        <f t="shared" si="1"/>
        <v>34</v>
      </c>
    </row>
    <row r="34" spans="1:16">
      <c r="A34" s="91">
        <f t="shared" si="6"/>
        <v>30</v>
      </c>
      <c r="B34" s="91">
        <f t="shared" si="2"/>
        <v>38808</v>
      </c>
      <c r="C34" s="91" t="str">
        <f>IFERROR(INDEX(Starter!B:B,MATCH(B34,Starter!A:A,0)),"")</f>
        <v>Reinhold, Moritz</v>
      </c>
      <c r="D34" s="91" t="str">
        <f>IFERROR(INDEX(Starter!C:C,MATCH(B34,Starter!A:A,0)),"")</f>
        <v>BSC Highroller Rosenheim</v>
      </c>
      <c r="E34" s="100">
        <f t="shared" si="3"/>
        <v>89</v>
      </c>
      <c r="F34" s="91">
        <f t="shared" si="4"/>
        <v>1</v>
      </c>
      <c r="G34" s="95">
        <f t="shared" si="5"/>
        <v>88.999999978000005</v>
      </c>
      <c r="L34" s="91">
        <f>INDEX(Starter!A:A,ROW()-1)</f>
        <v>38655</v>
      </c>
      <c r="M34" s="91">
        <f>SUMIF(Erfassung2!AU:AU,L34,Erfassung2!BJ:BJ)</f>
        <v>0</v>
      </c>
      <c r="N34" s="91">
        <f>SUMIF(Erfassung2!AU:AU,L34,Erfassung2!AX:AX)</f>
        <v>0</v>
      </c>
      <c r="O34" s="91">
        <f t="shared" si="0"/>
        <v>0</v>
      </c>
      <c r="P34" s="91">
        <f t="shared" si="1"/>
        <v>34</v>
      </c>
    </row>
    <row r="35" spans="1:16">
      <c r="A35" s="91">
        <f t="shared" si="6"/>
        <v>31</v>
      </c>
      <c r="B35" s="91">
        <f t="shared" si="2"/>
        <v>38893</v>
      </c>
      <c r="C35" s="91" t="str">
        <f>IFERROR(INDEX(Starter!B:B,MATCH(B35,Starter!A:A,0)),"")</f>
        <v>Rothemund, Louis</v>
      </c>
      <c r="D35" s="91" t="str">
        <f>IFERROR(INDEX(Starter!C:C,MATCH(B35,Starter!A:A,0)),"")</f>
        <v>Absolut-Sports.com</v>
      </c>
      <c r="E35" s="100">
        <f t="shared" si="3"/>
        <v>249</v>
      </c>
      <c r="F35" s="91">
        <f t="shared" si="4"/>
        <v>3</v>
      </c>
      <c r="G35" s="95">
        <f t="shared" si="5"/>
        <v>82.999999987999999</v>
      </c>
      <c r="L35" s="91">
        <f>INDEX(Starter!A:A,ROW()-1)</f>
        <v>38708</v>
      </c>
      <c r="M35" s="91">
        <f>SUMIF(Erfassung2!AU:AU,L35,Erfassung2!BJ:BJ)</f>
        <v>1107</v>
      </c>
      <c r="N35" s="91">
        <f>SUMIF(Erfassung2!AU:AU,L35,Erfassung2!AX:AX)</f>
        <v>5</v>
      </c>
      <c r="O35" s="91">
        <f t="shared" si="0"/>
        <v>221.39999996500001</v>
      </c>
      <c r="P35" s="91">
        <f t="shared" si="1"/>
        <v>1</v>
      </c>
    </row>
    <row r="36" spans="1:16">
      <c r="A36" s="91">
        <f t="shared" si="6"/>
        <v>32</v>
      </c>
      <c r="B36" s="91">
        <f t="shared" si="2"/>
        <v>38921</v>
      </c>
      <c r="C36" s="91" t="str">
        <f>IFERROR(INDEX(Starter!B:B,MATCH(B36,Starter!A:A,0)),"")</f>
        <v>Schimanski, Johanna</v>
      </c>
      <c r="D36" s="91" t="str">
        <f>IFERROR(INDEX(Starter!C:C,MATCH(B36,Starter!A:A,0)),"")</f>
        <v>BSC Highroller Rosenheim</v>
      </c>
      <c r="E36" s="100">
        <f t="shared" si="3"/>
        <v>246</v>
      </c>
      <c r="F36" s="91">
        <f t="shared" si="4"/>
        <v>3</v>
      </c>
      <c r="G36" s="95">
        <f t="shared" si="5"/>
        <v>81.999999979999998</v>
      </c>
      <c r="L36" s="91">
        <f>INDEX(Starter!A:A,ROW()-1)</f>
        <v>38327</v>
      </c>
      <c r="M36" s="91">
        <f>SUMIF(Erfassung2!AU:AU,L36,Erfassung2!BJ:BJ)</f>
        <v>1094</v>
      </c>
      <c r="N36" s="91">
        <f>SUMIF(Erfassung2!AU:AU,L36,Erfassung2!AX:AX)</f>
        <v>5</v>
      </c>
      <c r="O36" s="91">
        <f t="shared" si="0"/>
        <v>218.79999996400002</v>
      </c>
      <c r="P36" s="91">
        <f t="shared" si="1"/>
        <v>2</v>
      </c>
    </row>
    <row r="37" spans="1:16">
      <c r="A37" s="91">
        <f t="shared" si="6"/>
        <v>33</v>
      </c>
      <c r="B37" s="91">
        <f t="shared" si="2"/>
        <v>38905</v>
      </c>
      <c r="C37" s="91" t="str">
        <f>IFERROR(INDEX(Starter!B:B,MATCH(B37,Starter!A:A,0)),"")</f>
        <v>Laubach, Nina</v>
      </c>
      <c r="D37" s="91" t="str">
        <f>IFERROR(INDEX(Starter!C:C,MATCH(B37,Starter!A:A,0)),"")</f>
        <v>BC Berchtesgaden</v>
      </c>
      <c r="E37" s="100">
        <f t="shared" si="3"/>
        <v>210</v>
      </c>
      <c r="F37" s="91">
        <f t="shared" si="4"/>
        <v>3</v>
      </c>
      <c r="G37" s="95">
        <f t="shared" si="5"/>
        <v>69.999999967999997</v>
      </c>
      <c r="L37" s="91">
        <f>INDEX(Starter!A:A,ROW()-1)</f>
        <v>38927</v>
      </c>
      <c r="M37" s="91">
        <f>SUMIF(Erfassung2!AU:AU,L37,Erfassung2!BJ:BJ)</f>
        <v>0</v>
      </c>
      <c r="N37" s="91">
        <f>SUMIF(Erfassung2!AU:AU,L37,Erfassung2!AX:AX)</f>
        <v>0</v>
      </c>
      <c r="O37" s="91">
        <f t="shared" si="0"/>
        <v>0</v>
      </c>
      <c r="P37" s="91">
        <f t="shared" si="1"/>
        <v>34</v>
      </c>
    </row>
    <row r="38" spans="1:16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SUMIF(Erfassung2!AU:AU,L38,Erfassung2!BJ:BJ)</f>
        <v>0</v>
      </c>
      <c r="N38" s="91">
        <f>SUMIF(Erfassung2!AU:AU,L38,Erfassung2!AX:AX)</f>
        <v>0</v>
      </c>
      <c r="O38" s="91">
        <f t="shared" si="0"/>
        <v>0</v>
      </c>
      <c r="P38" s="91">
        <f t="shared" si="1"/>
        <v>34</v>
      </c>
    </row>
    <row r="39" spans="1:16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SUMIF(Erfassung2!AU:AU,L39,Erfassung2!BJ:BJ)</f>
        <v>0</v>
      </c>
      <c r="N39" s="91">
        <f>SUMIF(Erfassung2!AU:AU,L39,Erfassung2!AX:AX)</f>
        <v>0</v>
      </c>
      <c r="O39" s="91">
        <f t="shared" si="0"/>
        <v>0</v>
      </c>
      <c r="P39" s="91">
        <f t="shared" si="1"/>
        <v>34</v>
      </c>
    </row>
    <row r="40" spans="1:16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SUMIF(Erfassung2!AU:AU,L40,Erfassung2!BJ:BJ)</f>
        <v>713</v>
      </c>
      <c r="N40" s="91">
        <f>SUMIF(Erfassung2!AU:AU,L40,Erfassung2!AX:AX)</f>
        <v>5</v>
      </c>
      <c r="O40" s="91">
        <f t="shared" si="0"/>
        <v>142.59999995999999</v>
      </c>
      <c r="P40" s="91">
        <f t="shared" si="1"/>
        <v>15</v>
      </c>
    </row>
    <row r="41" spans="1:16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SUMIF(Erfassung2!AU:AU,L41,Erfassung2!BJ:BJ)</f>
        <v>266</v>
      </c>
      <c r="N41" s="91">
        <f>SUMIF(Erfassung2!AU:AU,L41,Erfassung2!AX:AX)</f>
        <v>2</v>
      </c>
      <c r="O41" s="91">
        <f t="shared" si="0"/>
        <v>132.99999995900001</v>
      </c>
      <c r="P41" s="91">
        <f t="shared" si="1"/>
        <v>18</v>
      </c>
    </row>
    <row r="42" spans="1:16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SUMIF(Erfassung2!AU:AU,L42,Erfassung2!BJ:BJ)</f>
        <v>488</v>
      </c>
      <c r="N42" s="91">
        <f>SUMIF(Erfassung2!AU:AU,L42,Erfassung2!AX:AX)</f>
        <v>3</v>
      </c>
      <c r="O42" s="91">
        <f t="shared" si="0"/>
        <v>162.66666662466665</v>
      </c>
      <c r="P42" s="91">
        <f t="shared" si="1"/>
        <v>7</v>
      </c>
    </row>
    <row r="43" spans="1:16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SUMIF(Erfassung2!AU:AU,L43,Erfassung2!BJ:BJ)</f>
        <v>378</v>
      </c>
      <c r="N43" s="91">
        <f>SUMIF(Erfassung2!AU:AU,L43,Erfassung2!AX:AX)</f>
        <v>3</v>
      </c>
      <c r="O43" s="91">
        <f t="shared" si="0"/>
        <v>125.999999957</v>
      </c>
      <c r="P43" s="91">
        <f t="shared" si="1"/>
        <v>20</v>
      </c>
    </row>
    <row r="44" spans="1:16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SUMIF(Erfassung2!AU:AU,L44,Erfassung2!BJ:BJ)</f>
        <v>707</v>
      </c>
      <c r="N44" s="91">
        <f>SUMIF(Erfassung2!AU:AU,L44,Erfassung2!AX:AX)</f>
        <v>4</v>
      </c>
      <c r="O44" s="91">
        <f t="shared" si="0"/>
        <v>176.74999995600001</v>
      </c>
      <c r="P44" s="91">
        <f t="shared" si="1"/>
        <v>5</v>
      </c>
    </row>
    <row r="45" spans="1:16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SUMIF(Erfassung2!AU:AU,L45,Erfassung2!BJ:BJ)</f>
        <v>945</v>
      </c>
      <c r="N45" s="91">
        <f>SUMIF(Erfassung2!AU:AU,L45,Erfassung2!AX:AX)</f>
        <v>5</v>
      </c>
      <c r="O45" s="91">
        <f t="shared" si="0"/>
        <v>188.99999995499999</v>
      </c>
      <c r="P45" s="91">
        <f t="shared" si="1"/>
        <v>4</v>
      </c>
    </row>
    <row r="46" spans="1:16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SUMIF(Erfassung2!AU:AU,L46,Erfassung2!BJ:BJ)</f>
        <v>100</v>
      </c>
      <c r="N46" s="91">
        <f>SUMIF(Erfassung2!AU:AU,L46,Erfassung2!AX:AX)</f>
        <v>1</v>
      </c>
      <c r="O46" s="91">
        <f t="shared" si="0"/>
        <v>99.999999954000003</v>
      </c>
      <c r="P46" s="91">
        <f t="shared" si="1"/>
        <v>27</v>
      </c>
    </row>
    <row r="47" spans="1:16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SUMIF(Erfassung2!AU:AU,L47,Erfassung2!BJ:BJ)</f>
        <v>0</v>
      </c>
      <c r="N47" s="91">
        <f>SUMIF(Erfassung2!AU:AU,L47,Erfassung2!AX:AX)</f>
        <v>0</v>
      </c>
      <c r="O47" s="91">
        <f t="shared" si="0"/>
        <v>0</v>
      </c>
      <c r="P47" s="91">
        <f t="shared" si="1"/>
        <v>34</v>
      </c>
    </row>
    <row r="48" spans="1:16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SUMIF(Erfassung2!AU:AU,L48,Erfassung2!BJ:BJ)</f>
        <v>0</v>
      </c>
      <c r="N48" s="91">
        <f>SUMIF(Erfassung2!AU:AU,L48,Erfassung2!AX:AX)</f>
        <v>0</v>
      </c>
      <c r="O48" s="91">
        <f t="shared" si="0"/>
        <v>0</v>
      </c>
      <c r="P48" s="91">
        <f t="shared" si="1"/>
        <v>34</v>
      </c>
    </row>
    <row r="49" spans="1:16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SUMIF(Erfassung2!AU:AU,L49,Erfassung2!BJ:BJ)</f>
        <v>0</v>
      </c>
      <c r="N49" s="91">
        <f>SUMIF(Erfassung2!AU:AU,L49,Erfassung2!AX:AX)</f>
        <v>0</v>
      </c>
      <c r="O49" s="91">
        <f t="shared" si="0"/>
        <v>0</v>
      </c>
      <c r="P49" s="91">
        <f t="shared" si="1"/>
        <v>34</v>
      </c>
    </row>
    <row r="50" spans="1:16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SUMIF(Erfassung2!AU:AU,L50,Erfassung2!BJ:BJ)</f>
        <v>0</v>
      </c>
      <c r="N50" s="91">
        <f>SUMIF(Erfassung2!AU:AU,L50,Erfassung2!AX:AX)</f>
        <v>0</v>
      </c>
      <c r="O50" s="91">
        <f t="shared" si="0"/>
        <v>0</v>
      </c>
      <c r="P50" s="91">
        <f t="shared" si="1"/>
        <v>34</v>
      </c>
    </row>
    <row r="51" spans="1:16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SUMIF(Erfassung2!AU:AU,L51,Erfassung2!BJ:BJ)</f>
        <v>0</v>
      </c>
      <c r="N51" s="91">
        <f>SUMIF(Erfassung2!AU:AU,L51,Erfassung2!AX:AX)</f>
        <v>0</v>
      </c>
      <c r="O51" s="91">
        <f t="shared" si="0"/>
        <v>0</v>
      </c>
      <c r="P51" s="91">
        <f t="shared" si="1"/>
        <v>34</v>
      </c>
    </row>
    <row r="52" spans="1:16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SUMIF(Erfassung2!AU:AU,L52,Erfassung2!BJ:BJ)</f>
        <v>0</v>
      </c>
      <c r="N52" s="91">
        <f>SUMIF(Erfassung2!AU:AU,L52,Erfassung2!AX:AX)</f>
        <v>0</v>
      </c>
      <c r="O52" s="91">
        <f t="shared" si="0"/>
        <v>0</v>
      </c>
      <c r="P52" s="91">
        <f t="shared" si="1"/>
        <v>34</v>
      </c>
    </row>
    <row r="53" spans="1:16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SUMIF(Erfassung2!AU:AU,L53,Erfassung2!BJ:BJ)</f>
        <v>0</v>
      </c>
      <c r="N53" s="91">
        <f>SUMIF(Erfassung2!AU:AU,L53,Erfassung2!AX:AX)</f>
        <v>0</v>
      </c>
      <c r="O53" s="91">
        <f t="shared" si="0"/>
        <v>0</v>
      </c>
      <c r="P53" s="91">
        <f t="shared" si="1"/>
        <v>34</v>
      </c>
    </row>
    <row r="54" spans="1:16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SUMIF(Erfassung2!AU:AU,L54,Erfassung2!BJ:BJ)</f>
        <v>0</v>
      </c>
      <c r="N54" s="91">
        <f>SUMIF(Erfassung2!AU:AU,L54,Erfassung2!AX:AX)</f>
        <v>0</v>
      </c>
      <c r="O54" s="91">
        <f t="shared" si="0"/>
        <v>0</v>
      </c>
      <c r="P54" s="91">
        <f t="shared" si="1"/>
        <v>34</v>
      </c>
    </row>
    <row r="55" spans="1:16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SUMIF(Erfassung2!AU:AU,L55,Erfassung2!BJ:BJ)</f>
        <v>0</v>
      </c>
      <c r="N55" s="91">
        <f>SUMIF(Erfassung2!AU:AU,L55,Erfassung2!AX:AX)</f>
        <v>0</v>
      </c>
      <c r="O55" s="91">
        <f t="shared" si="0"/>
        <v>0</v>
      </c>
      <c r="P55" s="91">
        <f t="shared" si="1"/>
        <v>34</v>
      </c>
    </row>
    <row r="56" spans="1:16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SUMIF(Erfassung2!AU:AU,L56,Erfassung2!BJ:BJ)</f>
        <v>0</v>
      </c>
      <c r="N56" s="91">
        <f>SUMIF(Erfassung2!AU:AU,L56,Erfassung2!AX:AX)</f>
        <v>0</v>
      </c>
      <c r="O56" s="91">
        <f t="shared" si="0"/>
        <v>0</v>
      </c>
      <c r="P56" s="91">
        <f t="shared" si="1"/>
        <v>34</v>
      </c>
    </row>
    <row r="57" spans="1:16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SUMIF(Erfassung2!AU:AU,L57,Erfassung2!BJ:BJ)</f>
        <v>0</v>
      </c>
      <c r="N57" s="91">
        <f>SUMIF(Erfassung2!AU:AU,L57,Erfassung2!AX:AX)</f>
        <v>0</v>
      </c>
      <c r="O57" s="91">
        <f t="shared" si="0"/>
        <v>0</v>
      </c>
      <c r="P57" s="91">
        <f t="shared" si="1"/>
        <v>34</v>
      </c>
    </row>
    <row r="58" spans="1:16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SUMIF(Erfassung2!AU:AU,L58,Erfassung2!BJ:BJ)</f>
        <v>0</v>
      </c>
      <c r="N58" s="91">
        <f>SUMIF(Erfassung2!AU:AU,L58,Erfassung2!AX:AX)</f>
        <v>0</v>
      </c>
      <c r="O58" s="91">
        <f t="shared" si="0"/>
        <v>0</v>
      </c>
      <c r="P58" s="91">
        <f t="shared" si="1"/>
        <v>34</v>
      </c>
    </row>
    <row r="59" spans="1:16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SUMIF(Erfassung2!AU:AU,L59,Erfassung2!BJ:BJ)</f>
        <v>0</v>
      </c>
      <c r="N59" s="91">
        <f>SUMIF(Erfassung2!AU:AU,L59,Erfassung2!AX:AX)</f>
        <v>0</v>
      </c>
      <c r="O59" s="91">
        <f t="shared" si="0"/>
        <v>0</v>
      </c>
      <c r="P59" s="91">
        <f t="shared" si="1"/>
        <v>34</v>
      </c>
    </row>
    <row r="60" spans="1:16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SUMIF(Erfassung2!AU:AU,L60,Erfassung2!BJ:BJ)</f>
        <v>0</v>
      </c>
      <c r="N60" s="91">
        <f>SUMIF(Erfassung2!AU:AU,L60,Erfassung2!AX:AX)</f>
        <v>0</v>
      </c>
      <c r="O60" s="91">
        <f t="shared" si="0"/>
        <v>0</v>
      </c>
      <c r="P60" s="91">
        <f t="shared" si="1"/>
        <v>34</v>
      </c>
    </row>
    <row r="61" spans="1:16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SUMIF(Erfassung2!AU:AU,L61,Erfassung2!BJ:BJ)</f>
        <v>0</v>
      </c>
      <c r="N61" s="91">
        <f>SUMIF(Erfassung2!AU:AU,L61,Erfassung2!AX:AX)</f>
        <v>0</v>
      </c>
      <c r="O61" s="91">
        <f t="shared" si="0"/>
        <v>0</v>
      </c>
      <c r="P61" s="91">
        <f t="shared" si="1"/>
        <v>34</v>
      </c>
    </row>
    <row r="62" spans="1:16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SUMIF(Erfassung2!AU:AU,L62,Erfassung2!BJ:BJ)</f>
        <v>0</v>
      </c>
      <c r="N62" s="91">
        <f>SUMIF(Erfassung2!AU:AU,L62,Erfassung2!AX:AX)</f>
        <v>0</v>
      </c>
      <c r="O62" s="91">
        <f t="shared" si="0"/>
        <v>0</v>
      </c>
      <c r="P62" s="91">
        <f t="shared" si="1"/>
        <v>34</v>
      </c>
    </row>
    <row r="63" spans="1:16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SUMIF(Erfassung2!AU:AU,L63,Erfassung2!BJ:BJ)</f>
        <v>0</v>
      </c>
      <c r="N63" s="91">
        <f>SUMIF(Erfassung2!AU:AU,L63,Erfassung2!AX:AX)</f>
        <v>0</v>
      </c>
      <c r="O63" s="91">
        <f t="shared" si="0"/>
        <v>0</v>
      </c>
      <c r="P63" s="91">
        <f t="shared" si="1"/>
        <v>34</v>
      </c>
    </row>
    <row r="64" spans="1:16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SUMIF(Erfassung2!AU:AU,L64,Erfassung2!BJ:BJ)</f>
        <v>0</v>
      </c>
      <c r="N64" s="91">
        <f>SUMIF(Erfassung2!AU:AU,L64,Erfassung2!AX:AX)</f>
        <v>0</v>
      </c>
      <c r="O64" s="91">
        <f t="shared" si="0"/>
        <v>0</v>
      </c>
      <c r="P64" s="91">
        <f t="shared" si="1"/>
        <v>34</v>
      </c>
    </row>
    <row r="65" spans="1:16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SUMIF(Erfassung2!AU:AU,L65,Erfassung2!BJ:BJ)</f>
        <v>0</v>
      </c>
      <c r="N65" s="91">
        <f>SUMIF(Erfassung2!AU:AU,L65,Erfassung2!AX:AX)</f>
        <v>0</v>
      </c>
      <c r="O65" s="91">
        <f t="shared" si="0"/>
        <v>0</v>
      </c>
      <c r="P65" s="91">
        <f t="shared" si="1"/>
        <v>34</v>
      </c>
    </row>
    <row r="66" spans="1:16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SUMIF(Erfassung2!AU:AU,L66,Erfassung2!BJ:BJ)</f>
        <v>0</v>
      </c>
      <c r="N66" s="91">
        <f>SUMIF(Erfassung2!AU:AU,L66,Erfassung2!AX:AX)</f>
        <v>0</v>
      </c>
      <c r="O66" s="91">
        <f t="shared" si="0"/>
        <v>0</v>
      </c>
      <c r="P66" s="91">
        <f t="shared" si="1"/>
        <v>34</v>
      </c>
    </row>
    <row r="67" spans="1:16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SUMIF(Erfassung2!AU:AU,L67,Erfassung2!BJ:BJ)</f>
        <v>0</v>
      </c>
      <c r="N67" s="91">
        <f>SUMIF(Erfassung2!AU:AU,L67,Erfassung2!AX:AX)</f>
        <v>0</v>
      </c>
      <c r="O67" s="91">
        <f t="shared" ref="O67:O104" si="7">IF(N67=0,0,M67/N67-ROW()/1000000000)</f>
        <v>0</v>
      </c>
      <c r="P67" s="91">
        <f t="shared" ref="P67:P104" si="8">RANK(O67,O:O)</f>
        <v>34</v>
      </c>
    </row>
    <row r="68" spans="1:16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SUMIF(Erfassung2!AU:AU,L68,Erfassung2!BJ:BJ)</f>
        <v>0</v>
      </c>
      <c r="N68" s="91">
        <f>SUMIF(Erfassung2!AU:AU,L68,Erfassung2!AX:AX)</f>
        <v>0</v>
      </c>
      <c r="O68" s="91">
        <f t="shared" si="7"/>
        <v>0</v>
      </c>
      <c r="P68" s="91">
        <f t="shared" si="8"/>
        <v>34</v>
      </c>
    </row>
    <row r="69" spans="1:16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SUMIF(Erfassung2!AU:AU,L69,Erfassung2!BJ:BJ)</f>
        <v>0</v>
      </c>
      <c r="N69" s="91">
        <f>SUMIF(Erfassung2!AU:AU,L69,Erfassung2!AX:AX)</f>
        <v>0</v>
      </c>
      <c r="O69" s="91">
        <f t="shared" si="7"/>
        <v>0</v>
      </c>
      <c r="P69" s="91">
        <f t="shared" si="8"/>
        <v>34</v>
      </c>
    </row>
    <row r="70" spans="1:16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SUMIF(Erfassung2!AU:AU,L70,Erfassung2!BJ:BJ)</f>
        <v>0</v>
      </c>
      <c r="N70" s="91">
        <f>SUMIF(Erfassung2!AU:AU,L70,Erfassung2!AX:AX)</f>
        <v>0</v>
      </c>
      <c r="O70" s="91">
        <f t="shared" si="7"/>
        <v>0</v>
      </c>
      <c r="P70" s="91">
        <f t="shared" si="8"/>
        <v>34</v>
      </c>
    </row>
    <row r="71" spans="1:16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SUMIF(Erfassung2!AU:AU,L71,Erfassung2!BJ:BJ)</f>
        <v>0</v>
      </c>
      <c r="N71" s="91">
        <f>SUMIF(Erfassung2!AU:AU,L71,Erfassung2!AX:AX)</f>
        <v>0</v>
      </c>
      <c r="O71" s="91">
        <f t="shared" si="7"/>
        <v>0</v>
      </c>
      <c r="P71" s="91">
        <f t="shared" si="8"/>
        <v>34</v>
      </c>
    </row>
    <row r="72" spans="1:16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SUMIF(Erfassung2!AU:AU,L72,Erfassung2!BJ:BJ)</f>
        <v>0</v>
      </c>
      <c r="N72" s="91">
        <f>SUMIF(Erfassung2!AU:AU,L72,Erfassung2!AX:AX)</f>
        <v>0</v>
      </c>
      <c r="O72" s="91">
        <f t="shared" si="7"/>
        <v>0</v>
      </c>
      <c r="P72" s="91">
        <f t="shared" si="8"/>
        <v>34</v>
      </c>
    </row>
    <row r="73" spans="1:16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SUMIF(Erfassung2!AU:AU,L73,Erfassung2!BJ:BJ)</f>
        <v>0</v>
      </c>
      <c r="N73" s="91">
        <f>SUMIF(Erfassung2!AU:AU,L73,Erfassung2!AX:AX)</f>
        <v>0</v>
      </c>
      <c r="O73" s="91">
        <f t="shared" si="7"/>
        <v>0</v>
      </c>
      <c r="P73" s="91">
        <f t="shared" si="8"/>
        <v>34</v>
      </c>
    </row>
    <row r="74" spans="1:16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SUMIF(Erfassung2!AU:AU,L74,Erfassung2!BJ:BJ)</f>
        <v>0</v>
      </c>
      <c r="N74" s="91">
        <f>SUMIF(Erfassung2!AU:AU,L74,Erfassung2!AX:AX)</f>
        <v>0</v>
      </c>
      <c r="O74" s="91">
        <f t="shared" si="7"/>
        <v>0</v>
      </c>
      <c r="P74" s="91">
        <f t="shared" si="8"/>
        <v>34</v>
      </c>
    </row>
    <row r="75" spans="1:16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SUMIF(Erfassung2!AU:AU,L75,Erfassung2!BJ:BJ)</f>
        <v>0</v>
      </c>
      <c r="N75" s="91">
        <f>SUMIF(Erfassung2!AU:AU,L75,Erfassung2!AX:AX)</f>
        <v>0</v>
      </c>
      <c r="O75" s="91">
        <f t="shared" si="7"/>
        <v>0</v>
      </c>
      <c r="P75" s="91">
        <f t="shared" si="8"/>
        <v>34</v>
      </c>
    </row>
    <row r="76" spans="1:16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SUMIF(Erfassung2!AU:AU,L76,Erfassung2!BJ:BJ)</f>
        <v>0</v>
      </c>
      <c r="N76" s="91">
        <f>SUMIF(Erfassung2!AU:AU,L76,Erfassung2!AX:AX)</f>
        <v>0</v>
      </c>
      <c r="O76" s="91">
        <f t="shared" si="7"/>
        <v>0</v>
      </c>
      <c r="P76" s="91">
        <f t="shared" si="8"/>
        <v>34</v>
      </c>
    </row>
    <row r="77" spans="1:16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SUMIF(Erfassung2!AU:AU,L77,Erfassung2!BJ:BJ)</f>
        <v>0</v>
      </c>
      <c r="N77" s="91">
        <f>SUMIF(Erfassung2!AU:AU,L77,Erfassung2!AX:AX)</f>
        <v>0</v>
      </c>
      <c r="O77" s="91">
        <f t="shared" si="7"/>
        <v>0</v>
      </c>
      <c r="P77" s="91">
        <f t="shared" si="8"/>
        <v>34</v>
      </c>
    </row>
    <row r="78" spans="1:16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SUMIF(Erfassung2!AU:AU,L78,Erfassung2!BJ:BJ)</f>
        <v>0</v>
      </c>
      <c r="N78" s="91">
        <f>SUMIF(Erfassung2!AU:AU,L78,Erfassung2!AX:AX)</f>
        <v>0</v>
      </c>
      <c r="O78" s="91">
        <f t="shared" si="7"/>
        <v>0</v>
      </c>
      <c r="P78" s="91">
        <f t="shared" si="8"/>
        <v>34</v>
      </c>
    </row>
    <row r="79" spans="1:16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SUMIF(Erfassung2!AU:AU,L79,Erfassung2!BJ:BJ)</f>
        <v>0</v>
      </c>
      <c r="N79" s="91">
        <f>SUMIF(Erfassung2!AU:AU,L79,Erfassung2!AX:AX)</f>
        <v>0</v>
      </c>
      <c r="O79" s="91">
        <f t="shared" si="7"/>
        <v>0</v>
      </c>
      <c r="P79" s="91">
        <f t="shared" si="8"/>
        <v>34</v>
      </c>
    </row>
    <row r="80" spans="1:16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SUMIF(Erfassung2!AU:AU,L80,Erfassung2!BJ:BJ)</f>
        <v>0</v>
      </c>
      <c r="N80" s="91">
        <f>SUMIF(Erfassung2!AU:AU,L80,Erfassung2!AX:AX)</f>
        <v>0</v>
      </c>
      <c r="O80" s="91">
        <f t="shared" si="7"/>
        <v>0</v>
      </c>
      <c r="P80" s="91">
        <f t="shared" si="8"/>
        <v>34</v>
      </c>
    </row>
    <row r="81" spans="1:16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SUMIF(Erfassung2!AU:AU,L81,Erfassung2!BJ:BJ)</f>
        <v>0</v>
      </c>
      <c r="N81" s="91">
        <f>SUMIF(Erfassung2!AU:AU,L81,Erfassung2!AX:AX)</f>
        <v>0</v>
      </c>
      <c r="O81" s="91">
        <f t="shared" si="7"/>
        <v>0</v>
      </c>
      <c r="P81" s="91">
        <f t="shared" si="8"/>
        <v>34</v>
      </c>
    </row>
    <row r="82" spans="1:16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SUMIF(Erfassung2!AU:AU,L82,Erfassung2!BJ:BJ)</f>
        <v>0</v>
      </c>
      <c r="N82" s="91">
        <f>SUMIF(Erfassung2!AU:AU,L82,Erfassung2!AX:AX)</f>
        <v>0</v>
      </c>
      <c r="O82" s="91">
        <f t="shared" si="7"/>
        <v>0</v>
      </c>
      <c r="P82" s="91">
        <f t="shared" si="8"/>
        <v>34</v>
      </c>
    </row>
    <row r="83" spans="1:16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SUMIF(Erfassung2!AU:AU,L83,Erfassung2!BJ:BJ)</f>
        <v>0</v>
      </c>
      <c r="N83" s="91">
        <f>SUMIF(Erfassung2!AU:AU,L83,Erfassung2!AX:AX)</f>
        <v>0</v>
      </c>
      <c r="O83" s="91">
        <f t="shared" si="7"/>
        <v>0</v>
      </c>
      <c r="P83" s="91">
        <f t="shared" si="8"/>
        <v>34</v>
      </c>
    </row>
    <row r="84" spans="1:16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SUMIF(Erfassung2!AU:AU,L84,Erfassung2!BJ:BJ)</f>
        <v>0</v>
      </c>
      <c r="N84" s="91">
        <f>SUMIF(Erfassung2!AU:AU,L84,Erfassung2!AX:AX)</f>
        <v>0</v>
      </c>
      <c r="O84" s="91">
        <f t="shared" si="7"/>
        <v>0</v>
      </c>
      <c r="P84" s="91">
        <f t="shared" si="8"/>
        <v>34</v>
      </c>
    </row>
    <row r="85" spans="1:16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SUMIF(Erfassung2!AU:AU,L85,Erfassung2!BJ:BJ)</f>
        <v>0</v>
      </c>
      <c r="N85" s="91">
        <f>SUMIF(Erfassung2!AU:AU,L85,Erfassung2!AX:AX)</f>
        <v>0</v>
      </c>
      <c r="O85" s="91">
        <f t="shared" si="7"/>
        <v>0</v>
      </c>
      <c r="P85" s="91">
        <f t="shared" si="8"/>
        <v>34</v>
      </c>
    </row>
    <row r="86" spans="1:16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SUMIF(Erfassung2!AU:AU,L86,Erfassung2!BJ:BJ)</f>
        <v>0</v>
      </c>
      <c r="N86" s="91">
        <f>SUMIF(Erfassung2!AU:AU,L86,Erfassung2!AX:AX)</f>
        <v>0</v>
      </c>
      <c r="O86" s="91">
        <f t="shared" si="7"/>
        <v>0</v>
      </c>
      <c r="P86" s="91">
        <f t="shared" si="8"/>
        <v>34</v>
      </c>
    </row>
    <row r="87" spans="1:16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SUMIF(Erfassung2!AU:AU,L87,Erfassung2!BJ:BJ)</f>
        <v>0</v>
      </c>
      <c r="N87" s="91">
        <f>SUMIF(Erfassung2!AU:AU,L87,Erfassung2!AX:AX)</f>
        <v>0</v>
      </c>
      <c r="O87" s="91">
        <f t="shared" si="7"/>
        <v>0</v>
      </c>
      <c r="P87" s="91">
        <f t="shared" si="8"/>
        <v>34</v>
      </c>
    </row>
    <row r="88" spans="1:16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SUMIF(Erfassung2!AU:AU,L88,Erfassung2!BJ:BJ)</f>
        <v>0</v>
      </c>
      <c r="N88" s="91">
        <f>SUMIF(Erfassung2!AU:AU,L88,Erfassung2!AX:AX)</f>
        <v>0</v>
      </c>
      <c r="O88" s="91">
        <f t="shared" si="7"/>
        <v>0</v>
      </c>
      <c r="P88" s="91">
        <f t="shared" si="8"/>
        <v>34</v>
      </c>
    </row>
    <row r="89" spans="1:16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SUMIF(Erfassung2!AU:AU,L89,Erfassung2!BJ:BJ)</f>
        <v>0</v>
      </c>
      <c r="N89" s="91">
        <f>SUMIF(Erfassung2!AU:AU,L89,Erfassung2!AX:AX)</f>
        <v>0</v>
      </c>
      <c r="O89" s="91">
        <f t="shared" si="7"/>
        <v>0</v>
      </c>
      <c r="P89" s="91">
        <f t="shared" si="8"/>
        <v>34</v>
      </c>
    </row>
    <row r="90" spans="1:16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SUMIF(Erfassung2!AU:AU,L90,Erfassung2!BJ:BJ)</f>
        <v>0</v>
      </c>
      <c r="N90" s="91">
        <f>SUMIF(Erfassung2!AU:AU,L90,Erfassung2!AX:AX)</f>
        <v>0</v>
      </c>
      <c r="O90" s="91">
        <f t="shared" si="7"/>
        <v>0</v>
      </c>
      <c r="P90" s="91">
        <f t="shared" si="8"/>
        <v>34</v>
      </c>
    </row>
    <row r="91" spans="1:16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SUMIF(Erfassung2!AU:AU,L91,Erfassung2!BJ:BJ)</f>
        <v>0</v>
      </c>
      <c r="N91" s="91">
        <f>SUMIF(Erfassung2!AU:AU,L91,Erfassung2!AX:AX)</f>
        <v>0</v>
      </c>
      <c r="O91" s="91">
        <f t="shared" si="7"/>
        <v>0</v>
      </c>
      <c r="P91" s="91">
        <f t="shared" si="8"/>
        <v>34</v>
      </c>
    </row>
    <row r="92" spans="1:16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SUMIF(Erfassung2!AU:AU,L92,Erfassung2!BJ:BJ)</f>
        <v>0</v>
      </c>
      <c r="N92" s="91">
        <f>SUMIF(Erfassung2!AU:AU,L92,Erfassung2!AX:AX)</f>
        <v>0</v>
      </c>
      <c r="O92" s="91">
        <f t="shared" si="7"/>
        <v>0</v>
      </c>
      <c r="P92" s="91">
        <f t="shared" si="8"/>
        <v>34</v>
      </c>
    </row>
    <row r="93" spans="1:16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SUMIF(Erfassung2!AU:AU,L93,Erfassung2!BJ:BJ)</f>
        <v>0</v>
      </c>
      <c r="N93" s="91">
        <f>SUMIF(Erfassung2!AU:AU,L93,Erfassung2!AX:AX)</f>
        <v>0</v>
      </c>
      <c r="O93" s="91">
        <f t="shared" si="7"/>
        <v>0</v>
      </c>
      <c r="P93" s="91">
        <f t="shared" si="8"/>
        <v>34</v>
      </c>
    </row>
    <row r="94" spans="1:16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SUMIF(Erfassung2!AU:AU,L94,Erfassung2!BJ:BJ)</f>
        <v>0</v>
      </c>
      <c r="N94" s="91">
        <f>SUMIF(Erfassung2!AU:AU,L94,Erfassung2!AX:AX)</f>
        <v>0</v>
      </c>
      <c r="O94" s="91">
        <f t="shared" si="7"/>
        <v>0</v>
      </c>
      <c r="P94" s="91">
        <f t="shared" si="8"/>
        <v>34</v>
      </c>
    </row>
    <row r="95" spans="1:16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SUMIF(Erfassung2!AU:AU,L95,Erfassung2!BJ:BJ)</f>
        <v>0</v>
      </c>
      <c r="N95" s="91">
        <f>SUMIF(Erfassung2!AU:AU,L95,Erfassung2!AX:AX)</f>
        <v>0</v>
      </c>
      <c r="O95" s="91">
        <f t="shared" si="7"/>
        <v>0</v>
      </c>
      <c r="P95" s="91">
        <f t="shared" si="8"/>
        <v>34</v>
      </c>
    </row>
    <row r="96" spans="1:16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SUMIF(Erfassung2!AU:AU,L96,Erfassung2!BJ:BJ)</f>
        <v>0</v>
      </c>
      <c r="N96" s="91">
        <f>SUMIF(Erfassung2!AU:AU,L96,Erfassung2!AX:AX)</f>
        <v>0</v>
      </c>
      <c r="O96" s="91">
        <f t="shared" si="7"/>
        <v>0</v>
      </c>
      <c r="P96" s="91">
        <f t="shared" si="8"/>
        <v>34</v>
      </c>
    </row>
    <row r="97" spans="1:16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SUMIF(Erfassung2!AU:AU,L97,Erfassung2!BJ:BJ)</f>
        <v>0</v>
      </c>
      <c r="N97" s="91">
        <f>SUMIF(Erfassung2!AU:AU,L97,Erfassung2!AX:AX)</f>
        <v>0</v>
      </c>
      <c r="O97" s="91">
        <f t="shared" si="7"/>
        <v>0</v>
      </c>
      <c r="P97" s="91">
        <f t="shared" si="8"/>
        <v>34</v>
      </c>
    </row>
    <row r="98" spans="1:16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SUMIF(Erfassung2!AU:AU,L98,Erfassung2!BJ:BJ)</f>
        <v>0</v>
      </c>
      <c r="N98" s="91">
        <f>SUMIF(Erfassung2!AU:AU,L98,Erfassung2!AX:AX)</f>
        <v>0</v>
      </c>
      <c r="O98" s="91">
        <f t="shared" si="7"/>
        <v>0</v>
      </c>
      <c r="P98" s="91">
        <f t="shared" si="8"/>
        <v>34</v>
      </c>
    </row>
    <row r="99" spans="1:16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SUMIF(Erfassung2!AU:AU,L99,Erfassung2!BJ:BJ)</f>
        <v>0</v>
      </c>
      <c r="N99" s="91">
        <f>SUMIF(Erfassung2!AU:AU,L99,Erfassung2!AX:AX)</f>
        <v>0</v>
      </c>
      <c r="O99" s="91">
        <f t="shared" si="7"/>
        <v>0</v>
      </c>
      <c r="P99" s="91">
        <f t="shared" si="8"/>
        <v>34</v>
      </c>
    </row>
    <row r="100" spans="1:16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SUMIF(Erfassung2!AU:AU,L100,Erfassung2!BJ:BJ)</f>
        <v>0</v>
      </c>
      <c r="N100" s="91">
        <f>SUMIF(Erfassung2!AU:AU,L100,Erfassung2!AX:AX)</f>
        <v>0</v>
      </c>
      <c r="O100" s="91">
        <f t="shared" si="7"/>
        <v>0</v>
      </c>
      <c r="P100" s="91">
        <f t="shared" si="8"/>
        <v>34</v>
      </c>
    </row>
    <row r="101" spans="1:16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SUMIF(Erfassung2!AU:AU,L101,Erfassung2!BJ:BJ)</f>
        <v>0</v>
      </c>
      <c r="N101" s="91">
        <f>SUMIF(Erfassung2!AU:AU,L101,Erfassung2!AX:AX)</f>
        <v>0</v>
      </c>
      <c r="O101" s="91">
        <f t="shared" si="7"/>
        <v>0</v>
      </c>
      <c r="P101" s="91">
        <f t="shared" si="8"/>
        <v>34</v>
      </c>
    </row>
    <row r="102" spans="1:16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SUMIF(Erfassung2!AU:AU,L102,Erfassung2!BJ:BJ)</f>
        <v>0</v>
      </c>
      <c r="N102" s="91">
        <f>SUMIF(Erfassung2!AU:AU,L102,Erfassung2!AX:AX)</f>
        <v>0</v>
      </c>
      <c r="O102" s="91">
        <f t="shared" si="7"/>
        <v>0</v>
      </c>
      <c r="P102" s="91">
        <f t="shared" si="8"/>
        <v>34</v>
      </c>
    </row>
    <row r="103" spans="1:16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SUMIF(Erfassung2!AU:AU,L103,Erfassung2!BJ:BJ)</f>
        <v>0</v>
      </c>
      <c r="N103" s="91">
        <f>SUMIF(Erfassung2!AU:AU,L103,Erfassung2!AX:AX)</f>
        <v>0</v>
      </c>
      <c r="O103" s="91">
        <f t="shared" si="7"/>
        <v>0</v>
      </c>
      <c r="P103" s="91">
        <f t="shared" si="8"/>
        <v>34</v>
      </c>
    </row>
    <row r="104" spans="1:16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SUMIF(Erfassung2!AU:AU,L104,Erfassung2!BJ:BJ)</f>
        <v>0</v>
      </c>
      <c r="N104" s="91">
        <f>SUMIF(Erfassung2!AU:AU,L104,Erfassung2!AX:AX)</f>
        <v>0</v>
      </c>
      <c r="O104" s="91">
        <f t="shared" si="7"/>
        <v>0</v>
      </c>
      <c r="P104" s="91">
        <f t="shared" si="8"/>
        <v>34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C48" sqref="C48:T48"/>
    </sheetView>
  </sheetViews>
  <sheetFormatPr baseColWidth="10" defaultColWidth="11.44140625" defaultRowHeight="13.2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44140625" customWidth="1"/>
    <col min="12" max="12" width="11.44140625" style="91" hidden="1" customWidth="1"/>
    <col min="13" max="16" width="11.44140625" hidden="1" customWidth="1"/>
    <col min="17" max="20" width="11.44140625" customWidth="1"/>
  </cols>
  <sheetData>
    <row r="1" spans="1:16" ht="28.5" customHeight="1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>
      <c r="A2" s="154" t="s">
        <v>1785</v>
      </c>
      <c r="C2" s="33">
        <v>2</v>
      </c>
      <c r="D2" s="33" t="s">
        <v>1864</v>
      </c>
      <c r="E2" s="155"/>
      <c r="F2" s="156"/>
      <c r="L2" s="91">
        <f>INDEX(Starter!A:A,ROW()-1)</f>
        <v>38890</v>
      </c>
      <c r="M2">
        <f>INDEX(Schnitt1!M:M,MATCH(L2,Schnitt1!L:L,0))+INDEX(Schnitt2!M:M,MATCH(L2,Schnitt2!L:L,0))</f>
        <v>739</v>
      </c>
      <c r="N2">
        <f>INDEX(Schnitt1!N:N,MATCH(L2,Schnitt1!L:L,0))+INDEX(Schnitt2!N:N,MATCH(L2,Schnitt2!L:L,0))</f>
        <v>7</v>
      </c>
      <c r="O2">
        <f t="shared" ref="O2:O65" si="0">IF(N2=0,0,M2/N2-ROW()/1000000000)</f>
        <v>105.57142856942858</v>
      </c>
      <c r="P2">
        <f t="shared" ref="P2:P65" si="1">RANK(O2,O:O)</f>
        <v>31</v>
      </c>
    </row>
    <row r="3" spans="1:16">
      <c r="L3" s="91">
        <f>INDEX(Starter!A:A,ROW()-1)</f>
        <v>38785</v>
      </c>
      <c r="M3">
        <f>INDEX(Schnitt1!M:M,MATCH(L3,Schnitt1!L:L,0))+INDEX(Schnitt2!M:M,MATCH(L3,Schnitt2!L:L,0))</f>
        <v>328</v>
      </c>
      <c r="N3">
        <f>INDEX(Schnitt1!N:N,MATCH(L3,Schnitt1!L:L,0))+INDEX(Schnitt2!N:N,MATCH(L3,Schnitt2!L:L,0))</f>
        <v>3</v>
      </c>
      <c r="O3">
        <f t="shared" si="0"/>
        <v>109.33333333033333</v>
      </c>
      <c r="P3">
        <f t="shared" si="1"/>
        <v>29</v>
      </c>
    </row>
    <row r="4" spans="1:16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INDEX(Schnitt1!M:M,MATCH(L4,Schnitt1!L:L,0))+INDEX(Schnitt2!M:M,MATCH(L4,Schnitt2!L:L,0))</f>
        <v>864</v>
      </c>
      <c r="N4">
        <f>INDEX(Schnitt1!N:N,MATCH(L4,Schnitt1!L:L,0))+INDEX(Schnitt2!N:N,MATCH(L4,Schnitt2!L:L,0))</f>
        <v>6</v>
      </c>
      <c r="O4">
        <f t="shared" si="0"/>
        <v>143.99999999600001</v>
      </c>
      <c r="P4">
        <f t="shared" si="1"/>
        <v>13</v>
      </c>
    </row>
    <row r="5" spans="1:16">
      <c r="A5">
        <v>1</v>
      </c>
      <c r="B5">
        <f t="shared" ref="B5:B68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68" si="3">IFERROR(INDEX(M:M,MATCH(A5,P:P,0)),"")</f>
        <v>1091</v>
      </c>
      <c r="F5">
        <f t="shared" ref="F5:F68" si="4">IFERROR(INDEX(N:N,MATCH(A5,P:P,0)),"")</f>
        <v>5</v>
      </c>
      <c r="G5" s="153">
        <f t="shared" ref="G5:G68" si="5">IFERROR(INDEX(O:O,MATCH(A5,P:P,0)),"")</f>
        <v>218.19999996599998</v>
      </c>
      <c r="L5" s="91">
        <f>INDEX(Starter!A:A,ROW()-1)</f>
        <v>38904</v>
      </c>
      <c r="M5">
        <f>INDEX(Schnitt1!M:M,MATCH(L5,Schnitt1!L:L,0))+INDEX(Schnitt2!M:M,MATCH(L5,Schnitt2!L:L,0))</f>
        <v>968</v>
      </c>
      <c r="N5">
        <f>INDEX(Schnitt1!N:N,MATCH(L5,Schnitt1!L:L,0))+INDEX(Schnitt2!N:N,MATCH(L5,Schnitt2!L:L,0))</f>
        <v>7</v>
      </c>
      <c r="O5">
        <f t="shared" si="0"/>
        <v>138.28571428071427</v>
      </c>
      <c r="P5">
        <f t="shared" si="1"/>
        <v>17</v>
      </c>
    </row>
    <row r="6" spans="1:16">
      <c r="A6">
        <f t="shared" ref="A6:A69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2159</v>
      </c>
      <c r="F6">
        <f t="shared" si="4"/>
        <v>10</v>
      </c>
      <c r="G6" s="153">
        <f t="shared" si="5"/>
        <v>215.89999996500001</v>
      </c>
      <c r="L6" s="91">
        <f>INDEX(Starter!A:A,ROW()-1)</f>
        <v>38910</v>
      </c>
      <c r="M6">
        <f>INDEX(Schnitt1!M:M,MATCH(L6,Schnitt1!L:L,0))+INDEX(Schnitt2!M:M,MATCH(L6,Schnitt2!L:L,0))</f>
        <v>881</v>
      </c>
      <c r="N6">
        <f>INDEX(Schnitt1!N:N,MATCH(L6,Schnitt1!L:L,0))+INDEX(Schnitt2!N:N,MATCH(L6,Schnitt2!L:L,0))</f>
        <v>7</v>
      </c>
      <c r="O6">
        <f t="shared" si="0"/>
        <v>125.85714285114287</v>
      </c>
      <c r="P6">
        <f t="shared" si="1"/>
        <v>23</v>
      </c>
    </row>
    <row r="7" spans="1:16">
      <c r="A7">
        <f t="shared" si="6"/>
        <v>3</v>
      </c>
      <c r="B7">
        <f t="shared" si="2"/>
        <v>38844</v>
      </c>
      <c r="C7" t="str">
        <f>IFERROR(INDEX(Starter!B:B,MATCH(B7,Starter!A:A,0)),"")</f>
        <v>Mathe, Maximilian</v>
      </c>
      <c r="D7" t="str">
        <f>IFERROR(INDEX(Starter!C:C,MATCH(B7,Starter!A:A,0)),"")</f>
        <v>Absolut-Sports.com</v>
      </c>
      <c r="E7" s="78">
        <f t="shared" si="3"/>
        <v>972</v>
      </c>
      <c r="F7">
        <f t="shared" si="4"/>
        <v>5</v>
      </c>
      <c r="G7" s="153">
        <f t="shared" si="5"/>
        <v>194.39999999</v>
      </c>
      <c r="L7" s="91">
        <f>INDEX(Starter!A:A,ROW()-1)</f>
        <v>38861</v>
      </c>
      <c r="M7">
        <f>INDEX(Schnitt1!M:M,MATCH(L7,Schnitt1!L:L,0))+INDEX(Schnitt2!M:M,MATCH(L7,Schnitt2!L:L,0))</f>
        <v>0</v>
      </c>
      <c r="N7">
        <f>INDEX(Schnitt1!N:N,MATCH(L7,Schnitt1!L:L,0))+INDEX(Schnitt2!N:N,MATCH(L7,Schnitt2!L:L,0))</f>
        <v>0</v>
      </c>
      <c r="O7">
        <f t="shared" si="0"/>
        <v>0</v>
      </c>
      <c r="P7">
        <f t="shared" si="1"/>
        <v>40</v>
      </c>
    </row>
    <row r="8" spans="1:16">
      <c r="A8">
        <f t="shared" si="6"/>
        <v>4</v>
      </c>
      <c r="B8">
        <f t="shared" si="2"/>
        <v>38327</v>
      </c>
      <c r="C8" t="str">
        <f>IFERROR(INDEX(Starter!B:B,MATCH(B8,Starter!A:A,0)),"")</f>
        <v>Jakobi, Moritz</v>
      </c>
      <c r="D8" t="str">
        <f>IFERROR(INDEX(Starter!C:C,MATCH(B8,Starter!A:A,0)),"")</f>
        <v>BK München</v>
      </c>
      <c r="E8" s="78">
        <f t="shared" si="3"/>
        <v>1920</v>
      </c>
      <c r="F8">
        <f t="shared" si="4"/>
        <v>10</v>
      </c>
      <c r="G8" s="153">
        <f t="shared" si="5"/>
        <v>191.99999996400001</v>
      </c>
      <c r="L8" s="91">
        <f>INDEX(Starter!A:A,ROW()-1)</f>
        <v>38845</v>
      </c>
      <c r="M8">
        <f>INDEX(Schnitt1!M:M,MATCH(L8,Schnitt1!L:L,0))+INDEX(Schnitt2!M:M,MATCH(L8,Schnitt2!L:L,0))</f>
        <v>1917</v>
      </c>
      <c r="N8">
        <f>INDEX(Schnitt1!N:N,MATCH(L8,Schnitt1!L:L,0))+INDEX(Schnitt2!N:N,MATCH(L8,Schnitt2!L:L,0))</f>
        <v>10</v>
      </c>
      <c r="O8">
        <f t="shared" si="0"/>
        <v>191.69999999199999</v>
      </c>
      <c r="P8">
        <f t="shared" si="1"/>
        <v>5</v>
      </c>
    </row>
    <row r="9" spans="1:16">
      <c r="A9">
        <f t="shared" si="6"/>
        <v>5</v>
      </c>
      <c r="B9">
        <f t="shared" si="2"/>
        <v>38845</v>
      </c>
      <c r="C9" t="str">
        <f>IFERROR(INDEX(Starter!B:B,MATCH(B9,Starter!A:A,0)),"")</f>
        <v>Kugler, Laurin</v>
      </c>
      <c r="D9" t="str">
        <f>IFERROR(INDEX(Starter!C:C,MATCH(B9,Starter!A:A,0)),"")</f>
        <v>Absolut-Sports.com</v>
      </c>
      <c r="E9" s="78">
        <f t="shared" si="3"/>
        <v>1917</v>
      </c>
      <c r="F9">
        <f t="shared" si="4"/>
        <v>10</v>
      </c>
      <c r="G9" s="153">
        <f t="shared" si="5"/>
        <v>191.69999999199999</v>
      </c>
      <c r="L9" s="91">
        <f>INDEX(Starter!A:A,ROW()-1)</f>
        <v>38843</v>
      </c>
      <c r="M9">
        <f>INDEX(Schnitt1!M:M,MATCH(L9,Schnitt1!L:L,0))+INDEX(Schnitt2!M:M,MATCH(L9,Schnitt2!L:L,0))</f>
        <v>549</v>
      </c>
      <c r="N9">
        <f>INDEX(Schnitt1!N:N,MATCH(L9,Schnitt1!L:L,0))+INDEX(Schnitt2!N:N,MATCH(L9,Schnitt2!L:L,0))</f>
        <v>4</v>
      </c>
      <c r="O9">
        <f t="shared" si="0"/>
        <v>137.24999999100001</v>
      </c>
      <c r="P9">
        <f t="shared" si="1"/>
        <v>18</v>
      </c>
    </row>
    <row r="10" spans="1:16">
      <c r="A10">
        <f t="shared" si="6"/>
        <v>6</v>
      </c>
      <c r="B10">
        <f t="shared" si="2"/>
        <v>38334</v>
      </c>
      <c r="C10" t="str">
        <f>IFERROR(INDEX(Starter!B:B,MATCH(B10,Starter!A:A,0)),"")</f>
        <v>Lauchner, Julian</v>
      </c>
      <c r="D10" t="str">
        <f>IFERROR(INDEX(Starter!C:C,MATCH(B10,Starter!A:A,0)),"")</f>
        <v>BK München</v>
      </c>
      <c r="E10" s="78">
        <f t="shared" si="3"/>
        <v>945</v>
      </c>
      <c r="F10">
        <f t="shared" si="4"/>
        <v>5</v>
      </c>
      <c r="G10" s="153">
        <f t="shared" si="5"/>
        <v>188.99999995499999</v>
      </c>
      <c r="L10" s="91">
        <f>INDEX(Starter!A:A,ROW()-1)</f>
        <v>38844</v>
      </c>
      <c r="M10">
        <f>INDEX(Schnitt1!M:M,MATCH(L10,Schnitt1!L:L,0))+INDEX(Schnitt2!M:M,MATCH(L10,Schnitt2!L:L,0))</f>
        <v>972</v>
      </c>
      <c r="N10">
        <f>INDEX(Schnitt1!N:N,MATCH(L10,Schnitt1!L:L,0))+INDEX(Schnitt2!N:N,MATCH(L10,Schnitt2!L:L,0))</f>
        <v>5</v>
      </c>
      <c r="O10">
        <f t="shared" si="0"/>
        <v>194.39999999</v>
      </c>
      <c r="P10">
        <f t="shared" si="1"/>
        <v>3</v>
      </c>
    </row>
    <row r="11" spans="1:16">
      <c r="A11">
        <f t="shared" si="6"/>
        <v>7</v>
      </c>
      <c r="B11">
        <f t="shared" si="2"/>
        <v>38942</v>
      </c>
      <c r="C11" t="str">
        <f>IFERROR(INDEX(Starter!B:B,MATCH(B11,Starter!A:A,0)),"")</f>
        <v>Klettenheimer, Julius</v>
      </c>
      <c r="D11" t="str">
        <f>IFERROR(INDEX(Starter!C:C,MATCH(B11,Starter!A:A,0)),"")</f>
        <v>Bowling Jugend Bayern</v>
      </c>
      <c r="E11" s="78">
        <f t="shared" si="3"/>
        <v>707</v>
      </c>
      <c r="F11">
        <f t="shared" si="4"/>
        <v>4</v>
      </c>
      <c r="G11" s="153">
        <f t="shared" si="5"/>
        <v>176.74999995600001</v>
      </c>
      <c r="L11" s="91">
        <f>INDEX(Starter!A:A,ROW()-1)</f>
        <v>38772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40</v>
      </c>
    </row>
    <row r="12" spans="1:16">
      <c r="A12">
        <f t="shared" si="6"/>
        <v>8</v>
      </c>
      <c r="B12">
        <f t="shared" si="2"/>
        <v>38714</v>
      </c>
      <c r="C12" t="str">
        <f>IFERROR(INDEX(Starter!B:B,MATCH(B12,Starter!A:A,0)),"")</f>
        <v>Wieser, Lukas</v>
      </c>
      <c r="D12" t="str">
        <f>IFERROR(INDEX(Starter!C:C,MATCH(B12,Starter!A:A,0)),"")</f>
        <v>BC Berchtesgaden</v>
      </c>
      <c r="E12" s="78">
        <f t="shared" si="3"/>
        <v>1306</v>
      </c>
      <c r="F12">
        <f t="shared" si="4"/>
        <v>8</v>
      </c>
      <c r="G12" s="153">
        <f t="shared" si="5"/>
        <v>163.24999997099999</v>
      </c>
      <c r="L12" s="91">
        <f>INDEX(Starter!A:A,ROW()-1)</f>
        <v>38893</v>
      </c>
      <c r="M12">
        <f>INDEX(Schnitt1!M:M,MATCH(L12,Schnitt1!L:L,0))+INDEX(Schnitt2!M:M,MATCH(L12,Schnitt2!L:L,0))</f>
        <v>249</v>
      </c>
      <c r="N12">
        <f>INDEX(Schnitt1!N:N,MATCH(L12,Schnitt1!L:L,0))+INDEX(Schnitt2!N:N,MATCH(L12,Schnitt2!L:L,0))</f>
        <v>3</v>
      </c>
      <c r="O12">
        <f t="shared" si="0"/>
        <v>82.999999987999999</v>
      </c>
      <c r="P12">
        <f t="shared" si="1"/>
        <v>37</v>
      </c>
    </row>
    <row r="13" spans="1:16">
      <c r="A13">
        <f t="shared" si="6"/>
        <v>9</v>
      </c>
      <c r="B13">
        <f t="shared" si="2"/>
        <v>38781</v>
      </c>
      <c r="C13" t="str">
        <f>IFERROR(INDEX(Starter!B:B,MATCH(B13,Starter!A:A,0)),"")</f>
        <v>Reichenauer, Leon</v>
      </c>
      <c r="D13" t="str">
        <f>IFERROR(INDEX(Starter!C:C,MATCH(B13,Starter!A:A,0)),"")</f>
        <v>Bowling Jugend Bayern</v>
      </c>
      <c r="E13" s="78">
        <f t="shared" si="3"/>
        <v>488</v>
      </c>
      <c r="F13">
        <f t="shared" si="4"/>
        <v>3</v>
      </c>
      <c r="G13" s="153">
        <f t="shared" si="5"/>
        <v>162.66666662466665</v>
      </c>
      <c r="L13" s="91">
        <f>INDEX(Starter!A:A,ROW()-1)</f>
        <v>38760</v>
      </c>
      <c r="M13">
        <f>INDEX(Schnitt1!M:M,MATCH(L13,Schnitt1!L:L,0))+INDEX(Schnitt2!M:M,MATCH(L13,Schnitt2!L:L,0))</f>
        <v>1108</v>
      </c>
      <c r="N13">
        <f>INDEX(Schnitt1!N:N,MATCH(L13,Schnitt1!L:L,0))+INDEX(Schnitt2!N:N,MATCH(L13,Schnitt2!L:L,0))</f>
        <v>8</v>
      </c>
      <c r="O13">
        <f t="shared" si="0"/>
        <v>138.499999987</v>
      </c>
      <c r="P13">
        <f t="shared" si="1"/>
        <v>16</v>
      </c>
    </row>
    <row r="14" spans="1:16">
      <c r="A14">
        <f t="shared" si="6"/>
        <v>10</v>
      </c>
      <c r="B14">
        <f t="shared" si="2"/>
        <v>38809</v>
      </c>
      <c r="C14" t="str">
        <f>IFERROR(INDEX(Starter!B:B,MATCH(B14,Starter!A:A,0)),"")</f>
        <v>Elze, Julian</v>
      </c>
      <c r="D14" t="str">
        <f>IFERROR(INDEX(Starter!C:C,MATCH(B14,Starter!A:A,0)),"")</f>
        <v>BSC Highroller Rosenheim</v>
      </c>
      <c r="E14" s="78">
        <f t="shared" si="3"/>
        <v>485</v>
      </c>
      <c r="F14">
        <f t="shared" si="4"/>
        <v>3</v>
      </c>
      <c r="G14" s="153">
        <f t="shared" si="5"/>
        <v>161.66666664966667</v>
      </c>
      <c r="L14" s="91">
        <f>INDEX(Starter!A:A,ROW()-1)</f>
        <v>38759</v>
      </c>
      <c r="M14">
        <f>INDEX(Schnitt1!M:M,MATCH(L14,Schnitt1!L:L,0))+INDEX(Schnitt2!M:M,MATCH(L14,Schnitt2!L:L,0))</f>
        <v>1140</v>
      </c>
      <c r="N14">
        <f>INDEX(Schnitt1!N:N,MATCH(L14,Schnitt1!L:L,0))+INDEX(Schnitt2!N:N,MATCH(L14,Schnitt2!L:L,0))</f>
        <v>8</v>
      </c>
      <c r="O14">
        <f t="shared" si="0"/>
        <v>142.49999998600001</v>
      </c>
      <c r="P14">
        <f t="shared" si="1"/>
        <v>15</v>
      </c>
    </row>
    <row r="15" spans="1:16">
      <c r="A15">
        <f t="shared" si="6"/>
        <v>11</v>
      </c>
      <c r="B15">
        <f t="shared" si="2"/>
        <v>38795</v>
      </c>
      <c r="C15" t="str">
        <f>IFERROR(INDEX(Starter!B:B,MATCH(B15,Starter!A:A,0)),"")</f>
        <v>Catalano, Leandro</v>
      </c>
      <c r="D15" t="str">
        <f>IFERROR(INDEX(Starter!C:C,MATCH(B15,Starter!A:A,0)),"")</f>
        <v>Bowling Jugend Bayern</v>
      </c>
      <c r="E15" s="78">
        <f t="shared" si="3"/>
        <v>778</v>
      </c>
      <c r="F15">
        <f t="shared" si="4"/>
        <v>5</v>
      </c>
      <c r="G15" s="153">
        <f t="shared" si="5"/>
        <v>155.599999962</v>
      </c>
      <c r="L15" s="91">
        <f>INDEX(Starter!A:A,ROW()-1)</f>
        <v>38831</v>
      </c>
      <c r="M15">
        <f>INDEX(Schnitt1!M:M,MATCH(L15,Schnitt1!L:L,0))+INDEX(Schnitt2!M:M,MATCH(L15,Schnitt2!L:L,0))</f>
        <v>589</v>
      </c>
      <c r="N15">
        <f>INDEX(Schnitt1!N:N,MATCH(L15,Schnitt1!L:L,0))+INDEX(Schnitt2!N:N,MATCH(L15,Schnitt2!L:L,0))</f>
        <v>6</v>
      </c>
      <c r="O15">
        <f t="shared" si="0"/>
        <v>98.166666651666674</v>
      </c>
      <c r="P15">
        <f t="shared" si="1"/>
        <v>35</v>
      </c>
    </row>
    <row r="16" spans="1:16">
      <c r="A16">
        <f t="shared" si="6"/>
        <v>12</v>
      </c>
      <c r="B16">
        <f t="shared" si="2"/>
        <v>38773</v>
      </c>
      <c r="C16" t="str">
        <f>IFERROR(INDEX(Starter!B:B,MATCH(B16,Starter!A:A,0)),"")</f>
        <v>Weiss, Luisa Samira</v>
      </c>
      <c r="D16" t="str">
        <f>IFERROR(INDEX(Starter!C:C,MATCH(B16,Starter!A:A,0)),"")</f>
        <v>BSC Highroller Rosenheim</v>
      </c>
      <c r="E16" s="78">
        <f t="shared" si="3"/>
        <v>1192</v>
      </c>
      <c r="F16">
        <f t="shared" si="4"/>
        <v>8</v>
      </c>
      <c r="G16" s="153">
        <f t="shared" si="5"/>
        <v>148.999999984</v>
      </c>
      <c r="L16" s="91">
        <f>INDEX(Starter!A:A,ROW()-1)</f>
        <v>38773</v>
      </c>
      <c r="M16">
        <f>INDEX(Schnitt1!M:M,MATCH(L16,Schnitt1!L:L,0))+INDEX(Schnitt2!M:M,MATCH(L16,Schnitt2!L:L,0))</f>
        <v>1192</v>
      </c>
      <c r="N16">
        <f>INDEX(Schnitt1!N:N,MATCH(L16,Schnitt1!L:L,0))+INDEX(Schnitt2!N:N,MATCH(L16,Schnitt2!L:L,0))</f>
        <v>8</v>
      </c>
      <c r="O16">
        <f t="shared" si="0"/>
        <v>148.999999984</v>
      </c>
      <c r="P16">
        <f t="shared" si="1"/>
        <v>12</v>
      </c>
    </row>
    <row r="17" spans="1:16">
      <c r="A17">
        <f t="shared" si="6"/>
        <v>13</v>
      </c>
      <c r="B17">
        <f t="shared" si="2"/>
        <v>38706</v>
      </c>
      <c r="C17" t="str">
        <f>IFERROR(INDEX(Starter!B:B,MATCH(B17,Starter!A:A,0)),"")</f>
        <v>Böhm, Eric-Pascal</v>
      </c>
      <c r="D17" t="str">
        <f>IFERROR(INDEX(Starter!C:C,MATCH(B17,Starter!A:A,0)),"")</f>
        <v>BC EMAX</v>
      </c>
      <c r="E17" s="78">
        <f t="shared" si="3"/>
        <v>864</v>
      </c>
      <c r="F17">
        <f t="shared" si="4"/>
        <v>6</v>
      </c>
      <c r="G17" s="153">
        <f t="shared" si="5"/>
        <v>143.99999999600001</v>
      </c>
      <c r="L17" s="91">
        <f>INDEX(Starter!A:A,ROW()-1)</f>
        <v>38809</v>
      </c>
      <c r="M17">
        <f>INDEX(Schnitt1!M:M,MATCH(L17,Schnitt1!L:L,0))+INDEX(Schnitt2!M:M,MATCH(L17,Schnitt2!L:L,0))</f>
        <v>485</v>
      </c>
      <c r="N17">
        <f>INDEX(Schnitt1!N:N,MATCH(L17,Schnitt1!L:L,0))+INDEX(Schnitt2!N:N,MATCH(L17,Schnitt2!L:L,0))</f>
        <v>3</v>
      </c>
      <c r="O17">
        <f t="shared" si="0"/>
        <v>161.66666664966667</v>
      </c>
      <c r="P17">
        <f t="shared" si="1"/>
        <v>10</v>
      </c>
    </row>
    <row r="18" spans="1:16">
      <c r="A18">
        <f t="shared" si="6"/>
        <v>14</v>
      </c>
      <c r="B18">
        <f t="shared" si="2"/>
        <v>38894</v>
      </c>
      <c r="C18" t="str">
        <f>IFERROR(INDEX(Starter!B:B,MATCH(B18,Starter!A:A,0)),"")</f>
        <v>Prieß, Marc</v>
      </c>
      <c r="D18" t="str">
        <f>IFERROR(INDEX(Starter!C:C,MATCH(B18,Starter!A:A,0)),"")</f>
        <v>Bowling Jugend Bayern</v>
      </c>
      <c r="E18" s="78">
        <f t="shared" si="3"/>
        <v>713</v>
      </c>
      <c r="F18">
        <f t="shared" si="4"/>
        <v>5</v>
      </c>
      <c r="G18" s="153">
        <f t="shared" si="5"/>
        <v>142.59999995999999</v>
      </c>
      <c r="L18" s="91">
        <f>INDEX(Starter!A:A,ROW()-1)</f>
        <v>38923</v>
      </c>
      <c r="M18">
        <f>INDEX(Schnitt1!M:M,MATCH(L18,Schnitt1!L:L,0))+INDEX(Schnitt2!M:M,MATCH(L18,Schnitt2!L:L,0))</f>
        <v>751</v>
      </c>
      <c r="N18">
        <f>INDEX(Schnitt1!N:N,MATCH(L18,Schnitt1!L:L,0))+INDEX(Schnitt2!N:N,MATCH(L18,Schnitt2!L:L,0))</f>
        <v>7</v>
      </c>
      <c r="O18">
        <f t="shared" si="0"/>
        <v>107.2857142677143</v>
      </c>
      <c r="P18">
        <f t="shared" si="1"/>
        <v>30</v>
      </c>
    </row>
    <row r="19" spans="1:16">
      <c r="A19">
        <f t="shared" si="6"/>
        <v>15</v>
      </c>
      <c r="B19">
        <f t="shared" si="2"/>
        <v>38759</v>
      </c>
      <c r="C19" t="str">
        <f>IFERROR(INDEX(Starter!B:B,MATCH(B19,Starter!A:A,0)),"")</f>
        <v>Stölzel, Celia</v>
      </c>
      <c r="D19" t="str">
        <f>IFERROR(INDEX(Starter!C:C,MATCH(B19,Starter!A:A,0)),"")</f>
        <v>BSC Highroller Rosenheim</v>
      </c>
      <c r="E19" s="78">
        <f t="shared" si="3"/>
        <v>1140</v>
      </c>
      <c r="F19">
        <f t="shared" si="4"/>
        <v>8</v>
      </c>
      <c r="G19" s="153">
        <f t="shared" si="5"/>
        <v>142.49999998600001</v>
      </c>
      <c r="L19" s="91">
        <f>INDEX(Starter!A:A,ROW()-1)</f>
        <v>38920</v>
      </c>
      <c r="M19">
        <f>INDEX(Schnitt1!M:M,MATCH(L19,Schnitt1!L:L,0))+INDEX(Schnitt2!M:M,MATCH(L19,Schnitt2!L:L,0))</f>
        <v>617</v>
      </c>
      <c r="N19">
        <f>INDEX(Schnitt1!N:N,MATCH(L19,Schnitt1!L:L,0))+INDEX(Schnitt2!N:N,MATCH(L19,Schnitt2!L:L,0))</f>
        <v>7</v>
      </c>
      <c r="O19">
        <f t="shared" si="0"/>
        <v>88.142857123857141</v>
      </c>
      <c r="P19">
        <f t="shared" si="1"/>
        <v>36</v>
      </c>
    </row>
    <row r="20" spans="1:16">
      <c r="A20">
        <f t="shared" si="6"/>
        <v>16</v>
      </c>
      <c r="B20">
        <f t="shared" si="2"/>
        <v>38760</v>
      </c>
      <c r="C20" t="str">
        <f>IFERROR(INDEX(Starter!B:B,MATCH(B20,Starter!A:A,0)),"")</f>
        <v>Achhammer, Klara</v>
      </c>
      <c r="D20" t="str">
        <f>IFERROR(INDEX(Starter!C:C,MATCH(B20,Starter!A:A,0)),"")</f>
        <v>BSC Highroller Rosenheim</v>
      </c>
      <c r="E20" s="78">
        <f t="shared" si="3"/>
        <v>1108</v>
      </c>
      <c r="F20">
        <f t="shared" si="4"/>
        <v>8</v>
      </c>
      <c r="G20" s="153">
        <f t="shared" si="5"/>
        <v>138.499999987</v>
      </c>
      <c r="L20" s="91">
        <f>INDEX(Starter!A:A,ROW()-1)</f>
        <v>38921</v>
      </c>
      <c r="M20">
        <f>INDEX(Schnitt1!M:M,MATCH(L20,Schnitt1!L:L,0))+INDEX(Schnitt2!M:M,MATCH(L20,Schnitt2!L:L,0))</f>
        <v>514</v>
      </c>
      <c r="N20">
        <f>INDEX(Schnitt1!N:N,MATCH(L20,Schnitt1!L:L,0))+INDEX(Schnitt2!N:N,MATCH(L20,Schnitt2!L:L,0))</f>
        <v>7</v>
      </c>
      <c r="O20">
        <f t="shared" si="0"/>
        <v>73.428571408571429</v>
      </c>
      <c r="P20">
        <f t="shared" si="1"/>
        <v>38</v>
      </c>
    </row>
    <row r="21" spans="1:16">
      <c r="A21">
        <f t="shared" si="6"/>
        <v>17</v>
      </c>
      <c r="B21">
        <f t="shared" si="2"/>
        <v>38904</v>
      </c>
      <c r="C21" t="str">
        <f>IFERROR(INDEX(Starter!B:B,MATCH(B21,Starter!A:A,0)),"")</f>
        <v>Vogt, Leonard</v>
      </c>
      <c r="D21" t="str">
        <f>IFERROR(INDEX(Starter!C:C,MATCH(B21,Starter!A:A,0)),"")</f>
        <v>BC EMAX</v>
      </c>
      <c r="E21" s="78">
        <f t="shared" si="3"/>
        <v>968</v>
      </c>
      <c r="F21">
        <f t="shared" si="4"/>
        <v>7</v>
      </c>
      <c r="G21" s="153">
        <f t="shared" si="5"/>
        <v>138.28571428071427</v>
      </c>
      <c r="L21" s="91">
        <f>INDEX(Starter!A:A,ROW()-1)</f>
        <v>38922</v>
      </c>
      <c r="M21">
        <f>INDEX(Schnitt1!M:M,MATCH(L21,Schnitt1!L:L,0))+INDEX(Schnitt2!M:M,MATCH(L21,Schnitt2!L:L,0))</f>
        <v>596</v>
      </c>
      <c r="N21">
        <f>INDEX(Schnitt1!N:N,MATCH(L21,Schnitt1!L:L,0))+INDEX(Schnitt2!N:N,MATCH(L21,Schnitt2!L:L,0))</f>
        <v>6</v>
      </c>
      <c r="O21">
        <f t="shared" si="0"/>
        <v>99.333333312333323</v>
      </c>
      <c r="P21">
        <f t="shared" si="1"/>
        <v>34</v>
      </c>
    </row>
    <row r="22" spans="1:16">
      <c r="A22">
        <f t="shared" si="6"/>
        <v>18</v>
      </c>
      <c r="B22">
        <f t="shared" si="2"/>
        <v>38843</v>
      </c>
      <c r="C22" t="str">
        <f>IFERROR(INDEX(Starter!B:B,MATCH(B22,Starter!A:A,0)),"")</f>
        <v>Lintner, Lena</v>
      </c>
      <c r="D22" t="str">
        <f>IFERROR(INDEX(Starter!C:C,MATCH(B22,Starter!A:A,0)),"")</f>
        <v>Absolut-Sports.com</v>
      </c>
      <c r="E22" s="78">
        <f t="shared" si="3"/>
        <v>549</v>
      </c>
      <c r="F22">
        <f t="shared" si="4"/>
        <v>4</v>
      </c>
      <c r="G22" s="153">
        <f t="shared" si="5"/>
        <v>137.24999999100001</v>
      </c>
      <c r="L22" s="91">
        <f>INDEX(Starter!A:A,ROW()-1)</f>
        <v>38808</v>
      </c>
      <c r="M22">
        <f>INDEX(Schnitt1!M:M,MATCH(L22,Schnitt1!L:L,0))+INDEX(Schnitt2!M:M,MATCH(L22,Schnitt2!L:L,0))</f>
        <v>560</v>
      </c>
      <c r="N22">
        <f>INDEX(Schnitt1!N:N,MATCH(L22,Schnitt1!L:L,0))+INDEX(Schnitt2!N:N,MATCH(L22,Schnitt2!L:L,0))</f>
        <v>5</v>
      </c>
      <c r="O22">
        <f t="shared" si="0"/>
        <v>111.99999997800001</v>
      </c>
      <c r="P22">
        <f t="shared" si="1"/>
        <v>28</v>
      </c>
    </row>
    <row r="23" spans="1:16">
      <c r="A23">
        <f t="shared" si="6"/>
        <v>19</v>
      </c>
      <c r="B23">
        <f t="shared" si="2"/>
        <v>38819</v>
      </c>
      <c r="C23" t="str">
        <f>IFERROR(INDEX(Starter!B:B,MATCH(B23,Starter!A:A,0)),"")</f>
        <v>Pittner, Gregor</v>
      </c>
      <c r="D23" t="str">
        <f>IFERROR(INDEX(Starter!C:C,MATCH(B23,Starter!A:A,0)),"")</f>
        <v>BC Berchtesgaden</v>
      </c>
      <c r="E23" s="78">
        <f t="shared" si="3"/>
        <v>931</v>
      </c>
      <c r="F23">
        <f t="shared" si="4"/>
        <v>7</v>
      </c>
      <c r="G23" s="153">
        <f t="shared" si="5"/>
        <v>132.99999997</v>
      </c>
      <c r="L23" s="91">
        <f>INDEX(Starter!A:A,ROW()-1)</f>
        <v>38810</v>
      </c>
      <c r="M23">
        <f>INDEX(Schnitt1!M:M,MATCH(L23,Schnitt1!L:L,0))+INDEX(Schnitt2!M:M,MATCH(L23,Schnitt2!L:L,0))</f>
        <v>1039</v>
      </c>
      <c r="N23">
        <f>INDEX(Schnitt1!N:N,MATCH(L23,Schnitt1!L:L,0))+INDEX(Schnitt2!N:N,MATCH(L23,Schnitt2!L:L,0))</f>
        <v>9</v>
      </c>
      <c r="O23">
        <f t="shared" si="0"/>
        <v>115.44444442144444</v>
      </c>
      <c r="P23">
        <f t="shared" si="1"/>
        <v>26</v>
      </c>
    </row>
    <row r="24" spans="1:16">
      <c r="A24">
        <f t="shared" si="6"/>
        <v>20</v>
      </c>
      <c r="B24">
        <f t="shared" si="2"/>
        <v>38937</v>
      </c>
      <c r="C24" t="str">
        <f>IFERROR(INDEX(Starter!B:B,MATCH(B24,Starter!A:A,0)),"")</f>
        <v>Ruppert, Raja</v>
      </c>
      <c r="D24" t="str">
        <f>IFERROR(INDEX(Starter!C:C,MATCH(B24,Starter!A:A,0)),"")</f>
        <v>LA Bowling</v>
      </c>
      <c r="E24" s="78">
        <f t="shared" si="3"/>
        <v>530</v>
      </c>
      <c r="F24">
        <f t="shared" si="4"/>
        <v>4</v>
      </c>
      <c r="G24" s="153">
        <f t="shared" si="5"/>
        <v>132.49999996700001</v>
      </c>
      <c r="L24" s="91">
        <f>INDEX(Starter!A:A,ROW()-1)</f>
        <v>38848</v>
      </c>
      <c r="M24">
        <f>INDEX(Schnitt1!M:M,MATCH(L24,Schnitt1!L:L,0))+INDEX(Schnitt2!M:M,MATCH(L24,Schnitt2!L:L,0))</f>
        <v>897</v>
      </c>
      <c r="N24">
        <f>INDEX(Schnitt1!N:N,MATCH(L24,Schnitt1!L:L,0))+INDEX(Schnitt2!N:N,MATCH(L24,Schnitt2!L:L,0))</f>
        <v>7</v>
      </c>
      <c r="O24">
        <f t="shared" si="0"/>
        <v>128.14285711885714</v>
      </c>
      <c r="P24">
        <f t="shared" si="1"/>
        <v>21</v>
      </c>
    </row>
    <row r="25" spans="1:16">
      <c r="A25">
        <f t="shared" si="6"/>
        <v>21</v>
      </c>
      <c r="B25">
        <f t="shared" si="2"/>
        <v>38848</v>
      </c>
      <c r="C25" t="str">
        <f>IFERROR(INDEX(Starter!B:B,MATCH(B25,Starter!A:A,0)),"")</f>
        <v>Marker, Anna</v>
      </c>
      <c r="D25" t="str">
        <f>IFERROR(INDEX(Starter!C:C,MATCH(B25,Starter!A:A,0)),"")</f>
        <v>BSC Highroller Rosenheim</v>
      </c>
      <c r="E25" s="78">
        <f t="shared" si="3"/>
        <v>897</v>
      </c>
      <c r="F25">
        <f t="shared" si="4"/>
        <v>7</v>
      </c>
      <c r="G25" s="153">
        <f t="shared" si="5"/>
        <v>128.14285711885714</v>
      </c>
      <c r="L25" s="91">
        <f>INDEX(Starter!A:A,ROW()-1)</f>
        <v>38849</v>
      </c>
      <c r="M25">
        <f>INDEX(Schnitt1!M:M,MATCH(L25,Schnitt1!L:L,0))+INDEX(Schnitt2!M:M,MATCH(L25,Schnitt2!L:L,0))</f>
        <v>1077</v>
      </c>
      <c r="N25">
        <f>INDEX(Schnitt1!N:N,MATCH(L25,Schnitt1!L:L,0))+INDEX(Schnitt2!N:N,MATCH(L25,Schnitt2!L:L,0))</f>
        <v>9</v>
      </c>
      <c r="O25">
        <f t="shared" si="0"/>
        <v>119.66666664166667</v>
      </c>
      <c r="P25">
        <f t="shared" si="1"/>
        <v>24</v>
      </c>
    </row>
    <row r="26" spans="1:16">
      <c r="A26">
        <f t="shared" si="6"/>
        <v>22</v>
      </c>
      <c r="B26">
        <f t="shared" si="2"/>
        <v>38940</v>
      </c>
      <c r="C26" t="str">
        <f>IFERROR(INDEX(Starter!B:B,MATCH(B26,Starter!A:A,0)),"")</f>
        <v>Mengel, Marina</v>
      </c>
      <c r="D26" t="str">
        <f>IFERROR(INDEX(Starter!C:C,MATCH(B26,Starter!A:A,0)),"")</f>
        <v>Absolut-Sports.com</v>
      </c>
      <c r="E26" s="78">
        <f t="shared" si="3"/>
        <v>378</v>
      </c>
      <c r="F26">
        <f t="shared" si="4"/>
        <v>3</v>
      </c>
      <c r="G26" s="153">
        <f t="shared" si="5"/>
        <v>125.999999957</v>
      </c>
      <c r="L26" s="91">
        <f>INDEX(Starter!A:A,ROW()-1)</f>
        <v>38925</v>
      </c>
      <c r="M26">
        <f>INDEX(Schnitt1!M:M,MATCH(L26,Schnitt1!L:L,0))+INDEX(Schnitt2!M:M,MATCH(L26,Schnitt2!L:L,0))</f>
        <v>0</v>
      </c>
      <c r="N26">
        <f>INDEX(Schnitt1!N:N,MATCH(L26,Schnitt1!L:L,0))+INDEX(Schnitt2!N:N,MATCH(L26,Schnitt2!L:L,0))</f>
        <v>0</v>
      </c>
      <c r="O26">
        <f t="shared" si="0"/>
        <v>0</v>
      </c>
      <c r="P26">
        <f t="shared" si="1"/>
        <v>40</v>
      </c>
    </row>
    <row r="27" spans="1:16">
      <c r="A27">
        <f t="shared" si="6"/>
        <v>23</v>
      </c>
      <c r="B27">
        <f t="shared" si="2"/>
        <v>38910</v>
      </c>
      <c r="C27" t="str">
        <f>IFERROR(INDEX(Starter!B:B,MATCH(B27,Starter!A:A,0)),"")</f>
        <v>Heiming, Thalea</v>
      </c>
      <c r="D27" t="str">
        <f>IFERROR(INDEX(Starter!C:C,MATCH(B27,Starter!A:A,0)),"")</f>
        <v>BC EMAX</v>
      </c>
      <c r="E27" s="78">
        <f t="shared" si="3"/>
        <v>881</v>
      </c>
      <c r="F27">
        <f t="shared" si="4"/>
        <v>7</v>
      </c>
      <c r="G27" s="153">
        <f t="shared" si="5"/>
        <v>125.85714285114287</v>
      </c>
      <c r="L27" s="91">
        <f>INDEX(Starter!A:A,ROW()-1)</f>
        <v>38924</v>
      </c>
      <c r="M27">
        <f>INDEX(Schnitt1!M:M,MATCH(L27,Schnitt1!L:L,0))+INDEX(Schnitt2!M:M,MATCH(L27,Schnitt2!L:L,0))</f>
        <v>0</v>
      </c>
      <c r="N27">
        <f>INDEX(Schnitt1!N:N,MATCH(L27,Schnitt1!L:L,0))+INDEX(Schnitt2!N:N,MATCH(L27,Schnitt2!L:L,0))</f>
        <v>0</v>
      </c>
      <c r="O27">
        <f t="shared" si="0"/>
        <v>0</v>
      </c>
      <c r="P27">
        <f t="shared" si="1"/>
        <v>40</v>
      </c>
    </row>
    <row r="28" spans="1:16">
      <c r="A28">
        <f t="shared" si="6"/>
        <v>24</v>
      </c>
      <c r="B28">
        <f t="shared" si="2"/>
        <v>38849</v>
      </c>
      <c r="C28" t="str">
        <f>IFERROR(INDEX(Starter!B:B,MATCH(B28,Starter!A:A,0)),"")</f>
        <v>Marker, Lena</v>
      </c>
      <c r="D28" t="str">
        <f>IFERROR(INDEX(Starter!C:C,MATCH(B28,Starter!A:A,0)),"")</f>
        <v>BSC Highroller Rosenheim</v>
      </c>
      <c r="E28" s="78">
        <f t="shared" si="3"/>
        <v>1077</v>
      </c>
      <c r="F28">
        <f t="shared" si="4"/>
        <v>9</v>
      </c>
      <c r="G28" s="153">
        <f t="shared" si="5"/>
        <v>119.66666664166667</v>
      </c>
      <c r="L28" s="91">
        <f>INDEX(Starter!A:A,ROW()-1)</f>
        <v>38865</v>
      </c>
      <c r="M28">
        <f>INDEX(Schnitt1!M:M,MATCH(L28,Schnitt1!L:L,0))+INDEX(Schnitt2!M:M,MATCH(L28,Schnitt2!L:L,0))</f>
        <v>913</v>
      </c>
      <c r="N28">
        <f>INDEX(Schnitt1!N:N,MATCH(L28,Schnitt1!L:L,0))+INDEX(Schnitt2!N:N,MATCH(L28,Schnitt2!L:L,0))</f>
        <v>8</v>
      </c>
      <c r="O28">
        <f t="shared" si="0"/>
        <v>114.124999972</v>
      </c>
      <c r="P28">
        <f t="shared" si="1"/>
        <v>27</v>
      </c>
    </row>
    <row r="29" spans="1:16">
      <c r="A29">
        <f t="shared" si="6"/>
        <v>25</v>
      </c>
      <c r="B29">
        <f t="shared" si="2"/>
        <v>38915</v>
      </c>
      <c r="C29" t="str">
        <f>IFERROR(INDEX(Starter!B:B,MATCH(B29,Starter!A:A,0)),"")</f>
        <v>Raj, Milan</v>
      </c>
      <c r="D29" t="str">
        <f>IFERROR(INDEX(Starter!C:C,MATCH(B29,Starter!A:A,0)),"")</f>
        <v>Bowling Jugend Bayern</v>
      </c>
      <c r="E29" s="78">
        <f t="shared" si="3"/>
        <v>827</v>
      </c>
      <c r="F29">
        <f t="shared" si="4"/>
        <v>7</v>
      </c>
      <c r="G29" s="153">
        <f t="shared" si="5"/>
        <v>118.14285710185713</v>
      </c>
      <c r="L29" s="91">
        <f>INDEX(Starter!A:A,ROW()-1)</f>
        <v>38714</v>
      </c>
      <c r="M29">
        <f>INDEX(Schnitt1!M:M,MATCH(L29,Schnitt1!L:L,0))+INDEX(Schnitt2!M:M,MATCH(L29,Schnitt2!L:L,0))</f>
        <v>1306</v>
      </c>
      <c r="N29">
        <f>INDEX(Schnitt1!N:N,MATCH(L29,Schnitt1!L:L,0))+INDEX(Schnitt2!N:N,MATCH(L29,Schnitt2!L:L,0))</f>
        <v>8</v>
      </c>
      <c r="O29">
        <f t="shared" si="0"/>
        <v>163.24999997099999</v>
      </c>
      <c r="P29">
        <f t="shared" si="1"/>
        <v>8</v>
      </c>
    </row>
    <row r="30" spans="1:16">
      <c r="A30">
        <f t="shared" si="6"/>
        <v>26</v>
      </c>
      <c r="B30">
        <f t="shared" si="2"/>
        <v>38810</v>
      </c>
      <c r="C30" t="str">
        <f>IFERROR(INDEX(Starter!B:B,MATCH(B30,Starter!A:A,0)),"")</f>
        <v>Vokshi, Finn</v>
      </c>
      <c r="D30" t="str">
        <f>IFERROR(INDEX(Starter!C:C,MATCH(B30,Starter!A:A,0)),"")</f>
        <v>BSC Highroller Rosenheim</v>
      </c>
      <c r="E30" s="78">
        <f t="shared" si="3"/>
        <v>1039</v>
      </c>
      <c r="F30">
        <f t="shared" si="4"/>
        <v>9</v>
      </c>
      <c r="G30" s="153">
        <f t="shared" si="5"/>
        <v>115.44444442144444</v>
      </c>
      <c r="L30" s="91">
        <f>INDEX(Starter!A:A,ROW()-1)</f>
        <v>38819</v>
      </c>
      <c r="M30">
        <f>INDEX(Schnitt1!M:M,MATCH(L30,Schnitt1!L:L,0))+INDEX(Schnitt2!M:M,MATCH(L30,Schnitt2!L:L,0))</f>
        <v>931</v>
      </c>
      <c r="N30">
        <f>INDEX(Schnitt1!N:N,MATCH(L30,Schnitt1!L:L,0))+INDEX(Schnitt2!N:N,MATCH(L30,Schnitt2!L:L,0))</f>
        <v>7</v>
      </c>
      <c r="O30">
        <f t="shared" si="0"/>
        <v>132.99999997</v>
      </c>
      <c r="P30">
        <f t="shared" si="1"/>
        <v>19</v>
      </c>
    </row>
    <row r="31" spans="1:16">
      <c r="A31">
        <f t="shared" si="6"/>
        <v>27</v>
      </c>
      <c r="B31">
        <f t="shared" si="2"/>
        <v>38865</v>
      </c>
      <c r="C31" t="str">
        <f>IFERROR(INDEX(Starter!B:B,MATCH(B31,Starter!A:A,0)),"")</f>
        <v>Labs, Leon</v>
      </c>
      <c r="D31" t="str">
        <f>IFERROR(INDEX(Starter!C:C,MATCH(B31,Starter!A:A,0)),"")</f>
        <v>BC Berchtesgaden</v>
      </c>
      <c r="E31" s="78">
        <f t="shared" si="3"/>
        <v>913</v>
      </c>
      <c r="F31">
        <f t="shared" si="4"/>
        <v>8</v>
      </c>
      <c r="G31" s="153">
        <f t="shared" si="5"/>
        <v>114.124999972</v>
      </c>
      <c r="L31" s="91">
        <f>INDEX(Starter!A:A,ROW()-1)</f>
        <v>38817</v>
      </c>
      <c r="M31">
        <f>INDEX(Schnitt1!M:M,MATCH(L31,Schnitt1!L:L,0))+INDEX(Schnitt2!M:M,MATCH(L31,Schnitt2!L:L,0))</f>
        <v>0</v>
      </c>
      <c r="N31">
        <f>INDEX(Schnitt1!N:N,MATCH(L31,Schnitt1!L:L,0))+INDEX(Schnitt2!N:N,MATCH(L31,Schnitt2!L:L,0))</f>
        <v>0</v>
      </c>
      <c r="O31">
        <f t="shared" si="0"/>
        <v>0</v>
      </c>
      <c r="P31">
        <f t="shared" si="1"/>
        <v>40</v>
      </c>
    </row>
    <row r="32" spans="1:16">
      <c r="A32">
        <f t="shared" si="6"/>
        <v>28</v>
      </c>
      <c r="B32">
        <f t="shared" si="2"/>
        <v>38808</v>
      </c>
      <c r="C32" t="str">
        <f>IFERROR(INDEX(Starter!B:B,MATCH(B32,Starter!A:A,0)),"")</f>
        <v>Reinhold, Moritz</v>
      </c>
      <c r="D32" t="str">
        <f>IFERROR(INDEX(Starter!C:C,MATCH(B32,Starter!A:A,0)),"")</f>
        <v>BSC Highroller Rosenheim</v>
      </c>
      <c r="E32" s="78">
        <f t="shared" si="3"/>
        <v>560</v>
      </c>
      <c r="F32">
        <f t="shared" si="4"/>
        <v>5</v>
      </c>
      <c r="G32" s="153">
        <f t="shared" si="5"/>
        <v>111.99999997800001</v>
      </c>
      <c r="L32" s="91">
        <f>INDEX(Starter!A:A,ROW()-1)</f>
        <v>38905</v>
      </c>
      <c r="M32">
        <f>INDEX(Schnitt1!M:M,MATCH(L32,Schnitt1!L:L,0))+INDEX(Schnitt2!M:M,MATCH(L32,Schnitt2!L:L,0))</f>
        <v>210</v>
      </c>
      <c r="N32">
        <f>INDEX(Schnitt1!N:N,MATCH(L32,Schnitt1!L:L,0))+INDEX(Schnitt2!N:N,MATCH(L32,Schnitt2!L:L,0))</f>
        <v>3</v>
      </c>
      <c r="O32">
        <f t="shared" si="0"/>
        <v>69.999999967999997</v>
      </c>
      <c r="P32">
        <f t="shared" si="1"/>
        <v>39</v>
      </c>
    </row>
    <row r="33" spans="1:16">
      <c r="A33">
        <f t="shared" si="6"/>
        <v>29</v>
      </c>
      <c r="B33">
        <f t="shared" si="2"/>
        <v>38785</v>
      </c>
      <c r="C33" t="str">
        <f>IFERROR(INDEX(Starter!B:B,MATCH(B33,Starter!A:A,0)),"")</f>
        <v>Mrosek, Laura Maria</v>
      </c>
      <c r="D33" t="str">
        <f>IFERROR(INDEX(Starter!C:C,MATCH(B33,Starter!A:A,0)),"")</f>
        <v>BC EMAX</v>
      </c>
      <c r="E33" s="78">
        <f t="shared" si="3"/>
        <v>328</v>
      </c>
      <c r="F33">
        <f t="shared" si="4"/>
        <v>3</v>
      </c>
      <c r="G33" s="153">
        <f t="shared" si="5"/>
        <v>109.33333333033333</v>
      </c>
      <c r="L33" s="91">
        <f>INDEX(Starter!A:A,ROW()-1)</f>
        <v>38937</v>
      </c>
      <c r="M33">
        <f>INDEX(Schnitt1!M:M,MATCH(L33,Schnitt1!L:L,0))+INDEX(Schnitt2!M:M,MATCH(L33,Schnitt2!L:L,0))</f>
        <v>530</v>
      </c>
      <c r="N33">
        <f>INDEX(Schnitt1!N:N,MATCH(L33,Schnitt1!L:L,0))+INDEX(Schnitt2!N:N,MATCH(L33,Schnitt2!L:L,0))</f>
        <v>4</v>
      </c>
      <c r="O33">
        <f t="shared" si="0"/>
        <v>132.49999996700001</v>
      </c>
      <c r="P33">
        <f t="shared" si="1"/>
        <v>20</v>
      </c>
    </row>
    <row r="34" spans="1:16">
      <c r="A34">
        <f t="shared" si="6"/>
        <v>30</v>
      </c>
      <c r="B34">
        <f t="shared" si="2"/>
        <v>38923</v>
      </c>
      <c r="C34" t="str">
        <f>IFERROR(INDEX(Starter!B:B,MATCH(B34,Starter!A:A,0)),"")</f>
        <v>Weinrich, Lena</v>
      </c>
      <c r="D34" t="str">
        <f>IFERROR(INDEX(Starter!C:C,MATCH(B34,Starter!A:A,0)),"")</f>
        <v>BSC Highroller Rosenheim</v>
      </c>
      <c r="E34" s="78">
        <f t="shared" si="3"/>
        <v>751</v>
      </c>
      <c r="F34">
        <f t="shared" si="4"/>
        <v>7</v>
      </c>
      <c r="G34" s="153">
        <f t="shared" si="5"/>
        <v>107.2857142677143</v>
      </c>
      <c r="L34" s="91">
        <f>INDEX(Starter!A:A,ROW()-1)</f>
        <v>38655</v>
      </c>
      <c r="M34">
        <f>INDEX(Schnitt1!M:M,MATCH(L34,Schnitt1!L:L,0))+INDEX(Schnitt2!M:M,MATCH(L34,Schnitt2!L:L,0))</f>
        <v>1091</v>
      </c>
      <c r="N34">
        <f>INDEX(Schnitt1!N:N,MATCH(L34,Schnitt1!L:L,0))+INDEX(Schnitt2!N:N,MATCH(L34,Schnitt2!L:L,0))</f>
        <v>5</v>
      </c>
      <c r="O34">
        <f t="shared" si="0"/>
        <v>218.19999996599998</v>
      </c>
      <c r="P34">
        <f t="shared" si="1"/>
        <v>1</v>
      </c>
    </row>
    <row r="35" spans="1:16">
      <c r="A35">
        <f t="shared" si="6"/>
        <v>31</v>
      </c>
      <c r="B35">
        <f t="shared" si="2"/>
        <v>38890</v>
      </c>
      <c r="C35" t="str">
        <f>IFERROR(INDEX(Starter!B:B,MATCH(B35,Starter!A:A,0)),"")</f>
        <v>Hofer, Anja</v>
      </c>
      <c r="D35" t="str">
        <f>IFERROR(INDEX(Starter!C:C,MATCH(B35,Starter!A:A,0)),"")</f>
        <v>BC EMAX</v>
      </c>
      <c r="E35" s="78">
        <f t="shared" si="3"/>
        <v>739</v>
      </c>
      <c r="F35">
        <f t="shared" si="4"/>
        <v>7</v>
      </c>
      <c r="G35" s="153">
        <f t="shared" si="5"/>
        <v>105.57142856942858</v>
      </c>
      <c r="L35" s="91">
        <f>INDEX(Starter!A:A,ROW()-1)</f>
        <v>38708</v>
      </c>
      <c r="M35">
        <f>INDEX(Schnitt1!M:M,MATCH(L35,Schnitt1!L:L,0))+INDEX(Schnitt2!M:M,MATCH(L35,Schnitt2!L:L,0))</f>
        <v>2159</v>
      </c>
      <c r="N35">
        <f>INDEX(Schnitt1!N:N,MATCH(L35,Schnitt1!L:L,0))+INDEX(Schnitt2!N:N,MATCH(L35,Schnitt2!L:L,0))</f>
        <v>10</v>
      </c>
      <c r="O35">
        <f t="shared" si="0"/>
        <v>215.89999996500001</v>
      </c>
      <c r="P35">
        <f t="shared" si="1"/>
        <v>2</v>
      </c>
    </row>
    <row r="36" spans="1:16">
      <c r="A36">
        <f t="shared" si="6"/>
        <v>32</v>
      </c>
      <c r="B36">
        <f t="shared" si="2"/>
        <v>38927</v>
      </c>
      <c r="C36" t="str">
        <f>IFERROR(INDEX(Starter!B:B,MATCH(B36,Starter!A:A,0)),"")</f>
        <v>Bonnaire, Ben</v>
      </c>
      <c r="D36" t="str">
        <f>IFERROR(INDEX(Starter!C:C,MATCH(B36,Starter!A:A,0)),"")</f>
        <v>Bowling Jugend Bayern</v>
      </c>
      <c r="E36" s="78">
        <f t="shared" si="3"/>
        <v>527</v>
      </c>
      <c r="F36">
        <f t="shared" si="4"/>
        <v>5</v>
      </c>
      <c r="G36" s="153">
        <f t="shared" si="5"/>
        <v>105.399999963</v>
      </c>
      <c r="L36" s="91">
        <f>INDEX(Starter!A:A,ROW()-1)</f>
        <v>38327</v>
      </c>
      <c r="M36">
        <f>INDEX(Schnitt1!M:M,MATCH(L36,Schnitt1!L:L,0))+INDEX(Schnitt2!M:M,MATCH(L36,Schnitt2!L:L,0))</f>
        <v>1920</v>
      </c>
      <c r="N36">
        <f>INDEX(Schnitt1!N:N,MATCH(L36,Schnitt1!L:L,0))+INDEX(Schnitt2!N:N,MATCH(L36,Schnitt2!L:L,0))</f>
        <v>10</v>
      </c>
      <c r="O36">
        <f t="shared" si="0"/>
        <v>191.99999996400001</v>
      </c>
      <c r="P36">
        <f t="shared" si="1"/>
        <v>4</v>
      </c>
    </row>
    <row r="37" spans="1:16">
      <c r="A37">
        <f t="shared" si="6"/>
        <v>33</v>
      </c>
      <c r="B37">
        <f t="shared" si="2"/>
        <v>38941</v>
      </c>
      <c r="C37" t="str">
        <f>IFERROR(INDEX(Starter!B:B,MATCH(B37,Starter!A:A,0)),"")</f>
        <v>Calik, Ilay</v>
      </c>
      <c r="D37" t="str">
        <f>IFERROR(INDEX(Starter!C:C,MATCH(B37,Starter!A:A,0)),"")</f>
        <v>Bowling Jugend Bayern</v>
      </c>
      <c r="E37" s="78">
        <f t="shared" si="3"/>
        <v>100</v>
      </c>
      <c r="F37">
        <f t="shared" si="4"/>
        <v>1</v>
      </c>
      <c r="G37" s="153">
        <f t="shared" si="5"/>
        <v>99.999999954000003</v>
      </c>
      <c r="L37" s="91">
        <f>INDEX(Starter!A:A,ROW()-1)</f>
        <v>38927</v>
      </c>
      <c r="M37">
        <f>INDEX(Schnitt1!M:M,MATCH(L37,Schnitt1!L:L,0))+INDEX(Schnitt2!M:M,MATCH(L37,Schnitt2!L:L,0))</f>
        <v>527</v>
      </c>
      <c r="N37">
        <f>INDEX(Schnitt1!N:N,MATCH(L37,Schnitt1!L:L,0))+INDEX(Schnitt2!N:N,MATCH(L37,Schnitt2!L:L,0))</f>
        <v>5</v>
      </c>
      <c r="O37">
        <f t="shared" si="0"/>
        <v>105.399999963</v>
      </c>
      <c r="P37">
        <f t="shared" si="1"/>
        <v>32</v>
      </c>
    </row>
    <row r="38" spans="1:16">
      <c r="A38">
        <f t="shared" si="6"/>
        <v>34</v>
      </c>
      <c r="B38">
        <f t="shared" si="2"/>
        <v>38922</v>
      </c>
      <c r="C38" t="str">
        <f>IFERROR(INDEX(Starter!B:B,MATCH(B38,Starter!A:A,0)),"")</f>
        <v>Schimanski, Theodor</v>
      </c>
      <c r="D38" t="str">
        <f>IFERROR(INDEX(Starter!C:C,MATCH(B38,Starter!A:A,0)),"")</f>
        <v>BSC Highroller Rosenheim</v>
      </c>
      <c r="E38" s="78">
        <f t="shared" si="3"/>
        <v>596</v>
      </c>
      <c r="F38">
        <f t="shared" si="4"/>
        <v>6</v>
      </c>
      <c r="G38" s="153">
        <f t="shared" si="5"/>
        <v>99.333333312333323</v>
      </c>
      <c r="L38" s="91">
        <f>INDEX(Starter!A:A,ROW()-1)</f>
        <v>38795</v>
      </c>
      <c r="M38">
        <f>INDEX(Schnitt1!M:M,MATCH(L38,Schnitt1!L:L,0))+INDEX(Schnitt2!M:M,MATCH(L38,Schnitt2!L:L,0))</f>
        <v>778</v>
      </c>
      <c r="N38">
        <f>INDEX(Schnitt1!N:N,MATCH(L38,Schnitt1!L:L,0))+INDEX(Schnitt2!N:N,MATCH(L38,Schnitt2!L:L,0))</f>
        <v>5</v>
      </c>
      <c r="O38">
        <f t="shared" si="0"/>
        <v>155.599999962</v>
      </c>
      <c r="P38">
        <f t="shared" si="1"/>
        <v>11</v>
      </c>
    </row>
    <row r="39" spans="1:16">
      <c r="A39">
        <f t="shared" si="6"/>
        <v>35</v>
      </c>
      <c r="B39">
        <f t="shared" si="2"/>
        <v>38831</v>
      </c>
      <c r="C39" t="str">
        <f>IFERROR(INDEX(Starter!B:B,MATCH(B39,Starter!A:A,0)),"")</f>
        <v>Thiele, Isabelle</v>
      </c>
      <c r="D39" t="str">
        <f>IFERROR(INDEX(Starter!C:C,MATCH(B39,Starter!A:A,0)),"")</f>
        <v>BSC Highroller Rosenheim</v>
      </c>
      <c r="E39" s="78">
        <f t="shared" si="3"/>
        <v>589</v>
      </c>
      <c r="F39">
        <f t="shared" si="4"/>
        <v>6</v>
      </c>
      <c r="G39" s="153">
        <f t="shared" si="5"/>
        <v>98.166666651666674</v>
      </c>
      <c r="L39" s="91">
        <f>INDEX(Starter!A:A,ROW()-1)</f>
        <v>38674</v>
      </c>
      <c r="M39">
        <f>INDEX(Schnitt1!M:M,MATCH(L39,Schnitt1!L:L,0))+INDEX(Schnitt2!M:M,MATCH(L39,Schnitt2!L:L,0))</f>
        <v>0</v>
      </c>
      <c r="N39">
        <f>INDEX(Schnitt1!N:N,MATCH(L39,Schnitt1!L:L,0))+INDEX(Schnitt2!N:N,MATCH(L39,Schnitt2!L:L,0))</f>
        <v>0</v>
      </c>
      <c r="O39">
        <f t="shared" si="0"/>
        <v>0</v>
      </c>
      <c r="P39">
        <f t="shared" si="1"/>
        <v>40</v>
      </c>
    </row>
    <row r="40" spans="1:16">
      <c r="A40">
        <f t="shared" si="6"/>
        <v>36</v>
      </c>
      <c r="B40">
        <f t="shared" si="2"/>
        <v>38920</v>
      </c>
      <c r="C40" t="str">
        <f>IFERROR(INDEX(Starter!B:B,MATCH(B40,Starter!A:A,0)),"")</f>
        <v>Schwarzfischer, Leon</v>
      </c>
      <c r="D40" t="str">
        <f>IFERROR(INDEX(Starter!C:C,MATCH(B40,Starter!A:A,0)),"")</f>
        <v>BSC Highroller Rosenheim</v>
      </c>
      <c r="E40" s="78">
        <f t="shared" si="3"/>
        <v>617</v>
      </c>
      <c r="F40">
        <f t="shared" si="4"/>
        <v>7</v>
      </c>
      <c r="G40" s="153">
        <f t="shared" si="5"/>
        <v>88.142857123857141</v>
      </c>
      <c r="L40" s="91">
        <f>INDEX(Starter!A:A,ROW()-1)</f>
        <v>38894</v>
      </c>
      <c r="M40">
        <f>INDEX(Schnitt1!M:M,MATCH(L40,Schnitt1!L:L,0))+INDEX(Schnitt2!M:M,MATCH(L40,Schnitt2!L:L,0))</f>
        <v>713</v>
      </c>
      <c r="N40">
        <f>INDEX(Schnitt1!N:N,MATCH(L40,Schnitt1!L:L,0))+INDEX(Schnitt2!N:N,MATCH(L40,Schnitt2!L:L,0))</f>
        <v>5</v>
      </c>
      <c r="O40">
        <f t="shared" si="0"/>
        <v>142.59999995999999</v>
      </c>
      <c r="P40">
        <f t="shared" si="1"/>
        <v>14</v>
      </c>
    </row>
    <row r="41" spans="1:16">
      <c r="A41">
        <f t="shared" si="6"/>
        <v>37</v>
      </c>
      <c r="B41">
        <f t="shared" si="2"/>
        <v>38893</v>
      </c>
      <c r="C41" t="str">
        <f>IFERROR(INDEX(Starter!B:B,MATCH(B41,Starter!A:A,0)),"")</f>
        <v>Rothemund, Louis</v>
      </c>
      <c r="D41" t="str">
        <f>IFERROR(INDEX(Starter!C:C,MATCH(B41,Starter!A:A,0)),"")</f>
        <v>Absolut-Sports.com</v>
      </c>
      <c r="E41" s="78">
        <f t="shared" si="3"/>
        <v>249</v>
      </c>
      <c r="F41">
        <f t="shared" si="4"/>
        <v>3</v>
      </c>
      <c r="G41" s="153">
        <f t="shared" si="5"/>
        <v>82.999999987999999</v>
      </c>
      <c r="L41" s="91">
        <f>INDEX(Starter!A:A,ROW()-1)</f>
        <v>38915</v>
      </c>
      <c r="M41">
        <f>INDEX(Schnitt1!M:M,MATCH(L41,Schnitt1!L:L,0))+INDEX(Schnitt2!M:M,MATCH(L41,Schnitt2!L:L,0))</f>
        <v>827</v>
      </c>
      <c r="N41">
        <f>INDEX(Schnitt1!N:N,MATCH(L41,Schnitt1!L:L,0))+INDEX(Schnitt2!N:N,MATCH(L41,Schnitt2!L:L,0))</f>
        <v>7</v>
      </c>
      <c r="O41">
        <f t="shared" si="0"/>
        <v>118.14285710185713</v>
      </c>
      <c r="P41">
        <f t="shared" si="1"/>
        <v>25</v>
      </c>
    </row>
    <row r="42" spans="1:16">
      <c r="A42">
        <f t="shared" si="6"/>
        <v>38</v>
      </c>
      <c r="B42">
        <f t="shared" si="2"/>
        <v>38921</v>
      </c>
      <c r="C42" t="str">
        <f>IFERROR(INDEX(Starter!B:B,MATCH(B42,Starter!A:A,0)),"")</f>
        <v>Schimanski, Johanna</v>
      </c>
      <c r="D42" t="str">
        <f>IFERROR(INDEX(Starter!C:C,MATCH(B42,Starter!A:A,0)),"")</f>
        <v>BSC Highroller Rosenheim</v>
      </c>
      <c r="E42" s="78">
        <f t="shared" si="3"/>
        <v>514</v>
      </c>
      <c r="F42">
        <f t="shared" si="4"/>
        <v>7</v>
      </c>
      <c r="G42" s="153">
        <f t="shared" si="5"/>
        <v>73.428571408571429</v>
      </c>
      <c r="L42" s="91">
        <f>INDEX(Starter!A:A,ROW()-1)</f>
        <v>38781</v>
      </c>
      <c r="M42">
        <f>INDEX(Schnitt1!M:M,MATCH(L42,Schnitt1!L:L,0))+INDEX(Schnitt2!M:M,MATCH(L42,Schnitt2!L:L,0))</f>
        <v>488</v>
      </c>
      <c r="N42">
        <f>INDEX(Schnitt1!N:N,MATCH(L42,Schnitt1!L:L,0))+INDEX(Schnitt2!N:N,MATCH(L42,Schnitt2!L:L,0))</f>
        <v>3</v>
      </c>
      <c r="O42">
        <f t="shared" si="0"/>
        <v>162.66666662466665</v>
      </c>
      <c r="P42">
        <f t="shared" si="1"/>
        <v>9</v>
      </c>
    </row>
    <row r="43" spans="1:16">
      <c r="A43">
        <f t="shared" si="6"/>
        <v>39</v>
      </c>
      <c r="B43">
        <f t="shared" si="2"/>
        <v>38905</v>
      </c>
      <c r="C43" t="str">
        <f>IFERROR(INDEX(Starter!B:B,MATCH(B43,Starter!A:A,0)),"")</f>
        <v>Laubach, Nina</v>
      </c>
      <c r="D43" t="str">
        <f>IFERROR(INDEX(Starter!C:C,MATCH(B43,Starter!A:A,0)),"")</f>
        <v>BC Berchtesgaden</v>
      </c>
      <c r="E43" s="78">
        <f t="shared" si="3"/>
        <v>210</v>
      </c>
      <c r="F43">
        <f t="shared" si="4"/>
        <v>3</v>
      </c>
      <c r="G43" s="153">
        <f t="shared" si="5"/>
        <v>69.999999967999997</v>
      </c>
      <c r="L43" s="91">
        <f>INDEX(Starter!A:A,ROW()-1)</f>
        <v>38940</v>
      </c>
      <c r="M43">
        <f>INDEX(Schnitt1!M:M,MATCH(L43,Schnitt1!L:L,0))+INDEX(Schnitt2!M:M,MATCH(L43,Schnitt2!L:L,0))</f>
        <v>378</v>
      </c>
      <c r="N43">
        <f>INDEX(Schnitt1!N:N,MATCH(L43,Schnitt1!L:L,0))+INDEX(Schnitt2!N:N,MATCH(L43,Schnitt2!L:L,0))</f>
        <v>3</v>
      </c>
      <c r="O43">
        <f t="shared" si="0"/>
        <v>125.999999957</v>
      </c>
      <c r="P43">
        <f t="shared" si="1"/>
        <v>22</v>
      </c>
    </row>
    <row r="44" spans="1:16">
      <c r="A44" t="str">
        <f t="shared" si="6"/>
        <v/>
      </c>
      <c r="B44" t="str">
        <f t="shared" si="2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78" t="str">
        <f t="shared" si="3"/>
        <v/>
      </c>
      <c r="F44" t="str">
        <f t="shared" si="4"/>
        <v/>
      </c>
      <c r="G44" s="153" t="str">
        <f t="shared" si="5"/>
        <v/>
      </c>
      <c r="L44" s="91">
        <f>INDEX(Starter!A:A,ROW()-1)</f>
        <v>38942</v>
      </c>
      <c r="M44">
        <f>INDEX(Schnitt1!M:M,MATCH(L44,Schnitt1!L:L,0))+INDEX(Schnitt2!M:M,MATCH(L44,Schnitt2!L:L,0))</f>
        <v>707</v>
      </c>
      <c r="N44">
        <f>INDEX(Schnitt1!N:N,MATCH(L44,Schnitt1!L:L,0))+INDEX(Schnitt2!N:N,MATCH(L44,Schnitt2!L:L,0))</f>
        <v>4</v>
      </c>
      <c r="O44">
        <f t="shared" si="0"/>
        <v>176.74999995600001</v>
      </c>
      <c r="P44">
        <f t="shared" si="1"/>
        <v>7</v>
      </c>
    </row>
    <row r="45" spans="1:16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3"/>
        <v/>
      </c>
      <c r="F45" t="str">
        <f t="shared" si="4"/>
        <v/>
      </c>
      <c r="G45" s="153" t="str">
        <f t="shared" si="5"/>
        <v/>
      </c>
      <c r="L45" s="91">
        <f>INDEX(Starter!A:A,ROW()-1)</f>
        <v>38334</v>
      </c>
      <c r="M45">
        <f>INDEX(Schnitt1!M:M,MATCH(L45,Schnitt1!L:L,0))+INDEX(Schnitt2!M:M,MATCH(L45,Schnitt2!L:L,0))</f>
        <v>945</v>
      </c>
      <c r="N45">
        <f>INDEX(Schnitt1!N:N,MATCH(L45,Schnitt1!L:L,0))+INDEX(Schnitt2!N:N,MATCH(L45,Schnitt2!L:L,0))</f>
        <v>5</v>
      </c>
      <c r="O45">
        <f t="shared" si="0"/>
        <v>188.99999995499999</v>
      </c>
      <c r="P45">
        <f t="shared" si="1"/>
        <v>6</v>
      </c>
    </row>
    <row r="46" spans="1:16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38941</v>
      </c>
      <c r="M46">
        <f>INDEX(Schnitt1!M:M,MATCH(L46,Schnitt1!L:L,0))+INDEX(Schnitt2!M:M,MATCH(L46,Schnitt2!L:L,0))</f>
        <v>100</v>
      </c>
      <c r="N46">
        <f>INDEX(Schnitt1!N:N,MATCH(L46,Schnitt1!L:L,0))+INDEX(Schnitt2!N:N,MATCH(L46,Schnitt2!L:L,0))</f>
        <v>1</v>
      </c>
      <c r="O46">
        <f t="shared" si="0"/>
        <v>99.999999954000003</v>
      </c>
      <c r="P46">
        <f t="shared" si="1"/>
        <v>33</v>
      </c>
    </row>
    <row r="47" spans="1:16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38626</v>
      </c>
      <c r="M47">
        <f>INDEX(Schnitt1!M:M,MATCH(L47,Schnitt1!L:L,0))+INDEX(Schnitt2!M:M,MATCH(L47,Schnitt2!L:L,0))</f>
        <v>0</v>
      </c>
      <c r="N47">
        <f>INDEX(Schnitt1!N:N,MATCH(L47,Schnitt1!L:L,0))+INDEX(Schnitt2!N:N,MATCH(L47,Schnitt2!L:L,0))</f>
        <v>0</v>
      </c>
      <c r="O47">
        <f t="shared" si="0"/>
        <v>0</v>
      </c>
      <c r="P47">
        <f t="shared" si="1"/>
        <v>40</v>
      </c>
    </row>
    <row r="48" spans="1:16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INDEX(Schnitt1!M:M,MATCH(L48,Schnitt1!L:L,0))+INDEX(Schnitt2!M:M,MATCH(L48,Schnitt2!L:L,0))</f>
        <v>0</v>
      </c>
      <c r="N48">
        <f>INDEX(Schnitt1!N:N,MATCH(L48,Schnitt1!L:L,0))+INDEX(Schnitt2!N:N,MATCH(L48,Schnitt2!L:L,0))</f>
        <v>0</v>
      </c>
      <c r="O48">
        <f t="shared" si="0"/>
        <v>0</v>
      </c>
      <c r="P48">
        <f t="shared" si="1"/>
        <v>40</v>
      </c>
    </row>
    <row r="49" spans="1:16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INDEX(Schnitt1!M:M,MATCH(L49,Schnitt1!L:L,0))+INDEX(Schnitt2!M:M,MATCH(L49,Schnitt2!L:L,0))</f>
        <v>0</v>
      </c>
      <c r="N49">
        <f>INDEX(Schnitt1!N:N,MATCH(L49,Schnitt1!L:L,0))+INDEX(Schnitt2!N:N,MATCH(L49,Schnitt2!L:L,0))</f>
        <v>0</v>
      </c>
      <c r="O49">
        <f t="shared" si="0"/>
        <v>0</v>
      </c>
      <c r="P49">
        <f t="shared" si="1"/>
        <v>40</v>
      </c>
    </row>
    <row r="50" spans="1:16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INDEX(Schnitt1!M:M,MATCH(L50,Schnitt1!L:L,0))+INDEX(Schnitt2!M:M,MATCH(L50,Schnitt2!L:L,0))</f>
        <v>0</v>
      </c>
      <c r="N50">
        <f>INDEX(Schnitt1!N:N,MATCH(L50,Schnitt1!L:L,0))+INDEX(Schnitt2!N:N,MATCH(L50,Schnitt2!L:L,0))</f>
        <v>0</v>
      </c>
      <c r="O50">
        <f t="shared" si="0"/>
        <v>0</v>
      </c>
      <c r="P50">
        <f t="shared" si="1"/>
        <v>40</v>
      </c>
    </row>
    <row r="51" spans="1:16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INDEX(Schnitt1!M:M,MATCH(L51,Schnitt1!L:L,0))+INDEX(Schnitt2!M:M,MATCH(L51,Schnitt2!L:L,0))</f>
        <v>0</v>
      </c>
      <c r="N51">
        <f>INDEX(Schnitt1!N:N,MATCH(L51,Schnitt1!L:L,0))+INDEX(Schnitt2!N:N,MATCH(L51,Schnitt2!L:L,0))</f>
        <v>0</v>
      </c>
      <c r="O51">
        <f t="shared" si="0"/>
        <v>0</v>
      </c>
      <c r="P51">
        <f t="shared" si="1"/>
        <v>40</v>
      </c>
    </row>
    <row r="52" spans="1:16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INDEX(Schnitt1!M:M,MATCH(L52,Schnitt1!L:L,0))+INDEX(Schnitt2!M:M,MATCH(L52,Schnitt2!L:L,0))</f>
        <v>0</v>
      </c>
      <c r="N52">
        <f>INDEX(Schnitt1!N:N,MATCH(L52,Schnitt1!L:L,0))+INDEX(Schnitt2!N:N,MATCH(L52,Schnitt2!L:L,0))</f>
        <v>0</v>
      </c>
      <c r="O52">
        <f t="shared" si="0"/>
        <v>0</v>
      </c>
      <c r="P52">
        <f t="shared" si="1"/>
        <v>40</v>
      </c>
    </row>
    <row r="53" spans="1:16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INDEX(Schnitt1!M:M,MATCH(L53,Schnitt1!L:L,0))+INDEX(Schnitt2!M:M,MATCH(L53,Schnitt2!L:L,0))</f>
        <v>0</v>
      </c>
      <c r="N53">
        <f>INDEX(Schnitt1!N:N,MATCH(L53,Schnitt1!L:L,0))+INDEX(Schnitt2!N:N,MATCH(L53,Schnitt2!L:L,0))</f>
        <v>0</v>
      </c>
      <c r="O53">
        <f t="shared" si="0"/>
        <v>0</v>
      </c>
      <c r="P53">
        <f t="shared" si="1"/>
        <v>40</v>
      </c>
    </row>
    <row r="54" spans="1:16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INDEX(Schnitt1!M:M,MATCH(L54,Schnitt1!L:L,0))+INDEX(Schnitt2!M:M,MATCH(L54,Schnitt2!L:L,0))</f>
        <v>0</v>
      </c>
      <c r="N54">
        <f>INDEX(Schnitt1!N:N,MATCH(L54,Schnitt1!L:L,0))+INDEX(Schnitt2!N:N,MATCH(L54,Schnitt2!L:L,0))</f>
        <v>0</v>
      </c>
      <c r="O54">
        <f t="shared" si="0"/>
        <v>0</v>
      </c>
      <c r="P54">
        <f t="shared" si="1"/>
        <v>40</v>
      </c>
    </row>
    <row r="55" spans="1:16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INDEX(Schnitt1!M:M,MATCH(L55,Schnitt1!L:L,0))+INDEX(Schnitt2!M:M,MATCH(L55,Schnitt2!L:L,0))</f>
        <v>0</v>
      </c>
      <c r="N55">
        <f>INDEX(Schnitt1!N:N,MATCH(L55,Schnitt1!L:L,0))+INDEX(Schnitt2!N:N,MATCH(L55,Schnitt2!L:L,0))</f>
        <v>0</v>
      </c>
      <c r="O55">
        <f t="shared" si="0"/>
        <v>0</v>
      </c>
      <c r="P55">
        <f t="shared" si="1"/>
        <v>40</v>
      </c>
    </row>
    <row r="56" spans="1:16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INDEX(Schnitt1!M:M,MATCH(L56,Schnitt1!L:L,0))+INDEX(Schnitt2!M:M,MATCH(L56,Schnitt2!L:L,0))</f>
        <v>0</v>
      </c>
      <c r="N56">
        <f>INDEX(Schnitt1!N:N,MATCH(L56,Schnitt1!L:L,0))+INDEX(Schnitt2!N:N,MATCH(L56,Schnitt2!L:L,0))</f>
        <v>0</v>
      </c>
      <c r="O56">
        <f t="shared" si="0"/>
        <v>0</v>
      </c>
      <c r="P56">
        <f t="shared" si="1"/>
        <v>40</v>
      </c>
    </row>
    <row r="57" spans="1:16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INDEX(Schnitt1!M:M,MATCH(L57,Schnitt1!L:L,0))+INDEX(Schnitt2!M:M,MATCH(L57,Schnitt2!L:L,0))</f>
        <v>0</v>
      </c>
      <c r="N57">
        <f>INDEX(Schnitt1!N:N,MATCH(L57,Schnitt1!L:L,0))+INDEX(Schnitt2!N:N,MATCH(L57,Schnitt2!L:L,0))</f>
        <v>0</v>
      </c>
      <c r="O57">
        <f t="shared" si="0"/>
        <v>0</v>
      </c>
      <c r="P57">
        <f t="shared" si="1"/>
        <v>40</v>
      </c>
    </row>
    <row r="58" spans="1:16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INDEX(Schnitt1!M:M,MATCH(L58,Schnitt1!L:L,0))+INDEX(Schnitt2!M:M,MATCH(L58,Schnitt2!L:L,0))</f>
        <v>0</v>
      </c>
      <c r="N58">
        <f>INDEX(Schnitt1!N:N,MATCH(L58,Schnitt1!L:L,0))+INDEX(Schnitt2!N:N,MATCH(L58,Schnitt2!L:L,0))</f>
        <v>0</v>
      </c>
      <c r="O58">
        <f t="shared" si="0"/>
        <v>0</v>
      </c>
      <c r="P58">
        <f t="shared" si="1"/>
        <v>40</v>
      </c>
    </row>
    <row r="59" spans="1:16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INDEX(Schnitt1!M:M,MATCH(L59,Schnitt1!L:L,0))+INDEX(Schnitt2!M:M,MATCH(L59,Schnitt2!L:L,0))</f>
        <v>0</v>
      </c>
      <c r="N59">
        <f>INDEX(Schnitt1!N:N,MATCH(L59,Schnitt1!L:L,0))+INDEX(Schnitt2!N:N,MATCH(L59,Schnitt2!L:L,0))</f>
        <v>0</v>
      </c>
      <c r="O59">
        <f t="shared" si="0"/>
        <v>0</v>
      </c>
      <c r="P59">
        <f t="shared" si="1"/>
        <v>40</v>
      </c>
    </row>
    <row r="60" spans="1:16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INDEX(Schnitt1!M:M,MATCH(L60,Schnitt1!L:L,0))+INDEX(Schnitt2!M:M,MATCH(L60,Schnitt2!L:L,0))</f>
        <v>0</v>
      </c>
      <c r="N60">
        <f>INDEX(Schnitt1!N:N,MATCH(L60,Schnitt1!L:L,0))+INDEX(Schnitt2!N:N,MATCH(L60,Schnitt2!L:L,0))</f>
        <v>0</v>
      </c>
      <c r="O60">
        <f t="shared" si="0"/>
        <v>0</v>
      </c>
      <c r="P60">
        <f t="shared" si="1"/>
        <v>40</v>
      </c>
    </row>
    <row r="61" spans="1:16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INDEX(Schnitt1!M:M,MATCH(L61,Schnitt1!L:L,0))+INDEX(Schnitt2!M:M,MATCH(L61,Schnitt2!L:L,0))</f>
        <v>0</v>
      </c>
      <c r="N61">
        <f>INDEX(Schnitt1!N:N,MATCH(L61,Schnitt1!L:L,0))+INDEX(Schnitt2!N:N,MATCH(L61,Schnitt2!L:L,0))</f>
        <v>0</v>
      </c>
      <c r="O61">
        <f t="shared" si="0"/>
        <v>0</v>
      </c>
      <c r="P61">
        <f t="shared" si="1"/>
        <v>40</v>
      </c>
    </row>
    <row r="62" spans="1:16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INDEX(Schnitt1!M:M,MATCH(L62,Schnitt1!L:L,0))+INDEX(Schnitt2!M:M,MATCH(L62,Schnitt2!L:L,0))</f>
        <v>0</v>
      </c>
      <c r="N62">
        <f>INDEX(Schnitt1!N:N,MATCH(L62,Schnitt1!L:L,0))+INDEX(Schnitt2!N:N,MATCH(L62,Schnitt2!L:L,0))</f>
        <v>0</v>
      </c>
      <c r="O62">
        <f t="shared" si="0"/>
        <v>0</v>
      </c>
      <c r="P62">
        <f t="shared" si="1"/>
        <v>40</v>
      </c>
    </row>
    <row r="63" spans="1:16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INDEX(Schnitt1!M:M,MATCH(L63,Schnitt1!L:L,0))+INDEX(Schnitt2!M:M,MATCH(L63,Schnitt2!L:L,0))</f>
        <v>0</v>
      </c>
      <c r="N63">
        <f>INDEX(Schnitt1!N:N,MATCH(L63,Schnitt1!L:L,0))+INDEX(Schnitt2!N:N,MATCH(L63,Schnitt2!L:L,0))</f>
        <v>0</v>
      </c>
      <c r="O63">
        <f t="shared" si="0"/>
        <v>0</v>
      </c>
      <c r="P63">
        <f t="shared" si="1"/>
        <v>40</v>
      </c>
    </row>
    <row r="64" spans="1:16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INDEX(Schnitt1!M:M,MATCH(L64,Schnitt1!L:L,0))+INDEX(Schnitt2!M:M,MATCH(L64,Schnitt2!L:L,0))</f>
        <v>0</v>
      </c>
      <c r="N64">
        <f>INDEX(Schnitt1!N:N,MATCH(L64,Schnitt1!L:L,0))+INDEX(Schnitt2!N:N,MATCH(L64,Schnitt2!L:L,0))</f>
        <v>0</v>
      </c>
      <c r="O64">
        <f t="shared" si="0"/>
        <v>0</v>
      </c>
      <c r="P64">
        <f t="shared" si="1"/>
        <v>40</v>
      </c>
    </row>
    <row r="65" spans="1:16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INDEX(Schnitt1!M:M,MATCH(L65,Schnitt1!L:L,0))+INDEX(Schnitt2!M:M,MATCH(L65,Schnitt2!L:L,0))</f>
        <v>0</v>
      </c>
      <c r="N65">
        <f>INDEX(Schnitt1!N:N,MATCH(L65,Schnitt1!L:L,0))+INDEX(Schnitt2!N:N,MATCH(L65,Schnitt2!L:L,0))</f>
        <v>0</v>
      </c>
      <c r="O65">
        <f t="shared" si="0"/>
        <v>0</v>
      </c>
      <c r="P65">
        <f t="shared" si="1"/>
        <v>40</v>
      </c>
    </row>
    <row r="66" spans="1:16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INDEX(Schnitt1!M:M,MATCH(L66,Schnitt1!L:L,0))+INDEX(Schnitt2!M:M,MATCH(L66,Schnitt2!L:L,0))</f>
        <v>0</v>
      </c>
      <c r="N66">
        <f>INDEX(Schnitt1!N:N,MATCH(L66,Schnitt1!L:L,0))+INDEX(Schnitt2!N:N,MATCH(L66,Schnitt2!L:L,0))</f>
        <v>0</v>
      </c>
      <c r="O66">
        <f t="shared" ref="O66:O104" si="7">IF(N66=0,0,M66/N66-ROW()/1000000000)</f>
        <v>0</v>
      </c>
      <c r="P66">
        <f t="shared" ref="P66:P104" si="8">RANK(O66,O:O)</f>
        <v>40</v>
      </c>
    </row>
    <row r="67" spans="1:16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INDEX(Schnitt1!M:M,MATCH(L67,Schnitt1!L:L,0))+INDEX(Schnitt2!M:M,MATCH(L67,Schnitt2!L:L,0))</f>
        <v>0</v>
      </c>
      <c r="N67">
        <f>INDEX(Schnitt1!N:N,MATCH(L67,Schnitt1!L:L,0))+INDEX(Schnitt2!N:N,MATCH(L67,Schnitt2!L:L,0))</f>
        <v>0</v>
      </c>
      <c r="O67">
        <f t="shared" si="7"/>
        <v>0</v>
      </c>
      <c r="P67">
        <f t="shared" si="8"/>
        <v>40</v>
      </c>
    </row>
    <row r="68" spans="1:16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8"/>
        <v>40</v>
      </c>
    </row>
    <row r="69" spans="1:16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8"/>
        <v>40</v>
      </c>
    </row>
    <row r="70" spans="1:16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8"/>
        <v>40</v>
      </c>
    </row>
    <row r="71" spans="1:16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8"/>
        <v>40</v>
      </c>
    </row>
    <row r="72" spans="1:16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8"/>
        <v>40</v>
      </c>
    </row>
    <row r="73" spans="1:16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8"/>
        <v>40</v>
      </c>
    </row>
    <row r="74" spans="1:16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8"/>
        <v>40</v>
      </c>
    </row>
    <row r="75" spans="1:16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8"/>
        <v>40</v>
      </c>
    </row>
    <row r="76" spans="1:16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si="7"/>
        <v>0</v>
      </c>
      <c r="P76">
        <f t="shared" si="8"/>
        <v>40</v>
      </c>
    </row>
    <row r="77" spans="1:16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7"/>
        <v>0</v>
      </c>
      <c r="P77">
        <f t="shared" si="8"/>
        <v>40</v>
      </c>
    </row>
    <row r="78" spans="1:16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7"/>
        <v>0</v>
      </c>
      <c r="P78">
        <f t="shared" si="8"/>
        <v>40</v>
      </c>
    </row>
    <row r="79" spans="1:16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7"/>
        <v>0</v>
      </c>
      <c r="P79">
        <f t="shared" si="8"/>
        <v>40</v>
      </c>
    </row>
    <row r="80" spans="1:16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7"/>
        <v>0</v>
      </c>
      <c r="P80">
        <f t="shared" si="8"/>
        <v>40</v>
      </c>
    </row>
    <row r="81" spans="1:16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7"/>
        <v>0</v>
      </c>
      <c r="P81">
        <f t="shared" si="8"/>
        <v>40</v>
      </c>
    </row>
    <row r="82" spans="1:16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7"/>
        <v>0</v>
      </c>
      <c r="P82">
        <f t="shared" si="8"/>
        <v>40</v>
      </c>
    </row>
    <row r="83" spans="1:16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7"/>
        <v>0</v>
      </c>
      <c r="P83">
        <f t="shared" si="8"/>
        <v>40</v>
      </c>
    </row>
    <row r="84" spans="1:16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7"/>
        <v>0</v>
      </c>
      <c r="P84">
        <f t="shared" si="8"/>
        <v>40</v>
      </c>
    </row>
    <row r="85" spans="1:16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7"/>
        <v>0</v>
      </c>
      <c r="P85">
        <f t="shared" si="8"/>
        <v>40</v>
      </c>
    </row>
    <row r="86" spans="1:16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7"/>
        <v>0</v>
      </c>
      <c r="P86">
        <f t="shared" si="8"/>
        <v>40</v>
      </c>
    </row>
    <row r="87" spans="1:16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7"/>
        <v>0</v>
      </c>
      <c r="P87">
        <f t="shared" si="8"/>
        <v>40</v>
      </c>
    </row>
    <row r="88" spans="1:16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7"/>
        <v>0</v>
      </c>
      <c r="P88">
        <f t="shared" si="8"/>
        <v>40</v>
      </c>
    </row>
    <row r="89" spans="1:16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7"/>
        <v>0</v>
      </c>
      <c r="P89">
        <f t="shared" si="8"/>
        <v>40</v>
      </c>
    </row>
    <row r="90" spans="1:16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7"/>
        <v>0</v>
      </c>
      <c r="P90">
        <f t="shared" si="8"/>
        <v>40</v>
      </c>
    </row>
    <row r="91" spans="1:16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7"/>
        <v>0</v>
      </c>
      <c r="P91">
        <f t="shared" si="8"/>
        <v>40</v>
      </c>
    </row>
    <row r="92" spans="1:16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7"/>
        <v>0</v>
      </c>
      <c r="P92">
        <f t="shared" si="8"/>
        <v>40</v>
      </c>
    </row>
    <row r="93" spans="1:16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7"/>
        <v>0</v>
      </c>
      <c r="P93">
        <f t="shared" si="8"/>
        <v>40</v>
      </c>
    </row>
    <row r="94" spans="1:16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7"/>
        <v>0</v>
      </c>
      <c r="P94">
        <f t="shared" si="8"/>
        <v>40</v>
      </c>
    </row>
    <row r="95" spans="1:16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7"/>
        <v>0</v>
      </c>
      <c r="P95">
        <f t="shared" si="8"/>
        <v>40</v>
      </c>
    </row>
    <row r="96" spans="1:16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7"/>
        <v>0</v>
      </c>
      <c r="P96">
        <f t="shared" si="8"/>
        <v>40</v>
      </c>
    </row>
    <row r="97" spans="1:16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7"/>
        <v>0</v>
      </c>
      <c r="P97">
        <f t="shared" si="8"/>
        <v>40</v>
      </c>
    </row>
    <row r="98" spans="1:16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7"/>
        <v>0</v>
      </c>
      <c r="P98">
        <f t="shared" si="8"/>
        <v>40</v>
      </c>
    </row>
    <row r="99" spans="1:16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7"/>
        <v>0</v>
      </c>
      <c r="P99">
        <f t="shared" si="8"/>
        <v>40</v>
      </c>
    </row>
    <row r="100" spans="1:16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7"/>
        <v>0</v>
      </c>
      <c r="P100">
        <f t="shared" si="8"/>
        <v>40</v>
      </c>
    </row>
    <row r="101" spans="1:16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7"/>
        <v>0</v>
      </c>
      <c r="P101">
        <f t="shared" si="8"/>
        <v>40</v>
      </c>
    </row>
    <row r="102" spans="1:16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7"/>
        <v>0</v>
      </c>
      <c r="P102">
        <f t="shared" si="8"/>
        <v>40</v>
      </c>
    </row>
    <row r="103" spans="1:16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7"/>
        <v>0</v>
      </c>
      <c r="P103">
        <f t="shared" si="8"/>
        <v>40</v>
      </c>
    </row>
    <row r="104" spans="1:16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7"/>
        <v>0</v>
      </c>
      <c r="P104">
        <f t="shared" si="8"/>
        <v>40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7"/>
  <sheetViews>
    <sheetView showGridLines="0" topLeftCell="A57" zoomScaleNormal="100" workbookViewId="0">
      <selection activeCell="E22" sqref="E22:J22"/>
    </sheetView>
  </sheetViews>
  <sheetFormatPr baseColWidth="10" defaultColWidth="0" defaultRowHeight="13.2"/>
  <cols>
    <col min="1" max="1" width="1.21875" customWidth="1"/>
    <col min="2" max="2" width="3.44140625" customWidth="1"/>
    <col min="3" max="3" width="10.664062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21875" customWidth="1"/>
    <col min="9" max="9" width="2.21875" customWidth="1"/>
    <col min="10" max="10" width="3.21875" customWidth="1"/>
    <col min="11" max="11" width="0.6640625" customWidth="1"/>
    <col min="12" max="12" width="9.33203125" customWidth="1"/>
    <col min="13" max="13" width="2.21875" customWidth="1"/>
    <col min="14" max="14" width="3.21875" customWidth="1"/>
    <col min="15" max="15" width="0.6640625" customWidth="1"/>
    <col min="16" max="16" width="11.21875" customWidth="1"/>
    <col min="17" max="17" width="2.21875" customWidth="1"/>
    <col min="18" max="18" width="3.21875" customWidth="1"/>
    <col min="19" max="19" width="0.6640625" customWidth="1"/>
    <col min="20" max="20" width="11.6640625" customWidth="1"/>
    <col min="21" max="21" width="2.21875" customWidth="1"/>
    <col min="22" max="22" width="1" customWidth="1"/>
    <col min="23" max="16384" width="9.21875" hidden="1"/>
  </cols>
  <sheetData>
    <row r="1" spans="2:21" ht="3.75" customHeight="1"/>
    <row r="2" spans="2:21" ht="24.6">
      <c r="B2" s="378" t="s">
        <v>1824</v>
      </c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</row>
    <row r="3" spans="2:21" ht="11.25" customHeight="1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>
      <c r="P4" s="106"/>
      <c r="Q4" s="379"/>
      <c r="R4" s="379"/>
      <c r="S4" s="379"/>
      <c r="T4" s="379"/>
      <c r="U4" s="379"/>
    </row>
    <row r="5" spans="2:21" ht="11.25" customHeight="1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>
      <c r="B6" s="56"/>
      <c r="C6" s="110" t="s">
        <v>1788</v>
      </c>
      <c r="D6" s="110"/>
      <c r="E6" s="380">
        <f>+Spielzettel3!N2</f>
        <v>3</v>
      </c>
      <c r="F6" s="381"/>
      <c r="P6" s="110" t="s">
        <v>1825</v>
      </c>
      <c r="Q6" s="382">
        <f>+Spielzettel3!M1</f>
        <v>45752</v>
      </c>
      <c r="R6" s="383">
        <v>0</v>
      </c>
      <c r="S6" s="383">
        <v>0</v>
      </c>
      <c r="T6" s="384">
        <v>0</v>
      </c>
      <c r="U6" s="111"/>
    </row>
    <row r="7" spans="2:21">
      <c r="B7" s="56"/>
      <c r="C7" s="110"/>
      <c r="D7" s="110"/>
      <c r="U7" s="111"/>
    </row>
    <row r="8" spans="2:21">
      <c r="B8" s="56"/>
      <c r="C8" s="110" t="s">
        <v>1826</v>
      </c>
      <c r="D8" s="110"/>
      <c r="E8" s="388" t="str">
        <f>+Spielzettel3!E2</f>
        <v>München Hollywood Super Bowling</v>
      </c>
      <c r="F8" s="389"/>
      <c r="G8" s="389"/>
      <c r="H8" s="389">
        <v>0</v>
      </c>
      <c r="I8" s="389"/>
      <c r="J8" s="390"/>
      <c r="N8" s="110" t="s">
        <v>1827</v>
      </c>
      <c r="P8" s="388" t="str">
        <f>+Spielzettel3!E1</f>
        <v>Landesliga Jugend</v>
      </c>
      <c r="Q8" s="389"/>
      <c r="R8" s="389"/>
      <c r="S8" s="389"/>
      <c r="T8" s="390"/>
      <c r="U8" s="111"/>
    </row>
    <row r="9" spans="2:21" ht="11.25" customHeight="1" thickBot="1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3.8" thickBot="1"/>
    <row r="11" spans="2:21" s="2" customFormat="1" ht="30" customHeight="1" thickBot="1">
      <c r="B11" s="115"/>
      <c r="C11" s="372" t="s">
        <v>1828</v>
      </c>
      <c r="D11" s="372"/>
      <c r="E11" s="372"/>
      <c r="F11" s="372"/>
      <c r="G11" s="372"/>
      <c r="H11" s="372"/>
      <c r="I11" s="372"/>
      <c r="J11" s="372"/>
      <c r="K11" s="372"/>
      <c r="L11" s="372"/>
      <c r="M11" s="372"/>
      <c r="N11" s="372"/>
      <c r="O11" s="372"/>
      <c r="P11" s="372"/>
      <c r="Q11" s="372"/>
      <c r="R11" s="372"/>
      <c r="S11" s="372"/>
      <c r="T11" s="372"/>
      <c r="U11" s="116"/>
    </row>
    <row r="12" spans="2:21" ht="21.75" customHeight="1">
      <c r="B12" s="117"/>
      <c r="C12" s="373" t="s">
        <v>1829</v>
      </c>
      <c r="D12" s="373"/>
      <c r="E12" s="373"/>
      <c r="F12" s="373"/>
      <c r="G12" s="373"/>
      <c r="H12" s="373"/>
      <c r="I12" s="373"/>
      <c r="J12" s="373"/>
      <c r="L12" s="118">
        <v>0.40277777777777773</v>
      </c>
      <c r="M12" s="119" t="s">
        <v>1830</v>
      </c>
      <c r="P12" s="89"/>
      <c r="U12" s="111"/>
    </row>
    <row r="13" spans="2:21" ht="6.75" customHeight="1" thickBot="1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>
      <c r="B14" s="56"/>
      <c r="U14" s="111"/>
    </row>
    <row r="15" spans="2:21">
      <c r="B15" s="56"/>
      <c r="C15" s="121" t="s">
        <v>1831</v>
      </c>
      <c r="D15" s="121"/>
      <c r="F15" s="122" t="s">
        <v>2599</v>
      </c>
      <c r="G15" s="123"/>
      <c r="H15" t="s">
        <v>1832</v>
      </c>
      <c r="J15" s="122"/>
      <c r="L15" t="s">
        <v>1833</v>
      </c>
      <c r="U15" s="111"/>
    </row>
    <row r="16" spans="2:21">
      <c r="B16" s="56"/>
      <c r="C16" s="121"/>
      <c r="D16" s="121"/>
      <c r="F16" s="7"/>
      <c r="J16" s="86"/>
      <c r="U16" s="111"/>
    </row>
    <row r="17" spans="2:21">
      <c r="B17" s="56"/>
      <c r="C17" s="121" t="s">
        <v>1834</v>
      </c>
      <c r="D17" s="121"/>
      <c r="F17" s="122" t="s">
        <v>2599</v>
      </c>
      <c r="G17" s="123"/>
      <c r="H17" t="s">
        <v>1832</v>
      </c>
      <c r="J17" s="122"/>
      <c r="L17" t="s">
        <v>1833</v>
      </c>
      <c r="U17" s="111"/>
    </row>
    <row r="18" spans="2:21" ht="18.75" customHeight="1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4.950000000000003" customHeight="1">
      <c r="B19" s="56"/>
      <c r="C19" s="366"/>
      <c r="D19" s="367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4"/>
      <c r="T19" s="375"/>
      <c r="U19" s="111"/>
    </row>
    <row r="20" spans="2:21" ht="12.75" customHeight="1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>
      <c r="B21" s="56"/>
      <c r="C21" s="121" t="s">
        <v>1836</v>
      </c>
      <c r="D21" s="121"/>
      <c r="U21" s="111"/>
    </row>
    <row r="22" spans="2:21">
      <c r="B22" s="56"/>
      <c r="C22" s="121" t="s">
        <v>1837</v>
      </c>
      <c r="D22" s="121"/>
      <c r="F22" s="122" t="s">
        <v>2599</v>
      </c>
      <c r="H22" t="s">
        <v>1832</v>
      </c>
      <c r="J22" s="122"/>
      <c r="L22" t="s">
        <v>1833</v>
      </c>
      <c r="U22" s="111"/>
    </row>
    <row r="23" spans="2:21" ht="18.75" customHeight="1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4.950000000000003" customHeight="1">
      <c r="B24" s="56"/>
      <c r="C24" s="366"/>
      <c r="D24" s="367"/>
      <c r="E24" s="367"/>
      <c r="F24" s="367"/>
      <c r="G24" s="367"/>
      <c r="H24" s="367"/>
      <c r="I24" s="367"/>
      <c r="J24" s="367"/>
      <c r="K24" s="367"/>
      <c r="L24" s="367"/>
      <c r="M24" s="367"/>
      <c r="N24" s="367"/>
      <c r="O24" s="367"/>
      <c r="P24" s="367"/>
      <c r="Q24" s="367"/>
      <c r="R24" s="367"/>
      <c r="S24" s="367"/>
      <c r="T24" s="368"/>
      <c r="U24" s="111"/>
    </row>
    <row r="25" spans="2:21" ht="12.75" hidden="1" customHeight="1">
      <c r="B25" s="56"/>
      <c r="C25" s="127"/>
      <c r="D25" s="127"/>
      <c r="U25" s="111"/>
    </row>
    <row r="26" spans="2:21" ht="13.5" hidden="1" customHeight="1">
      <c r="B26" s="56"/>
      <c r="C26" s="121" t="s">
        <v>1838</v>
      </c>
      <c r="D26" s="121"/>
      <c r="U26" s="111"/>
    </row>
    <row r="27" spans="2:21" hidden="1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4.950000000000003" hidden="1" customHeight="1">
      <c r="B29" s="56"/>
      <c r="C29" s="366"/>
      <c r="D29" s="367"/>
      <c r="E29" s="367"/>
      <c r="F29" s="367"/>
      <c r="G29" s="367"/>
      <c r="H29" s="367"/>
      <c r="I29" s="367"/>
      <c r="J29" s="367"/>
      <c r="K29" s="367"/>
      <c r="L29" s="367"/>
      <c r="M29" s="367"/>
      <c r="N29" s="367"/>
      <c r="O29" s="367"/>
      <c r="P29" s="367"/>
      <c r="Q29" s="367"/>
      <c r="R29" s="367"/>
      <c r="S29" s="367"/>
      <c r="T29" s="368"/>
      <c r="U29" s="111"/>
    </row>
    <row r="30" spans="2:21" ht="12.75" customHeight="1" thickBot="1">
      <c r="B30" s="56"/>
      <c r="C30" s="127"/>
      <c r="D30" s="127"/>
      <c r="P30" s="128"/>
      <c r="U30" s="111"/>
    </row>
    <row r="31" spans="2:21" s="133" customFormat="1" ht="21.75" customHeight="1">
      <c r="B31" s="129" t="s">
        <v>1840</v>
      </c>
      <c r="C31" s="130"/>
      <c r="D31" s="130"/>
      <c r="E31" s="130"/>
      <c r="F31" s="130"/>
      <c r="G31" s="130"/>
      <c r="H31" s="131">
        <v>0.50694444444444442</v>
      </c>
      <c r="I31" s="130"/>
      <c r="J31" s="132" t="s">
        <v>1841</v>
      </c>
      <c r="K31" s="132"/>
      <c r="L31" s="131">
        <v>0.51388888888888895</v>
      </c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>
      <c r="B33" s="135"/>
      <c r="U33" s="111"/>
    </row>
    <row r="34" spans="2:21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>
      <c r="B35" s="56"/>
      <c r="C35" s="121" t="s">
        <v>1843</v>
      </c>
      <c r="D35" s="121"/>
      <c r="F35" s="376"/>
      <c r="G35" s="376"/>
      <c r="H35" s="121"/>
      <c r="U35" s="111"/>
    </row>
    <row r="36" spans="2:21" ht="17.25" customHeight="1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4.950000000000003" customHeight="1">
      <c r="B37" s="56"/>
      <c r="C37" s="366" t="s">
        <v>2631</v>
      </c>
      <c r="D37" s="367"/>
      <c r="E37" s="367"/>
      <c r="F37" s="367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8"/>
      <c r="U37" s="111"/>
    </row>
    <row r="38" spans="2:21">
      <c r="B38" s="56"/>
      <c r="C38" s="127"/>
      <c r="D38" s="127"/>
      <c r="U38" s="111"/>
    </row>
    <row r="39" spans="2:21" ht="6.75" customHeight="1">
      <c r="B39" s="56"/>
      <c r="C39" s="127"/>
      <c r="D39" s="127"/>
      <c r="U39" s="111"/>
    </row>
    <row r="40" spans="2:21">
      <c r="B40" s="56"/>
      <c r="C40" s="121" t="s">
        <v>1845</v>
      </c>
      <c r="D40" s="121"/>
      <c r="F40" s="122" t="s">
        <v>2599</v>
      </c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>
      <c r="B41" s="56"/>
      <c r="C41" s="137" t="s">
        <v>1849</v>
      </c>
      <c r="D41" s="137"/>
      <c r="F41" s="377"/>
      <c r="G41" s="377"/>
      <c r="H41" s="377"/>
      <c r="U41" s="111"/>
    </row>
    <row r="42" spans="2:21" ht="11.25" customHeight="1" thickBot="1">
      <c r="B42" s="56"/>
      <c r="U42" s="111"/>
    </row>
    <row r="43" spans="2:21" s="133" customFormat="1" ht="21.75" customHeight="1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>
        <v>0.5625</v>
      </c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>
      <c r="B45" s="135"/>
      <c r="U45" s="111"/>
    </row>
    <row r="46" spans="2:21" ht="13.8">
      <c r="B46" s="138" t="s">
        <v>1850</v>
      </c>
      <c r="U46" s="111"/>
    </row>
    <row r="47" spans="2:21" ht="9" customHeight="1">
      <c r="B47" s="56"/>
      <c r="U47" s="111"/>
    </row>
    <row r="48" spans="2:21" ht="80.25" customHeight="1">
      <c r="B48" s="56"/>
      <c r="C48" s="366"/>
      <c r="D48" s="367"/>
      <c r="E48" s="367"/>
      <c r="F48" s="367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8"/>
      <c r="U48" s="111"/>
    </row>
    <row r="49" spans="2:21" ht="11.25" customHeight="1" thickBot="1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3.8" thickBot="1"/>
    <row r="51" spans="2:21" s="2" customFormat="1" ht="30" customHeight="1" thickBot="1">
      <c r="B51" s="115"/>
      <c r="C51" s="372" t="s">
        <v>1851</v>
      </c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O51" s="372"/>
      <c r="P51" s="372"/>
      <c r="Q51" s="372"/>
      <c r="R51" s="372"/>
      <c r="S51" s="372"/>
      <c r="T51" s="372"/>
      <c r="U51" s="116"/>
    </row>
    <row r="52" spans="2:21" ht="9" customHeight="1">
      <c r="B52" s="56"/>
      <c r="U52" s="111"/>
    </row>
    <row r="53" spans="2:21" ht="13.8">
      <c r="B53" s="138"/>
      <c r="C53" s="89" t="s">
        <v>1852</v>
      </c>
      <c r="D53" s="89"/>
      <c r="U53" s="111"/>
    </row>
    <row r="54" spans="2:21" ht="9" customHeight="1">
      <c r="B54" s="56"/>
      <c r="U54" s="111"/>
    </row>
    <row r="55" spans="2:21" ht="36.75" customHeight="1">
      <c r="B55" s="56"/>
      <c r="C55" s="366"/>
      <c r="D55" s="367"/>
      <c r="E55" s="367"/>
      <c r="F55" s="367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8"/>
      <c r="U55" s="111"/>
    </row>
    <row r="56" spans="2:21" ht="12.75" customHeight="1">
      <c r="B56" s="56"/>
      <c r="C56" s="127"/>
      <c r="D56" s="127"/>
      <c r="U56" s="111"/>
    </row>
    <row r="57" spans="2:21" ht="12.75" customHeight="1">
      <c r="B57" s="138"/>
      <c r="C57" s="89" t="s">
        <v>1853</v>
      </c>
      <c r="D57" s="89"/>
      <c r="U57" s="111"/>
    </row>
    <row r="58" spans="2:21" ht="6.75" customHeight="1">
      <c r="B58" s="56"/>
      <c r="U58" s="111"/>
    </row>
    <row r="59" spans="2:21" ht="36.75" customHeight="1">
      <c r="B59" s="56"/>
      <c r="C59" s="366"/>
      <c r="D59" s="367"/>
      <c r="E59" s="367"/>
      <c r="F59" s="367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8"/>
      <c r="U59" s="111"/>
    </row>
    <row r="60" spans="2:21" ht="12.75" customHeight="1">
      <c r="B60" s="56"/>
      <c r="C60" s="127"/>
      <c r="D60" s="127"/>
      <c r="U60" s="111"/>
    </row>
    <row r="61" spans="2:21" ht="12.75" customHeight="1">
      <c r="B61" s="138"/>
      <c r="C61" s="89" t="s">
        <v>1854</v>
      </c>
      <c r="D61" s="89"/>
      <c r="U61" s="111"/>
    </row>
    <row r="62" spans="2:21" ht="6.75" customHeight="1">
      <c r="B62" s="56"/>
      <c r="U62" s="111"/>
    </row>
    <row r="63" spans="2:21" ht="36.75" customHeight="1">
      <c r="B63" s="56"/>
      <c r="C63" s="366"/>
      <c r="D63" s="367"/>
      <c r="E63" s="367"/>
      <c r="F63" s="367"/>
      <c r="G63" s="367"/>
      <c r="H63" s="367"/>
      <c r="I63" s="36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8"/>
      <c r="U63" s="111"/>
    </row>
    <row r="64" spans="2:21" ht="11.25" customHeight="1">
      <c r="B64" s="56"/>
      <c r="C64" s="127"/>
      <c r="D64" s="127"/>
      <c r="U64" s="111"/>
    </row>
    <row r="65" spans="1:21" ht="13.5" customHeight="1">
      <c r="B65" s="138"/>
      <c r="C65" s="89" t="s">
        <v>1855</v>
      </c>
      <c r="D65" s="89"/>
      <c r="U65" s="111"/>
    </row>
    <row r="66" spans="1:21" ht="6.75" customHeight="1">
      <c r="B66" s="56"/>
      <c r="U66" s="111"/>
    </row>
    <row r="67" spans="1:21" ht="36.75" customHeight="1">
      <c r="B67" s="56"/>
      <c r="C67" s="366"/>
      <c r="D67" s="367"/>
      <c r="E67" s="367"/>
      <c r="F67" s="367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8"/>
      <c r="U67" s="111"/>
    </row>
    <row r="68" spans="1:21" ht="11.25" customHeight="1">
      <c r="B68" s="56"/>
      <c r="C68" s="127"/>
      <c r="D68" s="127"/>
      <c r="U68" s="111"/>
    </row>
    <row r="69" spans="1:21" ht="13.8">
      <c r="B69" s="138"/>
      <c r="C69" s="89" t="s">
        <v>1856</v>
      </c>
      <c r="D69" s="89"/>
      <c r="U69" s="111"/>
    </row>
    <row r="70" spans="1:21" ht="6" customHeight="1">
      <c r="B70" s="56"/>
      <c r="U70" s="111"/>
    </row>
    <row r="71" spans="1:21" ht="36.75" customHeight="1">
      <c r="B71" s="56"/>
      <c r="C71" s="366"/>
      <c r="D71" s="367"/>
      <c r="E71" s="367"/>
      <c r="F71" s="367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8"/>
      <c r="U71" s="111"/>
    </row>
    <row r="72" spans="1:21" ht="12.75" customHeight="1">
      <c r="B72" s="56"/>
      <c r="C72" s="127"/>
      <c r="D72" s="127"/>
      <c r="U72" s="111"/>
    </row>
    <row r="73" spans="1:21" ht="12.75" customHeight="1">
      <c r="B73" s="138"/>
      <c r="C73" s="89" t="s">
        <v>1857</v>
      </c>
      <c r="D73" s="89"/>
      <c r="U73" s="111"/>
    </row>
    <row r="74" spans="1:21" ht="6.75" customHeight="1">
      <c r="B74" s="56"/>
      <c r="U74" s="111"/>
    </row>
    <row r="75" spans="1:21" ht="36.75" customHeight="1">
      <c r="B75" s="56"/>
      <c r="C75" s="366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8"/>
      <c r="U75" s="111"/>
    </row>
    <row r="76" spans="1:21" ht="11.25" customHeight="1" thickBot="1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>
      <c r="B78" s="135"/>
      <c r="U78" s="111"/>
    </row>
    <row r="79" spans="1:21" s="53" customFormat="1" ht="18" customHeight="1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>
      <c r="B80" s="56"/>
      <c r="P80" s="53"/>
      <c r="Q80" s="53"/>
      <c r="U80" s="111"/>
    </row>
    <row r="81" spans="2:21" ht="6" customHeight="1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4.950000000000003" customHeight="1">
      <c r="B82" s="56"/>
      <c r="C82" s="369"/>
      <c r="D82" s="370"/>
      <c r="E82" s="370"/>
      <c r="F82" s="370"/>
      <c r="G82" s="370"/>
      <c r="H82" s="370"/>
      <c r="I82" s="37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1"/>
      <c r="U82" s="111"/>
    </row>
    <row r="83" spans="2:21" ht="11.25" customHeight="1" thickBot="1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/>
    <row r="85" spans="2:21" ht="17.25" customHeight="1"/>
    <row r="86" spans="2:21">
      <c r="B86" s="89" t="s">
        <v>1862</v>
      </c>
      <c r="D86" s="364" t="s">
        <v>2629</v>
      </c>
      <c r="E86" s="365"/>
      <c r="F86" s="365"/>
      <c r="G86" s="365"/>
      <c r="H86" s="365"/>
      <c r="I86" s="365"/>
      <c r="J86" s="365"/>
      <c r="K86" s="365"/>
      <c r="L86" s="365"/>
      <c r="M86" s="365"/>
      <c r="P86" s="365"/>
      <c r="Q86" s="365"/>
      <c r="R86" s="365"/>
      <c r="S86" s="365"/>
      <c r="T86" s="365"/>
      <c r="U86" s="365"/>
    </row>
    <row r="87" spans="2:21">
      <c r="C87" s="143"/>
      <c r="D87" s="53" t="s">
        <v>1860</v>
      </c>
      <c r="P87" s="144" t="s">
        <v>1861</v>
      </c>
    </row>
  </sheetData>
  <sheetProtection formatCells="0" formatColumns="0" formatRows="0"/>
  <mergeCells count="25"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AD200"/>
  <sheetViews>
    <sheetView view="pageBreakPreview" zoomScaleNormal="100" zoomScaleSheetLayoutView="100" workbookViewId="0">
      <selection activeCell="E22" sqref="E22:J22"/>
    </sheetView>
  </sheetViews>
  <sheetFormatPr baseColWidth="10" defaultRowHeight="13.2"/>
  <cols>
    <col min="1" max="1" width="4.44140625" customWidth="1"/>
    <col min="2" max="2" width="20.6640625" customWidth="1"/>
    <col min="3" max="3" width="13.6640625" customWidth="1"/>
    <col min="4" max="4" width="7.4414062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4414062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  <col min="28" max="28" width="10.77734375" customWidth="1"/>
  </cols>
  <sheetData>
    <row r="1" spans="1:30" ht="21" customHeight="1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6">
        <f>Schlüssel!$BA$1</f>
        <v>45752</v>
      </c>
      <c r="N1" s="406"/>
      <c r="O1" s="406"/>
      <c r="AD1" s="76" t="s">
        <v>1814</v>
      </c>
    </row>
    <row r="2" spans="1:30" ht="17.25" customHeight="1" thickBot="1">
      <c r="A2" s="53"/>
      <c r="B2" s="54">
        <v>1</v>
      </c>
      <c r="C2" s="35" t="s">
        <v>1787</v>
      </c>
      <c r="D2" s="35"/>
      <c r="E2" s="72" t="str">
        <f>Schlüssel!$AQ$2</f>
        <v>München Hollywood Super Bowling</v>
      </c>
      <c r="G2" s="66"/>
      <c r="H2" s="66"/>
      <c r="I2" s="66"/>
      <c r="J2" s="66"/>
      <c r="L2" s="66"/>
      <c r="M2" s="34" t="s">
        <v>1785</v>
      </c>
      <c r="N2" s="38">
        <v>3</v>
      </c>
      <c r="O2" s="33"/>
      <c r="AD2" s="77">
        <v>13</v>
      </c>
    </row>
    <row r="3" spans="1:30" ht="15.75" customHeight="1" thickBot="1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3.8" thickBot="1">
      <c r="A4" s="6"/>
      <c r="B4" s="7"/>
      <c r="C4" s="43"/>
      <c r="D4" s="43"/>
      <c r="E4" s="47" t="s">
        <v>10</v>
      </c>
      <c r="F4" s="7">
        <f>VLOOKUP(B2,Schlüssel!$A$5:$DZ$12,53)</f>
        <v>20</v>
      </c>
      <c r="G4" s="51" t="s">
        <v>10</v>
      </c>
      <c r="H4" s="7">
        <f>VLOOKUP(B2,Schlüssel!$A$5:$DZ$12,54)</f>
        <v>14</v>
      </c>
      <c r="I4" s="51" t="s">
        <v>10</v>
      </c>
      <c r="J4" s="7">
        <f>VLOOKUP(B2,Schlüssel!$A$5:$DZ$12,55)</f>
        <v>18</v>
      </c>
      <c r="K4" s="51" t="s">
        <v>10</v>
      </c>
      <c r="L4" s="7">
        <f>VLOOKUP(B2,Schlüssel!$A$5:$DZ$12,56)</f>
        <v>19</v>
      </c>
      <c r="M4" s="51" t="s">
        <v>10</v>
      </c>
      <c r="N4" s="57">
        <f>VLOOKUP(B2,Schlüssel!$A$5:$DZ$12,57)</f>
        <v>14</v>
      </c>
    </row>
    <row r="5" spans="1:30" ht="20.25" customHeight="1">
      <c r="B5" s="44" t="s">
        <v>1</v>
      </c>
      <c r="C5" s="45"/>
      <c r="D5" s="45"/>
      <c r="E5" s="407" t="s">
        <v>1793</v>
      </c>
      <c r="F5" s="408"/>
      <c r="G5" s="407" t="s">
        <v>1794</v>
      </c>
      <c r="H5" s="408"/>
      <c r="I5" s="407" t="s">
        <v>1795</v>
      </c>
      <c r="J5" s="408"/>
      <c r="K5" s="407" t="s">
        <v>1796</v>
      </c>
      <c r="L5" s="408"/>
      <c r="M5" s="407" t="s">
        <v>1797</v>
      </c>
      <c r="N5" s="408"/>
      <c r="O5" s="409" t="s">
        <v>1792</v>
      </c>
      <c r="P5" s="410"/>
    </row>
    <row r="6" spans="1:30" ht="15" customHeight="1" thickBot="1">
      <c r="B6" s="9" t="s">
        <v>1798</v>
      </c>
      <c r="C6" s="48" t="s">
        <v>1799</v>
      </c>
      <c r="D6" s="48" t="s">
        <v>2264</v>
      </c>
      <c r="E6" s="464" t="s">
        <v>1800</v>
      </c>
      <c r="F6" s="465"/>
      <c r="G6" s="464" t="s">
        <v>1800</v>
      </c>
      <c r="H6" s="465"/>
      <c r="I6" s="464" t="s">
        <v>1800</v>
      </c>
      <c r="J6" s="465"/>
      <c r="K6" s="464" t="s">
        <v>1800</v>
      </c>
      <c r="L6" s="465"/>
      <c r="M6" s="464" t="s">
        <v>1800</v>
      </c>
      <c r="N6" s="465"/>
      <c r="O6" s="464" t="s">
        <v>1800</v>
      </c>
      <c r="P6" s="465"/>
    </row>
    <row r="7" spans="1:30" ht="16.95" customHeight="1">
      <c r="A7" s="403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58"/>
      <c r="F7" s="459"/>
      <c r="G7" s="458"/>
      <c r="H7" s="459"/>
      <c r="I7" s="458"/>
      <c r="J7" s="459"/>
      <c r="K7" s="458"/>
      <c r="L7" s="459"/>
      <c r="M7" s="458"/>
      <c r="N7" s="459"/>
      <c r="O7" s="458"/>
      <c r="P7" s="459"/>
    </row>
    <row r="8" spans="1:30" ht="16.95" customHeight="1">
      <c r="A8" s="404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60"/>
      <c r="F8" s="461"/>
      <c r="G8" s="460"/>
      <c r="H8" s="461"/>
      <c r="I8" s="460"/>
      <c r="J8" s="461"/>
      <c r="K8" s="460"/>
      <c r="L8" s="461"/>
      <c r="M8" s="460"/>
      <c r="N8" s="461"/>
      <c r="O8" s="460"/>
      <c r="P8" s="461"/>
    </row>
    <row r="9" spans="1:30" ht="16.95" customHeight="1" thickBot="1">
      <c r="A9" s="405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62"/>
      <c r="F9" s="463"/>
      <c r="G9" s="462"/>
      <c r="H9" s="463"/>
      <c r="I9" s="462"/>
      <c r="J9" s="463"/>
      <c r="K9" s="462"/>
      <c r="L9" s="463"/>
      <c r="M9" s="462"/>
      <c r="N9" s="463"/>
      <c r="O9" s="462"/>
      <c r="P9" s="463"/>
    </row>
    <row r="10" spans="1:30" ht="16.95" customHeight="1">
      <c r="A10" s="403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58"/>
      <c r="F10" s="459"/>
      <c r="G10" s="458"/>
      <c r="H10" s="459"/>
      <c r="I10" s="458"/>
      <c r="J10" s="459"/>
      <c r="K10" s="458"/>
      <c r="L10" s="459"/>
      <c r="M10" s="458"/>
      <c r="N10" s="459"/>
      <c r="O10" s="458"/>
      <c r="P10" s="459"/>
    </row>
    <row r="11" spans="1:30" ht="16.95" customHeight="1">
      <c r="A11" s="404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60"/>
      <c r="F11" s="461"/>
      <c r="G11" s="460"/>
      <c r="H11" s="461"/>
      <c r="I11" s="460"/>
      <c r="J11" s="461"/>
      <c r="K11" s="460"/>
      <c r="L11" s="461"/>
      <c r="M11" s="460"/>
      <c r="N11" s="461"/>
      <c r="O11" s="460"/>
      <c r="P11" s="461"/>
    </row>
    <row r="12" spans="1:30" ht="16.95" customHeight="1" thickBot="1">
      <c r="A12" s="405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62"/>
      <c r="F12" s="463"/>
      <c r="G12" s="462"/>
      <c r="H12" s="463"/>
      <c r="I12" s="462"/>
      <c r="J12" s="463"/>
      <c r="K12" s="462"/>
      <c r="L12" s="463"/>
      <c r="M12" s="462"/>
      <c r="N12" s="463"/>
      <c r="O12" s="462"/>
      <c r="P12" s="463"/>
    </row>
    <row r="13" spans="1:30" ht="16.95" customHeight="1">
      <c r="A13" s="403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58"/>
      <c r="F13" s="459"/>
      <c r="G13" s="458"/>
      <c r="H13" s="459"/>
      <c r="I13" s="458"/>
      <c r="J13" s="459"/>
      <c r="K13" s="458"/>
      <c r="L13" s="459"/>
      <c r="M13" s="458"/>
      <c r="N13" s="459"/>
      <c r="O13" s="458"/>
      <c r="P13" s="459"/>
    </row>
    <row r="14" spans="1:30" ht="16.95" customHeight="1">
      <c r="A14" s="404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60"/>
      <c r="F14" s="461"/>
      <c r="G14" s="460"/>
      <c r="H14" s="461"/>
      <c r="I14" s="460"/>
      <c r="J14" s="461"/>
      <c r="K14" s="460"/>
      <c r="L14" s="461"/>
      <c r="M14" s="460"/>
      <c r="N14" s="461"/>
      <c r="O14" s="460"/>
      <c r="P14" s="461"/>
    </row>
    <row r="15" spans="1:30" ht="16.95" customHeight="1" thickBot="1">
      <c r="A15" s="405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62"/>
      <c r="F15" s="463"/>
      <c r="G15" s="462"/>
      <c r="H15" s="463"/>
      <c r="I15" s="462"/>
      <c r="J15" s="463"/>
      <c r="K15" s="462"/>
      <c r="L15" s="463"/>
      <c r="M15" s="462"/>
      <c r="N15" s="463"/>
      <c r="O15" s="462"/>
      <c r="P15" s="463"/>
    </row>
    <row r="16" spans="1:30" ht="27.75" customHeight="1" thickBot="1">
      <c r="B16" s="11"/>
      <c r="C16" s="25"/>
      <c r="D16" s="204"/>
      <c r="E16" s="456"/>
      <c r="F16" s="457"/>
      <c r="G16" s="456"/>
      <c r="H16" s="457"/>
      <c r="I16" s="456"/>
      <c r="J16" s="457"/>
      <c r="K16" s="456"/>
      <c r="L16" s="457"/>
      <c r="M16" s="456"/>
      <c r="N16" s="457"/>
      <c r="O16" s="456"/>
      <c r="P16" s="457"/>
    </row>
    <row r="17" spans="1:30" ht="24" customHeight="1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>
      <c r="B19" s="211" t="s">
        <v>1790</v>
      </c>
      <c r="C19" s="42" t="s">
        <v>1791</v>
      </c>
      <c r="D19" s="42"/>
      <c r="E19" s="398">
        <f>VLOOKUP(B2,Schlüssel!$A$5:$DZ$12,43)</f>
        <v>7</v>
      </c>
      <c r="F19" s="398"/>
      <c r="G19" s="398">
        <f>VLOOKUP(B2,Schlüssel!$A$5:$DZ$12,44)</f>
        <v>4</v>
      </c>
      <c r="H19" s="398"/>
      <c r="I19" s="398">
        <f>VLOOKUP(B2,Schlüssel!$A$5:$DZ$12,45)</f>
        <v>6</v>
      </c>
      <c r="J19" s="398"/>
      <c r="K19" s="398">
        <f>VLOOKUP(B2,Schlüssel!$A$5:$DZ$12,46)</f>
        <v>2</v>
      </c>
      <c r="L19" s="398"/>
      <c r="M19" s="398">
        <f>VLOOKUP(B2,Schlüssel!$A$5:$DZ$12,47)</f>
        <v>8</v>
      </c>
      <c r="N19" s="398"/>
      <c r="O19" s="399"/>
      <c r="P19" s="399"/>
    </row>
    <row r="20" spans="1:30" ht="28.5" customHeight="1">
      <c r="B20" s="4"/>
      <c r="C20" s="1"/>
      <c r="D20" s="1"/>
      <c r="E20" s="395" t="str">
        <f>VLOOKUP(E19,Schlüssel!$A$5:$K$12,2)</f>
        <v>BK München 1</v>
      </c>
      <c r="F20" s="396"/>
      <c r="G20" s="395" t="str">
        <f>VLOOKUP(G19,Schlüssel!$A$5:$K$12,2)</f>
        <v>Highroller Rosenheim 3</v>
      </c>
      <c r="H20" s="396"/>
      <c r="I20" s="395" t="str">
        <f>VLOOKUP(I19,Schlüssel!$A$5:$K$12,2)</f>
        <v>Bowling Jugend Bayern 1</v>
      </c>
      <c r="J20" s="396"/>
      <c r="K20" s="395" t="str">
        <f>VLOOKUP(K19,Schlüssel!$A$5:$K$12,2)</f>
        <v>Highroller Rosenheim 1</v>
      </c>
      <c r="L20" s="396"/>
      <c r="M20" s="395" t="str">
        <f>VLOOKUP(M19,Schlüssel!$A$5:$K$12,2)</f>
        <v>EMAX 1</v>
      </c>
      <c r="N20" s="396"/>
      <c r="O20" s="397"/>
      <c r="P20" s="397"/>
    </row>
    <row r="21" spans="1:30" ht="12" customHeight="1">
      <c r="B21" s="4"/>
      <c r="C21" s="1"/>
      <c r="D21" s="1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53"/>
      <c r="P21" s="353"/>
    </row>
    <row r="22" spans="1:30" ht="16.2" customHeight="1">
      <c r="B22" s="39" t="s">
        <v>0</v>
      </c>
      <c r="C22" s="40"/>
      <c r="D22" s="40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3"/>
      <c r="P22" s="393"/>
    </row>
    <row r="23" spans="1:30" ht="16.2" customHeight="1">
      <c r="B23" s="39" t="s">
        <v>2</v>
      </c>
      <c r="C23" s="40"/>
      <c r="D23" s="40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3"/>
      <c r="P23" s="393"/>
    </row>
    <row r="24" spans="1:30" ht="16.2" customHeight="1">
      <c r="B24" s="39" t="s">
        <v>3</v>
      </c>
      <c r="C24" s="40"/>
      <c r="D24" s="40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3"/>
      <c r="P24" s="393"/>
    </row>
    <row r="25" spans="1:30" ht="16.2" customHeight="1">
      <c r="B25" s="41" t="s">
        <v>1792</v>
      </c>
      <c r="C25" s="42"/>
      <c r="D25" s="42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41"/>
      <c r="P25" s="341"/>
    </row>
    <row r="26" spans="1:30" ht="21" customHeight="1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6">
        <f>Schlüssel!$BA$1</f>
        <v>45752</v>
      </c>
      <c r="N26" s="406"/>
      <c r="O26" s="406"/>
      <c r="AD26" s="76"/>
    </row>
    <row r="27" spans="1:30" ht="17.25" customHeight="1" thickBot="1">
      <c r="A27" s="53"/>
      <c r="B27" s="54">
        <f>+B2+1</f>
        <v>2</v>
      </c>
      <c r="C27" s="35" t="s">
        <v>1787</v>
      </c>
      <c r="D27" s="35"/>
      <c r="E27" s="72" t="str">
        <f>Schlüssel!$AQ$2</f>
        <v>München Hollywood Super Bowling</v>
      </c>
      <c r="G27" s="66"/>
      <c r="H27" s="66"/>
      <c r="I27" s="66"/>
      <c r="J27" s="66"/>
      <c r="L27" s="66"/>
      <c r="M27" s="34" t="s">
        <v>1785</v>
      </c>
      <c r="N27" s="38">
        <v>3</v>
      </c>
      <c r="O27" s="33"/>
      <c r="AD27" s="77"/>
    </row>
    <row r="28" spans="1:30" ht="15.75" customHeight="1" thickBot="1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3.8" thickBot="1">
      <c r="A29" s="6"/>
      <c r="B29" s="7"/>
      <c r="C29" s="43"/>
      <c r="D29" s="43"/>
      <c r="E29" s="47" t="s">
        <v>10</v>
      </c>
      <c r="F29" s="7">
        <f>VLOOKUP(B27,Schlüssel!$A$5:$DZ$12,53)</f>
        <v>16</v>
      </c>
      <c r="G29" s="51" t="s">
        <v>10</v>
      </c>
      <c r="H29" s="7">
        <f>VLOOKUP(B27,Schlüssel!$A$5:$DZ$12,54)</f>
        <v>19</v>
      </c>
      <c r="I29" s="51" t="s">
        <v>10</v>
      </c>
      <c r="J29" s="7">
        <f>VLOOKUP(B27,Schlüssel!$A$5:$DZ$12,55)</f>
        <v>14</v>
      </c>
      <c r="K29" s="51" t="s">
        <v>10</v>
      </c>
      <c r="L29" s="7">
        <f>VLOOKUP(B27,Schlüssel!$A$5:$DZ$12,56)</f>
        <v>20</v>
      </c>
      <c r="M29" s="51" t="s">
        <v>10</v>
      </c>
      <c r="N29" s="57">
        <f>VLOOKUP(B27,Schlüssel!$A$5:$DZ$12,57)</f>
        <v>18</v>
      </c>
    </row>
    <row r="30" spans="1:30" ht="20.25" customHeight="1">
      <c r="B30" s="44" t="s">
        <v>1</v>
      </c>
      <c r="C30" s="45"/>
      <c r="D30" s="45"/>
      <c r="E30" s="407" t="s">
        <v>1793</v>
      </c>
      <c r="F30" s="408"/>
      <c r="G30" s="407" t="s">
        <v>1794</v>
      </c>
      <c r="H30" s="408"/>
      <c r="I30" s="407" t="s">
        <v>1795</v>
      </c>
      <c r="J30" s="408"/>
      <c r="K30" s="407" t="s">
        <v>1796</v>
      </c>
      <c r="L30" s="408"/>
      <c r="M30" s="407" t="s">
        <v>1797</v>
      </c>
      <c r="N30" s="408"/>
      <c r="O30" s="409" t="s">
        <v>1792</v>
      </c>
      <c r="P30" s="410"/>
    </row>
    <row r="31" spans="1:30" ht="15" customHeight="1" thickBot="1">
      <c r="B31" s="9" t="s">
        <v>1798</v>
      </c>
      <c r="C31" s="48" t="s">
        <v>1799</v>
      </c>
      <c r="D31" s="48" t="s">
        <v>2264</v>
      </c>
      <c r="E31" s="464" t="s">
        <v>1800</v>
      </c>
      <c r="F31" s="465"/>
      <c r="G31" s="464" t="s">
        <v>1800</v>
      </c>
      <c r="H31" s="465"/>
      <c r="I31" s="464" t="s">
        <v>1800</v>
      </c>
      <c r="J31" s="465"/>
      <c r="K31" s="464" t="s">
        <v>1800</v>
      </c>
      <c r="L31" s="465"/>
      <c r="M31" s="464" t="s">
        <v>1800</v>
      </c>
      <c r="N31" s="465"/>
      <c r="O31" s="464" t="s">
        <v>1800</v>
      </c>
      <c r="P31" s="465"/>
    </row>
    <row r="32" spans="1:30" ht="16.95" customHeight="1">
      <c r="A32" s="403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58"/>
      <c r="F32" s="459"/>
      <c r="G32" s="458"/>
      <c r="H32" s="459"/>
      <c r="I32" s="458"/>
      <c r="J32" s="459"/>
      <c r="K32" s="458"/>
      <c r="L32" s="459"/>
      <c r="M32" s="458"/>
      <c r="N32" s="459"/>
      <c r="O32" s="458"/>
      <c r="P32" s="459"/>
    </row>
    <row r="33" spans="1:16" ht="16.95" customHeight="1">
      <c r="A33" s="404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60"/>
      <c r="F33" s="461"/>
      <c r="G33" s="460"/>
      <c r="H33" s="461"/>
      <c r="I33" s="460"/>
      <c r="J33" s="461"/>
      <c r="K33" s="460"/>
      <c r="L33" s="461"/>
      <c r="M33" s="460"/>
      <c r="N33" s="461"/>
      <c r="O33" s="460"/>
      <c r="P33" s="461"/>
    </row>
    <row r="34" spans="1:16" ht="16.95" customHeight="1" thickBot="1">
      <c r="A34" s="405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62"/>
      <c r="F34" s="463"/>
      <c r="G34" s="462"/>
      <c r="H34" s="463"/>
      <c r="I34" s="462"/>
      <c r="J34" s="463"/>
      <c r="K34" s="462"/>
      <c r="L34" s="463"/>
      <c r="M34" s="462"/>
      <c r="N34" s="463"/>
      <c r="O34" s="462"/>
      <c r="P34" s="463"/>
    </row>
    <row r="35" spans="1:16" ht="16.95" customHeight="1">
      <c r="A35" s="403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58"/>
      <c r="F35" s="459"/>
      <c r="G35" s="458"/>
      <c r="H35" s="459"/>
      <c r="I35" s="458"/>
      <c r="J35" s="459"/>
      <c r="K35" s="458"/>
      <c r="L35" s="459"/>
      <c r="M35" s="458"/>
      <c r="N35" s="459"/>
      <c r="O35" s="458"/>
      <c r="P35" s="459"/>
    </row>
    <row r="36" spans="1:16" ht="16.95" customHeight="1">
      <c r="A36" s="404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60"/>
      <c r="F36" s="461"/>
      <c r="G36" s="460"/>
      <c r="H36" s="461"/>
      <c r="I36" s="460"/>
      <c r="J36" s="461"/>
      <c r="K36" s="460"/>
      <c r="L36" s="461"/>
      <c r="M36" s="460"/>
      <c r="N36" s="461"/>
      <c r="O36" s="460"/>
      <c r="P36" s="461"/>
    </row>
    <row r="37" spans="1:16" ht="16.95" customHeight="1" thickBot="1">
      <c r="A37" s="405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62"/>
      <c r="F37" s="463"/>
      <c r="G37" s="462"/>
      <c r="H37" s="463"/>
      <c r="I37" s="462"/>
      <c r="J37" s="463"/>
      <c r="K37" s="462"/>
      <c r="L37" s="463"/>
      <c r="M37" s="462"/>
      <c r="N37" s="463"/>
      <c r="O37" s="462"/>
      <c r="P37" s="463"/>
    </row>
    <row r="38" spans="1:16" ht="16.95" customHeight="1">
      <c r="A38" s="403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58"/>
      <c r="F38" s="459"/>
      <c r="G38" s="458"/>
      <c r="H38" s="459"/>
      <c r="I38" s="458"/>
      <c r="J38" s="459"/>
      <c r="K38" s="458"/>
      <c r="L38" s="459"/>
      <c r="M38" s="458"/>
      <c r="N38" s="459"/>
      <c r="O38" s="458"/>
      <c r="P38" s="459"/>
    </row>
    <row r="39" spans="1:16" ht="16.95" customHeight="1">
      <c r="A39" s="404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60"/>
      <c r="F39" s="461"/>
      <c r="G39" s="460"/>
      <c r="H39" s="461"/>
      <c r="I39" s="460"/>
      <c r="J39" s="461"/>
      <c r="K39" s="460"/>
      <c r="L39" s="461"/>
      <c r="M39" s="460"/>
      <c r="N39" s="461"/>
      <c r="O39" s="460"/>
      <c r="P39" s="461"/>
    </row>
    <row r="40" spans="1:16" ht="16.95" customHeight="1" thickBot="1">
      <c r="A40" s="405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62"/>
      <c r="F40" s="463"/>
      <c r="G40" s="462"/>
      <c r="H40" s="463"/>
      <c r="I40" s="462"/>
      <c r="J40" s="463"/>
      <c r="K40" s="462"/>
      <c r="L40" s="463"/>
      <c r="M40" s="462"/>
      <c r="N40" s="463"/>
      <c r="O40" s="462"/>
      <c r="P40" s="463"/>
    </row>
    <row r="41" spans="1:16" ht="27.75" customHeight="1" thickBot="1">
      <c r="B41" s="11"/>
      <c r="C41" s="25"/>
      <c r="D41" s="204"/>
      <c r="E41" s="456"/>
      <c r="F41" s="457"/>
      <c r="G41" s="456"/>
      <c r="H41" s="457"/>
      <c r="I41" s="456"/>
      <c r="J41" s="457"/>
      <c r="K41" s="456"/>
      <c r="L41" s="457"/>
      <c r="M41" s="456"/>
      <c r="N41" s="457"/>
      <c r="O41" s="456"/>
      <c r="P41" s="457"/>
    </row>
    <row r="42" spans="1:16" ht="24" customHeight="1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>
      <c r="B44" s="211" t="s">
        <v>1790</v>
      </c>
      <c r="C44" s="42" t="s">
        <v>1791</v>
      </c>
      <c r="D44" s="42"/>
      <c r="E44" s="398">
        <f>VLOOKUP(B27,Schlüssel!$A$5:$DZ$12,43)</f>
        <v>5</v>
      </c>
      <c r="F44" s="398"/>
      <c r="G44" s="398">
        <f>VLOOKUP(B27,Schlüssel!$A$5:$DZ$12,44)</f>
        <v>3</v>
      </c>
      <c r="H44" s="398"/>
      <c r="I44" s="398">
        <f>VLOOKUP(B27,Schlüssel!$A$5:$DZ$12,45)</f>
        <v>8</v>
      </c>
      <c r="J44" s="398"/>
      <c r="K44" s="398">
        <f>VLOOKUP(B27,Schlüssel!$A$5:$DZ$12,46)</f>
        <v>1</v>
      </c>
      <c r="L44" s="398"/>
      <c r="M44" s="398">
        <f>VLOOKUP(B27,Schlüssel!$A$5:$DZ$12,47)</f>
        <v>6</v>
      </c>
      <c r="N44" s="398"/>
      <c r="O44" s="399"/>
      <c r="P44" s="399"/>
    </row>
    <row r="45" spans="1:16" ht="28.5" customHeight="1">
      <c r="B45" s="4"/>
      <c r="C45" s="1"/>
      <c r="D45" s="1"/>
      <c r="E45" s="395" t="str">
        <f>VLOOKUP(E44,Schlüssel!$A$5:$K$12,2)</f>
        <v>Berchtesgaden 1</v>
      </c>
      <c r="F45" s="396"/>
      <c r="G45" s="395" t="str">
        <f>VLOOKUP(G44,Schlüssel!$A$5:$K$12,2)</f>
        <v>Highroller Rosenheim 2</v>
      </c>
      <c r="H45" s="396"/>
      <c r="I45" s="395" t="str">
        <f>VLOOKUP(I44,Schlüssel!$A$5:$K$12,2)</f>
        <v>EMAX 1</v>
      </c>
      <c r="J45" s="396"/>
      <c r="K45" s="395" t="str">
        <f>VLOOKUP(K44,Schlüssel!$A$5:$K$12,2)</f>
        <v>Bad Tölz 1</v>
      </c>
      <c r="L45" s="396"/>
      <c r="M45" s="395" t="str">
        <f>VLOOKUP(M44,Schlüssel!$A$5:$K$12,2)</f>
        <v>Bowling Jugend Bayern 1</v>
      </c>
      <c r="N45" s="396"/>
      <c r="O45" s="397"/>
      <c r="P45" s="397"/>
    </row>
    <row r="46" spans="1:16" ht="12" customHeight="1">
      <c r="B46" s="4"/>
      <c r="C46" s="1"/>
      <c r="D46" s="1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53"/>
      <c r="P46" s="353"/>
    </row>
    <row r="47" spans="1:16" ht="16.2" customHeight="1">
      <c r="B47" s="39" t="s">
        <v>0</v>
      </c>
      <c r="C47" s="40"/>
      <c r="D47" s="40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3"/>
      <c r="P47" s="393"/>
    </row>
    <row r="48" spans="1:16" ht="16.2" customHeight="1">
      <c r="B48" s="39" t="s">
        <v>2</v>
      </c>
      <c r="C48" s="40"/>
      <c r="D48" s="40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3"/>
      <c r="P48" s="393"/>
    </row>
    <row r="49" spans="1:30" ht="16.2" customHeight="1">
      <c r="B49" s="39" t="s">
        <v>3</v>
      </c>
      <c r="C49" s="40"/>
      <c r="D49" s="40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3"/>
      <c r="P49" s="393"/>
    </row>
    <row r="50" spans="1:30" ht="15.75" customHeight="1">
      <c r="B50" s="41" t="s">
        <v>1792</v>
      </c>
      <c r="C50" s="42"/>
      <c r="D50" s="42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41"/>
      <c r="P50" s="341"/>
    </row>
    <row r="51" spans="1:30" ht="21" customHeight="1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6">
        <f>Schlüssel!$BA$1</f>
        <v>45752</v>
      </c>
      <c r="N51" s="406"/>
      <c r="O51" s="406"/>
      <c r="AD51" s="76"/>
    </row>
    <row r="52" spans="1:30" ht="17.25" customHeight="1" thickBot="1">
      <c r="A52" s="53"/>
      <c r="B52" s="54">
        <f>+B27+1</f>
        <v>3</v>
      </c>
      <c r="C52" s="35" t="s">
        <v>1787</v>
      </c>
      <c r="D52" s="35"/>
      <c r="E52" s="72" t="str">
        <f>Schlüssel!$AQ$2</f>
        <v>München Hollywood Super Bowling</v>
      </c>
      <c r="G52" s="66"/>
      <c r="H52" s="66"/>
      <c r="I52" s="66"/>
      <c r="J52" s="66"/>
      <c r="L52" s="66"/>
      <c r="M52" s="34" t="s">
        <v>1785</v>
      </c>
      <c r="N52" s="38">
        <v>3</v>
      </c>
      <c r="O52" s="33"/>
      <c r="AD52" s="77"/>
    </row>
    <row r="53" spans="1:30" ht="15.75" customHeight="1" thickBot="1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3.8" thickBot="1">
      <c r="A54" s="6"/>
      <c r="B54" s="7"/>
      <c r="C54" s="43"/>
      <c r="D54" s="43"/>
      <c r="E54" s="47" t="s">
        <v>10</v>
      </c>
      <c r="F54" s="7">
        <f>VLOOKUP(B52,Schlüssel!$A$5:$DZ$12,53)</f>
        <v>13</v>
      </c>
      <c r="G54" s="51" t="s">
        <v>10</v>
      </c>
      <c r="H54" s="7">
        <f>VLOOKUP(B52,Schlüssel!$A$5:$DZ$12,54)</f>
        <v>20</v>
      </c>
      <c r="I54" s="51" t="s">
        <v>10</v>
      </c>
      <c r="J54" s="7">
        <f>VLOOKUP(B52,Schlüssel!$A$5:$DZ$12,55)</f>
        <v>15</v>
      </c>
      <c r="K54" s="51" t="s">
        <v>10</v>
      </c>
      <c r="L54" s="7">
        <f>VLOOKUP(B52,Schlüssel!$A$5:$DZ$12,56)</f>
        <v>17</v>
      </c>
      <c r="M54" s="51" t="s">
        <v>10</v>
      </c>
      <c r="N54" s="57">
        <f>VLOOKUP(B52,Schlüssel!$A$5:$DZ$12,57)</f>
        <v>19</v>
      </c>
    </row>
    <row r="55" spans="1:30" ht="20.25" customHeight="1">
      <c r="B55" s="44" t="s">
        <v>1</v>
      </c>
      <c r="C55" s="45"/>
      <c r="D55" s="45"/>
      <c r="E55" s="407" t="s">
        <v>1793</v>
      </c>
      <c r="F55" s="408"/>
      <c r="G55" s="407" t="s">
        <v>1794</v>
      </c>
      <c r="H55" s="408"/>
      <c r="I55" s="407" t="s">
        <v>1795</v>
      </c>
      <c r="J55" s="408"/>
      <c r="K55" s="407" t="s">
        <v>1796</v>
      </c>
      <c r="L55" s="408"/>
      <c r="M55" s="407" t="s">
        <v>1797</v>
      </c>
      <c r="N55" s="408"/>
      <c r="O55" s="409" t="s">
        <v>1792</v>
      </c>
      <c r="P55" s="410"/>
    </row>
    <row r="56" spans="1:30" ht="15" customHeight="1" thickBot="1">
      <c r="B56" s="9" t="s">
        <v>1798</v>
      </c>
      <c r="C56" s="48" t="s">
        <v>1799</v>
      </c>
      <c r="D56" s="48" t="s">
        <v>2264</v>
      </c>
      <c r="E56" s="464" t="s">
        <v>1800</v>
      </c>
      <c r="F56" s="465"/>
      <c r="G56" s="464" t="s">
        <v>1800</v>
      </c>
      <c r="H56" s="465"/>
      <c r="I56" s="464" t="s">
        <v>1800</v>
      </c>
      <c r="J56" s="465"/>
      <c r="K56" s="464" t="s">
        <v>1800</v>
      </c>
      <c r="L56" s="465"/>
      <c r="M56" s="464" t="s">
        <v>1800</v>
      </c>
      <c r="N56" s="465"/>
      <c r="O56" s="464" t="s">
        <v>1800</v>
      </c>
      <c r="P56" s="465"/>
    </row>
    <row r="57" spans="1:30" ht="16.95" customHeight="1">
      <c r="A57" s="403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58"/>
      <c r="F57" s="459"/>
      <c r="G57" s="458"/>
      <c r="H57" s="459"/>
      <c r="I57" s="458"/>
      <c r="J57" s="459"/>
      <c r="K57" s="458"/>
      <c r="L57" s="459"/>
      <c r="M57" s="458"/>
      <c r="N57" s="459"/>
      <c r="O57" s="458"/>
      <c r="P57" s="459"/>
    </row>
    <row r="58" spans="1:30" ht="16.95" customHeight="1">
      <c r="A58" s="404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60"/>
      <c r="F58" s="461"/>
      <c r="G58" s="460"/>
      <c r="H58" s="461"/>
      <c r="I58" s="460"/>
      <c r="J58" s="461"/>
      <c r="K58" s="460"/>
      <c r="L58" s="461"/>
      <c r="M58" s="460"/>
      <c r="N58" s="461"/>
      <c r="O58" s="460"/>
      <c r="P58" s="461"/>
    </row>
    <row r="59" spans="1:30" ht="16.95" customHeight="1" thickBot="1">
      <c r="A59" s="405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62"/>
      <c r="F59" s="463"/>
      <c r="G59" s="462"/>
      <c r="H59" s="463"/>
      <c r="I59" s="462"/>
      <c r="J59" s="463"/>
      <c r="K59" s="462"/>
      <c r="L59" s="463"/>
      <c r="M59" s="462"/>
      <c r="N59" s="463"/>
      <c r="O59" s="462"/>
      <c r="P59" s="463"/>
    </row>
    <row r="60" spans="1:30" ht="16.95" customHeight="1">
      <c r="A60" s="403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58"/>
      <c r="F60" s="459"/>
      <c r="G60" s="458"/>
      <c r="H60" s="459"/>
      <c r="I60" s="458"/>
      <c r="J60" s="459"/>
      <c r="K60" s="458"/>
      <c r="L60" s="459"/>
      <c r="M60" s="458"/>
      <c r="N60" s="459"/>
      <c r="O60" s="458"/>
      <c r="P60" s="459"/>
    </row>
    <row r="61" spans="1:30" ht="16.95" customHeight="1">
      <c r="A61" s="404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60"/>
      <c r="F61" s="461"/>
      <c r="G61" s="460"/>
      <c r="H61" s="461"/>
      <c r="I61" s="460"/>
      <c r="J61" s="461"/>
      <c r="K61" s="460"/>
      <c r="L61" s="461"/>
      <c r="M61" s="460"/>
      <c r="N61" s="461"/>
      <c r="O61" s="460"/>
      <c r="P61" s="461"/>
    </row>
    <row r="62" spans="1:30" ht="16.95" customHeight="1" thickBot="1">
      <c r="A62" s="405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62"/>
      <c r="F62" s="463"/>
      <c r="G62" s="462"/>
      <c r="H62" s="463"/>
      <c r="I62" s="462"/>
      <c r="J62" s="463"/>
      <c r="K62" s="462"/>
      <c r="L62" s="463"/>
      <c r="M62" s="462"/>
      <c r="N62" s="463"/>
      <c r="O62" s="462"/>
      <c r="P62" s="463"/>
    </row>
    <row r="63" spans="1:30" ht="16.95" customHeight="1">
      <c r="A63" s="403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58"/>
      <c r="F63" s="459"/>
      <c r="G63" s="458"/>
      <c r="H63" s="459"/>
      <c r="I63" s="458"/>
      <c r="J63" s="459"/>
      <c r="K63" s="458"/>
      <c r="L63" s="459"/>
      <c r="M63" s="458"/>
      <c r="N63" s="459"/>
      <c r="O63" s="458"/>
      <c r="P63" s="459"/>
    </row>
    <row r="64" spans="1:30" ht="16.95" customHeight="1">
      <c r="A64" s="404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60"/>
      <c r="F64" s="461"/>
      <c r="G64" s="460"/>
      <c r="H64" s="461"/>
      <c r="I64" s="460"/>
      <c r="J64" s="461"/>
      <c r="K64" s="460"/>
      <c r="L64" s="461"/>
      <c r="M64" s="460"/>
      <c r="N64" s="461"/>
      <c r="O64" s="460"/>
      <c r="P64" s="461"/>
    </row>
    <row r="65" spans="1:30" ht="16.95" customHeight="1" thickBot="1">
      <c r="A65" s="405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62"/>
      <c r="F65" s="463"/>
      <c r="G65" s="462"/>
      <c r="H65" s="463"/>
      <c r="I65" s="462"/>
      <c r="J65" s="463"/>
      <c r="K65" s="462"/>
      <c r="L65" s="463"/>
      <c r="M65" s="462"/>
      <c r="N65" s="463"/>
      <c r="O65" s="462"/>
      <c r="P65" s="463"/>
    </row>
    <row r="66" spans="1:30" ht="27.75" customHeight="1" thickBot="1">
      <c r="B66" s="11"/>
      <c r="C66" s="25"/>
      <c r="D66" s="204"/>
      <c r="E66" s="456"/>
      <c r="F66" s="457"/>
      <c r="G66" s="456"/>
      <c r="H66" s="457"/>
      <c r="I66" s="456"/>
      <c r="J66" s="457"/>
      <c r="K66" s="456"/>
      <c r="L66" s="457"/>
      <c r="M66" s="456"/>
      <c r="N66" s="457"/>
      <c r="O66" s="456"/>
      <c r="P66" s="457"/>
    </row>
    <row r="67" spans="1:30" ht="24" customHeight="1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>
      <c r="B69" s="211" t="s">
        <v>1790</v>
      </c>
      <c r="C69" s="42" t="s">
        <v>1791</v>
      </c>
      <c r="D69" s="42"/>
      <c r="E69" s="398">
        <f>VLOOKUP(B52,Schlüssel!$A$5:$DZ$12,43)</f>
        <v>8</v>
      </c>
      <c r="F69" s="398"/>
      <c r="G69" s="398">
        <f>VLOOKUP(B52,Schlüssel!$A$5:$DZ$12,44)</f>
        <v>2</v>
      </c>
      <c r="H69" s="398"/>
      <c r="I69" s="398">
        <f>VLOOKUP(B52,Schlüssel!$A$5:$DZ$12,45)</f>
        <v>5</v>
      </c>
      <c r="J69" s="398"/>
      <c r="K69" s="398">
        <f>VLOOKUP(B52,Schlüssel!$A$5:$DZ$12,46)</f>
        <v>4</v>
      </c>
      <c r="L69" s="398"/>
      <c r="M69" s="398">
        <f>VLOOKUP(B52,Schlüssel!$A$5:$DZ$12,47)</f>
        <v>7</v>
      </c>
      <c r="N69" s="398"/>
      <c r="O69" s="399"/>
      <c r="P69" s="399"/>
    </row>
    <row r="70" spans="1:30" ht="28.5" customHeight="1">
      <c r="B70" s="4"/>
      <c r="C70" s="1"/>
      <c r="D70" s="1"/>
      <c r="E70" s="395" t="str">
        <f>VLOOKUP(E69,Schlüssel!$A$5:$K$12,2)</f>
        <v>EMAX 1</v>
      </c>
      <c r="F70" s="396"/>
      <c r="G70" s="395" t="str">
        <f>VLOOKUP(G69,Schlüssel!$A$5:$K$12,2)</f>
        <v>Highroller Rosenheim 1</v>
      </c>
      <c r="H70" s="396"/>
      <c r="I70" s="395" t="str">
        <f>VLOOKUP(I69,Schlüssel!$A$5:$K$12,2)</f>
        <v>Berchtesgaden 1</v>
      </c>
      <c r="J70" s="396"/>
      <c r="K70" s="395" t="str">
        <f>VLOOKUP(K69,Schlüssel!$A$5:$K$12,2)</f>
        <v>Highroller Rosenheim 3</v>
      </c>
      <c r="L70" s="396"/>
      <c r="M70" s="395" t="str">
        <f>VLOOKUP(M69,Schlüssel!$A$5:$K$12,2)</f>
        <v>BK München 1</v>
      </c>
      <c r="N70" s="396"/>
      <c r="O70" s="397"/>
      <c r="P70" s="397"/>
    </row>
    <row r="71" spans="1:30" ht="12" customHeight="1">
      <c r="B71" s="4"/>
      <c r="C71" s="1"/>
      <c r="D71" s="1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53"/>
      <c r="P71" s="353"/>
    </row>
    <row r="72" spans="1:30" ht="16.2" customHeight="1">
      <c r="B72" s="39" t="s">
        <v>0</v>
      </c>
      <c r="C72" s="40"/>
      <c r="D72" s="40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3"/>
      <c r="P72" s="393"/>
    </row>
    <row r="73" spans="1:30" ht="16.2" customHeight="1">
      <c r="B73" s="39" t="s">
        <v>2</v>
      </c>
      <c r="C73" s="40"/>
      <c r="D73" s="40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3"/>
      <c r="P73" s="393"/>
    </row>
    <row r="74" spans="1:30" ht="16.2" customHeight="1">
      <c r="B74" s="39" t="s">
        <v>3</v>
      </c>
      <c r="C74" s="40"/>
      <c r="D74" s="40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3"/>
      <c r="P74" s="393"/>
    </row>
    <row r="75" spans="1:30" ht="15.75" customHeight="1">
      <c r="B75" s="41" t="s">
        <v>1792</v>
      </c>
      <c r="C75" s="42"/>
      <c r="D75" s="42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41"/>
      <c r="P75" s="341"/>
    </row>
    <row r="76" spans="1:30" ht="21" customHeight="1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6">
        <f>Schlüssel!$BA$1</f>
        <v>45752</v>
      </c>
      <c r="N76" s="406"/>
      <c r="O76" s="406"/>
      <c r="AD76" s="76"/>
    </row>
    <row r="77" spans="1:30" ht="17.25" customHeight="1" thickBot="1">
      <c r="A77" s="53"/>
      <c r="B77" s="54">
        <f>+B52+1</f>
        <v>4</v>
      </c>
      <c r="C77" s="35" t="s">
        <v>1787</v>
      </c>
      <c r="D77" s="35"/>
      <c r="E77" s="72" t="str">
        <f>Schlüssel!$AQ$2</f>
        <v>München Hollywood Super Bowling</v>
      </c>
      <c r="G77" s="66"/>
      <c r="H77" s="66"/>
      <c r="I77" s="66"/>
      <c r="J77" s="66"/>
      <c r="L77" s="66"/>
      <c r="M77" s="34" t="s">
        <v>1785</v>
      </c>
      <c r="N77" s="38">
        <v>3</v>
      </c>
      <c r="O77" s="33"/>
      <c r="AD77" s="77"/>
    </row>
    <row r="78" spans="1:30" ht="15.75" customHeight="1" thickBot="1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3.8" thickBot="1">
      <c r="A79" s="6"/>
      <c r="B79" s="7"/>
      <c r="C79" s="43"/>
      <c r="D79" s="43"/>
      <c r="E79" s="47" t="s">
        <v>10</v>
      </c>
      <c r="F79" s="7">
        <f>VLOOKUP(B77,Schlüssel!$A$5:$DZ$12,53)</f>
        <v>17</v>
      </c>
      <c r="G79" s="51" t="s">
        <v>10</v>
      </c>
      <c r="H79" s="7">
        <f>VLOOKUP(B77,Schlüssel!$A$5:$DZ$12,54)</f>
        <v>13</v>
      </c>
      <c r="I79" s="51" t="s">
        <v>10</v>
      </c>
      <c r="J79" s="7">
        <f>VLOOKUP(B77,Schlüssel!$A$5:$DZ$12,55)</f>
        <v>19</v>
      </c>
      <c r="K79" s="51" t="s">
        <v>10</v>
      </c>
      <c r="L79" s="7">
        <f>VLOOKUP(B77,Schlüssel!$A$5:$DZ$12,56)</f>
        <v>18</v>
      </c>
      <c r="M79" s="51" t="s">
        <v>10</v>
      </c>
      <c r="N79" s="57">
        <f>VLOOKUP(B77,Schlüssel!$A$5:$DZ$12,57)</f>
        <v>15</v>
      </c>
    </row>
    <row r="80" spans="1:30" ht="20.25" customHeight="1">
      <c r="B80" s="44" t="s">
        <v>1</v>
      </c>
      <c r="C80" s="45"/>
      <c r="D80" s="45"/>
      <c r="E80" s="407" t="s">
        <v>1793</v>
      </c>
      <c r="F80" s="408"/>
      <c r="G80" s="407" t="s">
        <v>1794</v>
      </c>
      <c r="H80" s="408"/>
      <c r="I80" s="407" t="s">
        <v>1795</v>
      </c>
      <c r="J80" s="408"/>
      <c r="K80" s="407" t="s">
        <v>1796</v>
      </c>
      <c r="L80" s="408"/>
      <c r="M80" s="407" t="s">
        <v>1797</v>
      </c>
      <c r="N80" s="408"/>
      <c r="O80" s="409" t="s">
        <v>1792</v>
      </c>
      <c r="P80" s="410"/>
    </row>
    <row r="81" spans="1:16" ht="15" customHeight="1" thickBot="1">
      <c r="B81" s="9" t="s">
        <v>1798</v>
      </c>
      <c r="C81" s="48" t="s">
        <v>1799</v>
      </c>
      <c r="D81" s="48" t="s">
        <v>2264</v>
      </c>
      <c r="E81" s="464" t="s">
        <v>1800</v>
      </c>
      <c r="F81" s="465"/>
      <c r="G81" s="464" t="s">
        <v>1800</v>
      </c>
      <c r="H81" s="465"/>
      <c r="I81" s="464" t="s">
        <v>1800</v>
      </c>
      <c r="J81" s="465"/>
      <c r="K81" s="464" t="s">
        <v>1800</v>
      </c>
      <c r="L81" s="465"/>
      <c r="M81" s="464" t="s">
        <v>1800</v>
      </c>
      <c r="N81" s="465"/>
      <c r="O81" s="464" t="s">
        <v>1800</v>
      </c>
      <c r="P81" s="465"/>
    </row>
    <row r="82" spans="1:16" ht="16.95" customHeight="1">
      <c r="A82" s="403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58"/>
      <c r="F82" s="459"/>
      <c r="G82" s="458"/>
      <c r="H82" s="459"/>
      <c r="I82" s="458"/>
      <c r="J82" s="459"/>
      <c r="K82" s="458"/>
      <c r="L82" s="459"/>
      <c r="M82" s="458"/>
      <c r="N82" s="459"/>
      <c r="O82" s="458"/>
      <c r="P82" s="459"/>
    </row>
    <row r="83" spans="1:16" ht="16.95" customHeight="1">
      <c r="A83" s="404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60"/>
      <c r="F83" s="461"/>
      <c r="G83" s="460"/>
      <c r="H83" s="461"/>
      <c r="I83" s="460"/>
      <c r="J83" s="461"/>
      <c r="K83" s="460"/>
      <c r="L83" s="461"/>
      <c r="M83" s="460"/>
      <c r="N83" s="461"/>
      <c r="O83" s="460"/>
      <c r="P83" s="461"/>
    </row>
    <row r="84" spans="1:16" ht="16.95" customHeight="1" thickBot="1">
      <c r="A84" s="405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62"/>
      <c r="F84" s="463"/>
      <c r="G84" s="462"/>
      <c r="H84" s="463"/>
      <c r="I84" s="462"/>
      <c r="J84" s="463"/>
      <c r="K84" s="462"/>
      <c r="L84" s="463"/>
      <c r="M84" s="462"/>
      <c r="N84" s="463"/>
      <c r="O84" s="462"/>
      <c r="P84" s="463"/>
    </row>
    <row r="85" spans="1:16" ht="16.95" customHeight="1">
      <c r="A85" s="403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58"/>
      <c r="F85" s="459"/>
      <c r="G85" s="458"/>
      <c r="H85" s="459"/>
      <c r="I85" s="458"/>
      <c r="J85" s="459"/>
      <c r="K85" s="458"/>
      <c r="L85" s="459"/>
      <c r="M85" s="458"/>
      <c r="N85" s="459"/>
      <c r="O85" s="458"/>
      <c r="P85" s="459"/>
    </row>
    <row r="86" spans="1:16" ht="16.95" customHeight="1">
      <c r="A86" s="404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60"/>
      <c r="F86" s="461"/>
      <c r="G86" s="460"/>
      <c r="H86" s="461"/>
      <c r="I86" s="460"/>
      <c r="J86" s="461"/>
      <c r="K86" s="460"/>
      <c r="L86" s="461"/>
      <c r="M86" s="460"/>
      <c r="N86" s="461"/>
      <c r="O86" s="460"/>
      <c r="P86" s="461"/>
    </row>
    <row r="87" spans="1:16" ht="16.95" customHeight="1" thickBot="1">
      <c r="A87" s="405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62"/>
      <c r="F87" s="463"/>
      <c r="G87" s="462"/>
      <c r="H87" s="463"/>
      <c r="I87" s="462"/>
      <c r="J87" s="463"/>
      <c r="K87" s="462"/>
      <c r="L87" s="463"/>
      <c r="M87" s="462"/>
      <c r="N87" s="463"/>
      <c r="O87" s="462"/>
      <c r="P87" s="463"/>
    </row>
    <row r="88" spans="1:16" ht="16.95" customHeight="1">
      <c r="A88" s="403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58"/>
      <c r="F88" s="459"/>
      <c r="G88" s="458"/>
      <c r="H88" s="459"/>
      <c r="I88" s="458"/>
      <c r="J88" s="459"/>
      <c r="K88" s="458"/>
      <c r="L88" s="459"/>
      <c r="M88" s="458"/>
      <c r="N88" s="459"/>
      <c r="O88" s="458"/>
      <c r="P88" s="459"/>
    </row>
    <row r="89" spans="1:16" ht="16.95" customHeight="1">
      <c r="A89" s="404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60"/>
      <c r="F89" s="461"/>
      <c r="G89" s="460"/>
      <c r="H89" s="461"/>
      <c r="I89" s="460"/>
      <c r="J89" s="461"/>
      <c r="K89" s="460"/>
      <c r="L89" s="461"/>
      <c r="M89" s="460"/>
      <c r="N89" s="461"/>
      <c r="O89" s="460"/>
      <c r="P89" s="461"/>
    </row>
    <row r="90" spans="1:16" ht="16.95" customHeight="1" thickBot="1">
      <c r="A90" s="405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62"/>
      <c r="F90" s="463"/>
      <c r="G90" s="462"/>
      <c r="H90" s="463"/>
      <c r="I90" s="462"/>
      <c r="J90" s="463"/>
      <c r="K90" s="462"/>
      <c r="L90" s="463"/>
      <c r="M90" s="462"/>
      <c r="N90" s="463"/>
      <c r="O90" s="462"/>
      <c r="P90" s="463"/>
    </row>
    <row r="91" spans="1:16" ht="27.75" customHeight="1" thickBot="1">
      <c r="B91" s="11"/>
      <c r="C91" s="25"/>
      <c r="D91" s="204"/>
      <c r="E91" s="456"/>
      <c r="F91" s="457"/>
      <c r="G91" s="456"/>
      <c r="H91" s="457"/>
      <c r="I91" s="456"/>
      <c r="J91" s="457"/>
      <c r="K91" s="456"/>
      <c r="L91" s="457"/>
      <c r="M91" s="456"/>
      <c r="N91" s="457"/>
      <c r="O91" s="456"/>
      <c r="P91" s="457"/>
    </row>
    <row r="92" spans="1:16" ht="24" customHeight="1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>
      <c r="B94" s="211" t="s">
        <v>1790</v>
      </c>
      <c r="C94" s="42" t="s">
        <v>1791</v>
      </c>
      <c r="D94" s="42"/>
      <c r="E94" s="398">
        <f>VLOOKUP(B77,Schlüssel!$A$5:$DZ$12,43)</f>
        <v>6</v>
      </c>
      <c r="F94" s="398"/>
      <c r="G94" s="398">
        <f>VLOOKUP(B77,Schlüssel!$A$5:$DZ$12,44)</f>
        <v>1</v>
      </c>
      <c r="H94" s="398"/>
      <c r="I94" s="398">
        <f>VLOOKUP(B77,Schlüssel!$A$5:$DZ$12,45)</f>
        <v>7</v>
      </c>
      <c r="J94" s="398"/>
      <c r="K94" s="398">
        <f>VLOOKUP(B77,Schlüssel!$A$5:$DZ$12,46)</f>
        <v>3</v>
      </c>
      <c r="L94" s="398"/>
      <c r="M94" s="398">
        <f>VLOOKUP(B77,Schlüssel!$A$5:$DZ$12,47)</f>
        <v>5</v>
      </c>
      <c r="N94" s="398"/>
      <c r="O94" s="399"/>
      <c r="P94" s="399"/>
    </row>
    <row r="95" spans="1:16" ht="28.5" customHeight="1">
      <c r="B95" s="4"/>
      <c r="C95" s="1"/>
      <c r="D95" s="1"/>
      <c r="E95" s="395" t="str">
        <f>VLOOKUP(E94,Schlüssel!$A$5:$K$12,2)</f>
        <v>Bowling Jugend Bayern 1</v>
      </c>
      <c r="F95" s="396"/>
      <c r="G95" s="395" t="str">
        <f>VLOOKUP(G94,Schlüssel!$A$5:$K$12,2)</f>
        <v>Bad Tölz 1</v>
      </c>
      <c r="H95" s="396"/>
      <c r="I95" s="395" t="str">
        <f>VLOOKUP(I94,Schlüssel!$A$5:$K$12,2)</f>
        <v>BK München 1</v>
      </c>
      <c r="J95" s="396"/>
      <c r="K95" s="395" t="str">
        <f>VLOOKUP(K94,Schlüssel!$A$5:$K$12,2)</f>
        <v>Highroller Rosenheim 2</v>
      </c>
      <c r="L95" s="396"/>
      <c r="M95" s="395" t="str">
        <f>VLOOKUP(M94,Schlüssel!$A$5:$K$12,2)</f>
        <v>Berchtesgaden 1</v>
      </c>
      <c r="N95" s="396"/>
      <c r="O95" s="397"/>
      <c r="P95" s="397"/>
    </row>
    <row r="96" spans="1:16" ht="12" customHeight="1">
      <c r="B96" s="4"/>
      <c r="C96" s="1"/>
      <c r="D96" s="1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53"/>
      <c r="P96" s="353"/>
    </row>
    <row r="97" spans="1:30" ht="16.2" customHeight="1">
      <c r="B97" s="39" t="s">
        <v>0</v>
      </c>
      <c r="C97" s="40"/>
      <c r="D97" s="40"/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393"/>
      <c r="P97" s="393"/>
    </row>
    <row r="98" spans="1:30" ht="16.2" customHeight="1">
      <c r="B98" s="39" t="s">
        <v>2</v>
      </c>
      <c r="C98" s="40"/>
      <c r="D98" s="40"/>
      <c r="E98" s="392"/>
      <c r="F98" s="392"/>
      <c r="G98" s="392"/>
      <c r="H98" s="392"/>
      <c r="I98" s="392"/>
      <c r="J98" s="392"/>
      <c r="K98" s="392"/>
      <c r="L98" s="392"/>
      <c r="M98" s="392"/>
      <c r="N98" s="392"/>
      <c r="O98" s="393"/>
      <c r="P98" s="393"/>
    </row>
    <row r="99" spans="1:30" ht="16.2" customHeight="1">
      <c r="B99" s="39" t="s">
        <v>3</v>
      </c>
      <c r="C99" s="40"/>
      <c r="D99" s="40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3"/>
      <c r="P99" s="393"/>
    </row>
    <row r="100" spans="1:30" ht="15.75" customHeight="1">
      <c r="B100" s="41" t="s">
        <v>1792</v>
      </c>
      <c r="C100" s="42"/>
      <c r="D100" s="42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41"/>
      <c r="P100" s="341"/>
    </row>
    <row r="101" spans="1:30" ht="21" customHeight="1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6">
        <f>Schlüssel!$BA$1</f>
        <v>45752</v>
      </c>
      <c r="N101" s="406"/>
      <c r="O101" s="406"/>
      <c r="AD101" s="76"/>
    </row>
    <row r="102" spans="1:30" ht="17.25" customHeight="1" thickBot="1">
      <c r="A102" s="53"/>
      <c r="B102" s="54">
        <f>+B77+1</f>
        <v>5</v>
      </c>
      <c r="C102" s="35" t="s">
        <v>1787</v>
      </c>
      <c r="D102" s="35"/>
      <c r="E102" s="72" t="str">
        <f>Schlüssel!$AQ$2</f>
        <v>München Hollywood Super Bowling</v>
      </c>
      <c r="G102" s="66"/>
      <c r="H102" s="66"/>
      <c r="I102" s="66"/>
      <c r="J102" s="66"/>
      <c r="L102" s="66"/>
      <c r="M102" s="34" t="s">
        <v>1785</v>
      </c>
      <c r="N102" s="38">
        <v>3</v>
      </c>
      <c r="O102" s="33"/>
      <c r="AD102" s="77"/>
    </row>
    <row r="103" spans="1:30" ht="15.75" customHeight="1" thickBot="1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3.8" thickBot="1">
      <c r="A104" s="6"/>
      <c r="B104" s="7"/>
      <c r="C104" s="43"/>
      <c r="D104" s="43"/>
      <c r="E104" s="47" t="s">
        <v>10</v>
      </c>
      <c r="F104" s="7">
        <f>VLOOKUP(B102,Schlüssel!$A$5:$DZ$12,53)</f>
        <v>15</v>
      </c>
      <c r="G104" s="51" t="s">
        <v>10</v>
      </c>
      <c r="H104" s="7">
        <f>VLOOKUP(B102,Schlüssel!$A$5:$DZ$12,54)</f>
        <v>18</v>
      </c>
      <c r="I104" s="51" t="s">
        <v>10</v>
      </c>
      <c r="J104" s="7">
        <f>VLOOKUP(B102,Schlüssel!$A$5:$DZ$12,55)</f>
        <v>16</v>
      </c>
      <c r="K104" s="51" t="s">
        <v>10</v>
      </c>
      <c r="L104" s="7">
        <f>VLOOKUP(B102,Schlüssel!$A$5:$DZ$12,56)</f>
        <v>13</v>
      </c>
      <c r="M104" s="51" t="s">
        <v>10</v>
      </c>
      <c r="N104" s="57">
        <f>VLOOKUP(B102,Schlüssel!$A$5:$DZ$12,57)</f>
        <v>16</v>
      </c>
    </row>
    <row r="105" spans="1:30" ht="20.25" customHeight="1">
      <c r="B105" s="44" t="s">
        <v>1</v>
      </c>
      <c r="C105" s="45"/>
      <c r="D105" s="45"/>
      <c r="E105" s="407" t="s">
        <v>1793</v>
      </c>
      <c r="F105" s="408"/>
      <c r="G105" s="407" t="s">
        <v>1794</v>
      </c>
      <c r="H105" s="408"/>
      <c r="I105" s="407" t="s">
        <v>1795</v>
      </c>
      <c r="J105" s="408"/>
      <c r="K105" s="407" t="s">
        <v>1796</v>
      </c>
      <c r="L105" s="408"/>
      <c r="M105" s="407" t="s">
        <v>1797</v>
      </c>
      <c r="N105" s="408"/>
      <c r="O105" s="409" t="s">
        <v>1792</v>
      </c>
      <c r="P105" s="410"/>
    </row>
    <row r="106" spans="1:30" ht="15" customHeight="1" thickBot="1">
      <c r="B106" s="9" t="s">
        <v>1798</v>
      </c>
      <c r="C106" s="48" t="s">
        <v>1799</v>
      </c>
      <c r="D106" s="48" t="s">
        <v>2264</v>
      </c>
      <c r="E106" s="464" t="s">
        <v>1800</v>
      </c>
      <c r="F106" s="465"/>
      <c r="G106" s="464" t="s">
        <v>1800</v>
      </c>
      <c r="H106" s="465"/>
      <c r="I106" s="464" t="s">
        <v>1800</v>
      </c>
      <c r="J106" s="465"/>
      <c r="K106" s="464" t="s">
        <v>1800</v>
      </c>
      <c r="L106" s="465"/>
      <c r="M106" s="464" t="s">
        <v>1800</v>
      </c>
      <c r="N106" s="465"/>
      <c r="O106" s="464" t="s">
        <v>1800</v>
      </c>
      <c r="P106" s="465"/>
    </row>
    <row r="107" spans="1:30" ht="16.95" customHeight="1">
      <c r="A107" s="403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58"/>
      <c r="F107" s="459"/>
      <c r="G107" s="458"/>
      <c r="H107" s="459"/>
      <c r="I107" s="458"/>
      <c r="J107" s="459"/>
      <c r="K107" s="458"/>
      <c r="L107" s="459"/>
      <c r="M107" s="458"/>
      <c r="N107" s="459"/>
      <c r="O107" s="458"/>
      <c r="P107" s="459"/>
    </row>
    <row r="108" spans="1:30" ht="16.95" customHeight="1">
      <c r="A108" s="404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60"/>
      <c r="F108" s="461"/>
      <c r="G108" s="460"/>
      <c r="H108" s="461"/>
      <c r="I108" s="460"/>
      <c r="J108" s="461"/>
      <c r="K108" s="460"/>
      <c r="L108" s="461"/>
      <c r="M108" s="460"/>
      <c r="N108" s="461"/>
      <c r="O108" s="460"/>
      <c r="P108" s="461"/>
    </row>
    <row r="109" spans="1:30" ht="16.95" customHeight="1" thickBot="1">
      <c r="A109" s="405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62"/>
      <c r="F109" s="463"/>
      <c r="G109" s="462"/>
      <c r="H109" s="463"/>
      <c r="I109" s="462"/>
      <c r="J109" s="463"/>
      <c r="K109" s="462"/>
      <c r="L109" s="463"/>
      <c r="M109" s="462"/>
      <c r="N109" s="463"/>
      <c r="O109" s="462"/>
      <c r="P109" s="463"/>
    </row>
    <row r="110" spans="1:30" ht="16.95" customHeight="1">
      <c r="A110" s="403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58"/>
      <c r="F110" s="459"/>
      <c r="G110" s="458"/>
      <c r="H110" s="459"/>
      <c r="I110" s="458"/>
      <c r="J110" s="459"/>
      <c r="K110" s="458"/>
      <c r="L110" s="459"/>
      <c r="M110" s="458"/>
      <c r="N110" s="459"/>
      <c r="O110" s="458"/>
      <c r="P110" s="459"/>
    </row>
    <row r="111" spans="1:30" ht="16.95" customHeight="1">
      <c r="A111" s="404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60"/>
      <c r="F111" s="461"/>
      <c r="G111" s="460"/>
      <c r="H111" s="461"/>
      <c r="I111" s="460"/>
      <c r="J111" s="461"/>
      <c r="K111" s="460"/>
      <c r="L111" s="461"/>
      <c r="M111" s="460"/>
      <c r="N111" s="461"/>
      <c r="O111" s="460"/>
      <c r="P111" s="461"/>
    </row>
    <row r="112" spans="1:30" ht="16.95" customHeight="1" thickBot="1">
      <c r="A112" s="405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62"/>
      <c r="F112" s="463"/>
      <c r="G112" s="462"/>
      <c r="H112" s="463"/>
      <c r="I112" s="462"/>
      <c r="J112" s="463"/>
      <c r="K112" s="462"/>
      <c r="L112" s="463"/>
      <c r="M112" s="462"/>
      <c r="N112" s="463"/>
      <c r="O112" s="462"/>
      <c r="P112" s="463"/>
    </row>
    <row r="113" spans="1:30" ht="16.95" customHeight="1">
      <c r="A113" s="403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58"/>
      <c r="F113" s="459"/>
      <c r="G113" s="458"/>
      <c r="H113" s="459"/>
      <c r="I113" s="458"/>
      <c r="J113" s="459"/>
      <c r="K113" s="458"/>
      <c r="L113" s="459"/>
      <c r="M113" s="458"/>
      <c r="N113" s="459"/>
      <c r="O113" s="458"/>
      <c r="P113" s="459"/>
    </row>
    <row r="114" spans="1:30" ht="16.95" customHeight="1">
      <c r="A114" s="404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60"/>
      <c r="F114" s="461"/>
      <c r="G114" s="460"/>
      <c r="H114" s="461"/>
      <c r="I114" s="460"/>
      <c r="J114" s="461"/>
      <c r="K114" s="460"/>
      <c r="L114" s="461"/>
      <c r="M114" s="460"/>
      <c r="N114" s="461"/>
      <c r="O114" s="460"/>
      <c r="P114" s="461"/>
    </row>
    <row r="115" spans="1:30" ht="16.95" customHeight="1" thickBot="1">
      <c r="A115" s="405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62"/>
      <c r="F115" s="463"/>
      <c r="G115" s="462"/>
      <c r="H115" s="463"/>
      <c r="I115" s="462"/>
      <c r="J115" s="463"/>
      <c r="K115" s="462"/>
      <c r="L115" s="463"/>
      <c r="M115" s="462"/>
      <c r="N115" s="463"/>
      <c r="O115" s="462"/>
      <c r="P115" s="463"/>
    </row>
    <row r="116" spans="1:30" ht="27.75" customHeight="1" thickBot="1">
      <c r="B116" s="11"/>
      <c r="C116" s="25"/>
      <c r="D116" s="204"/>
      <c r="E116" s="456"/>
      <c r="F116" s="457"/>
      <c r="G116" s="456"/>
      <c r="H116" s="457"/>
      <c r="I116" s="456"/>
      <c r="J116" s="457"/>
      <c r="K116" s="456"/>
      <c r="L116" s="457"/>
      <c r="M116" s="456"/>
      <c r="N116" s="457"/>
      <c r="O116" s="456"/>
      <c r="P116" s="457"/>
    </row>
    <row r="117" spans="1:30" ht="24" customHeight="1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>
      <c r="B119" s="211" t="s">
        <v>1790</v>
      </c>
      <c r="C119" s="42" t="s">
        <v>1791</v>
      </c>
      <c r="D119" s="42"/>
      <c r="E119" s="398">
        <f>VLOOKUP(B102,Schlüssel!$A$5:$DZ$12,43)</f>
        <v>2</v>
      </c>
      <c r="F119" s="398"/>
      <c r="G119" s="398">
        <f>VLOOKUP(B102,Schlüssel!$A$5:$DZ$12,44)</f>
        <v>8</v>
      </c>
      <c r="H119" s="398"/>
      <c r="I119" s="398">
        <f>VLOOKUP(B102,Schlüssel!$A$5:$DZ$12,45)</f>
        <v>3</v>
      </c>
      <c r="J119" s="398"/>
      <c r="K119" s="398">
        <f>VLOOKUP(B102,Schlüssel!$A$5:$DZ$12,46)</f>
        <v>6</v>
      </c>
      <c r="L119" s="398"/>
      <c r="M119" s="398">
        <f>VLOOKUP(B102,Schlüssel!$A$5:$DZ$12,47)</f>
        <v>4</v>
      </c>
      <c r="N119" s="398"/>
      <c r="O119" s="399"/>
      <c r="P119" s="399"/>
    </row>
    <row r="120" spans="1:30" ht="28.5" customHeight="1">
      <c r="B120" s="4"/>
      <c r="C120" s="1"/>
      <c r="D120" s="1"/>
      <c r="E120" s="395" t="str">
        <f>VLOOKUP(E119,Schlüssel!$A$5:$K$12,2)</f>
        <v>Highroller Rosenheim 1</v>
      </c>
      <c r="F120" s="396"/>
      <c r="G120" s="395" t="str">
        <f>VLOOKUP(G119,Schlüssel!$A$5:$K$12,2)</f>
        <v>EMAX 1</v>
      </c>
      <c r="H120" s="396"/>
      <c r="I120" s="395" t="str">
        <f>VLOOKUP(I119,Schlüssel!$A$5:$K$12,2)</f>
        <v>Highroller Rosenheim 2</v>
      </c>
      <c r="J120" s="396"/>
      <c r="K120" s="395" t="str">
        <f>VLOOKUP(K119,Schlüssel!$A$5:$K$12,2)</f>
        <v>Bowling Jugend Bayern 1</v>
      </c>
      <c r="L120" s="396"/>
      <c r="M120" s="395" t="str">
        <f>VLOOKUP(M119,Schlüssel!$A$5:$K$12,2)</f>
        <v>Highroller Rosenheim 3</v>
      </c>
      <c r="N120" s="396"/>
      <c r="O120" s="397"/>
      <c r="P120" s="397"/>
    </row>
    <row r="121" spans="1:30" ht="12" customHeight="1">
      <c r="B121" s="4"/>
      <c r="C121" s="1"/>
      <c r="D121" s="1"/>
      <c r="E121" s="394"/>
      <c r="F121" s="394"/>
      <c r="G121" s="394"/>
      <c r="H121" s="394"/>
      <c r="I121" s="394"/>
      <c r="J121" s="394"/>
      <c r="K121" s="394"/>
      <c r="L121" s="394"/>
      <c r="M121" s="394"/>
      <c r="N121" s="394"/>
      <c r="O121" s="353"/>
      <c r="P121" s="353"/>
    </row>
    <row r="122" spans="1:30" ht="16.2" customHeight="1">
      <c r="B122" s="39" t="s">
        <v>0</v>
      </c>
      <c r="C122" s="40"/>
      <c r="D122" s="40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3"/>
      <c r="P122" s="393"/>
    </row>
    <row r="123" spans="1:30" ht="16.2" customHeight="1">
      <c r="B123" s="39" t="s">
        <v>2</v>
      </c>
      <c r="C123" s="40"/>
      <c r="D123" s="40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3"/>
      <c r="P123" s="393"/>
    </row>
    <row r="124" spans="1:30" ht="16.2" customHeight="1">
      <c r="B124" s="39" t="s">
        <v>3</v>
      </c>
      <c r="C124" s="40"/>
      <c r="D124" s="40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3"/>
      <c r="P124" s="393"/>
    </row>
    <row r="125" spans="1:30" ht="15.75" customHeight="1">
      <c r="B125" s="41" t="s">
        <v>1792</v>
      </c>
      <c r="C125" s="42"/>
      <c r="D125" s="42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41"/>
      <c r="P125" s="341"/>
    </row>
    <row r="126" spans="1:30" ht="21" customHeight="1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6">
        <f>Schlüssel!$BA$1</f>
        <v>45752</v>
      </c>
      <c r="N126" s="406"/>
      <c r="O126" s="406"/>
      <c r="AD126" s="76"/>
    </row>
    <row r="127" spans="1:30" ht="17.25" customHeight="1" thickBot="1">
      <c r="A127" s="53"/>
      <c r="B127" s="54">
        <f>+B102+1</f>
        <v>6</v>
      </c>
      <c r="C127" s="35" t="s">
        <v>1787</v>
      </c>
      <c r="D127" s="35"/>
      <c r="E127" s="72" t="str">
        <f>Schlüssel!$AQ$2</f>
        <v>München Hollywood Super Bowling</v>
      </c>
      <c r="G127" s="66"/>
      <c r="H127" s="66"/>
      <c r="I127" s="66"/>
      <c r="J127" s="66"/>
      <c r="L127" s="66"/>
      <c r="M127" s="34" t="s">
        <v>1785</v>
      </c>
      <c r="N127" s="38">
        <v>3</v>
      </c>
      <c r="O127" s="33"/>
      <c r="AD127" s="77"/>
    </row>
    <row r="128" spans="1:30" ht="15.75" customHeight="1" thickBot="1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3.8" thickBot="1">
      <c r="A129" s="6"/>
      <c r="B129" s="7"/>
      <c r="C129" s="43"/>
      <c r="D129" s="43"/>
      <c r="E129" s="47" t="s">
        <v>10</v>
      </c>
      <c r="F129" s="7">
        <f>VLOOKUP(B127,Schlüssel!$A$5:$DZ$12,53)</f>
        <v>18</v>
      </c>
      <c r="G129" s="51" t="s">
        <v>10</v>
      </c>
      <c r="H129" s="7">
        <f>VLOOKUP(B127,Schlüssel!$A$5:$DZ$12,54)</f>
        <v>15</v>
      </c>
      <c r="I129" s="51" t="s">
        <v>10</v>
      </c>
      <c r="J129" s="7">
        <f>VLOOKUP(B127,Schlüssel!$A$5:$DZ$12,55)</f>
        <v>17</v>
      </c>
      <c r="K129" s="51" t="s">
        <v>10</v>
      </c>
      <c r="L129" s="7">
        <f>VLOOKUP(B127,Schlüssel!$A$5:$DZ$12,56)</f>
        <v>14</v>
      </c>
      <c r="M129" s="51" t="s">
        <v>10</v>
      </c>
      <c r="N129" s="57">
        <f>VLOOKUP(B127,Schlüssel!$A$5:$DZ$12,57)</f>
        <v>17</v>
      </c>
    </row>
    <row r="130" spans="1:16" ht="20.25" customHeight="1">
      <c r="B130" s="44" t="s">
        <v>1</v>
      </c>
      <c r="C130" s="45"/>
      <c r="D130" s="45"/>
      <c r="E130" s="407" t="s">
        <v>1793</v>
      </c>
      <c r="F130" s="408"/>
      <c r="G130" s="407" t="s">
        <v>1794</v>
      </c>
      <c r="H130" s="408"/>
      <c r="I130" s="407" t="s">
        <v>1795</v>
      </c>
      <c r="J130" s="408"/>
      <c r="K130" s="407" t="s">
        <v>1796</v>
      </c>
      <c r="L130" s="408"/>
      <c r="M130" s="407" t="s">
        <v>1797</v>
      </c>
      <c r="N130" s="408"/>
      <c r="O130" s="409" t="s">
        <v>1792</v>
      </c>
      <c r="P130" s="410"/>
    </row>
    <row r="131" spans="1:16" ht="15" customHeight="1" thickBot="1">
      <c r="B131" s="9" t="s">
        <v>1798</v>
      </c>
      <c r="C131" s="48" t="s">
        <v>1799</v>
      </c>
      <c r="D131" s="48" t="s">
        <v>2264</v>
      </c>
      <c r="E131" s="464" t="s">
        <v>1800</v>
      </c>
      <c r="F131" s="465"/>
      <c r="G131" s="464" t="s">
        <v>1800</v>
      </c>
      <c r="H131" s="465"/>
      <c r="I131" s="464" t="s">
        <v>1800</v>
      </c>
      <c r="J131" s="465"/>
      <c r="K131" s="464" t="s">
        <v>1800</v>
      </c>
      <c r="L131" s="465"/>
      <c r="M131" s="464" t="s">
        <v>1800</v>
      </c>
      <c r="N131" s="465"/>
      <c r="O131" s="464" t="s">
        <v>1800</v>
      </c>
      <c r="P131" s="465"/>
    </row>
    <row r="132" spans="1:16" ht="16.95" customHeight="1">
      <c r="A132" s="403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58"/>
      <c r="F132" s="459"/>
      <c r="G132" s="458"/>
      <c r="H132" s="459"/>
      <c r="I132" s="458"/>
      <c r="J132" s="459"/>
      <c r="K132" s="458"/>
      <c r="L132" s="459"/>
      <c r="M132" s="458"/>
      <c r="N132" s="459"/>
      <c r="O132" s="458"/>
      <c r="P132" s="459"/>
    </row>
    <row r="133" spans="1:16" ht="16.95" customHeight="1">
      <c r="A133" s="404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60"/>
      <c r="F133" s="461"/>
      <c r="G133" s="460"/>
      <c r="H133" s="461"/>
      <c r="I133" s="460"/>
      <c r="J133" s="461"/>
      <c r="K133" s="460"/>
      <c r="L133" s="461"/>
      <c r="M133" s="460"/>
      <c r="N133" s="461"/>
      <c r="O133" s="460"/>
      <c r="P133" s="461"/>
    </row>
    <row r="134" spans="1:16" ht="16.95" customHeight="1" thickBot="1">
      <c r="A134" s="405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62"/>
      <c r="F134" s="463"/>
      <c r="G134" s="462"/>
      <c r="H134" s="463"/>
      <c r="I134" s="462"/>
      <c r="J134" s="463"/>
      <c r="K134" s="462"/>
      <c r="L134" s="463"/>
      <c r="M134" s="462"/>
      <c r="N134" s="463"/>
      <c r="O134" s="462"/>
      <c r="P134" s="463"/>
    </row>
    <row r="135" spans="1:16" ht="16.95" customHeight="1">
      <c r="A135" s="403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58"/>
      <c r="F135" s="459"/>
      <c r="G135" s="458"/>
      <c r="H135" s="459"/>
      <c r="I135" s="458"/>
      <c r="J135" s="459"/>
      <c r="K135" s="458"/>
      <c r="L135" s="459"/>
      <c r="M135" s="458"/>
      <c r="N135" s="459"/>
      <c r="O135" s="458"/>
      <c r="P135" s="459"/>
    </row>
    <row r="136" spans="1:16" ht="16.95" customHeight="1">
      <c r="A136" s="404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60"/>
      <c r="F136" s="461"/>
      <c r="G136" s="460"/>
      <c r="H136" s="461"/>
      <c r="I136" s="460"/>
      <c r="J136" s="461"/>
      <c r="K136" s="460"/>
      <c r="L136" s="461"/>
      <c r="M136" s="460"/>
      <c r="N136" s="461"/>
      <c r="O136" s="460"/>
      <c r="P136" s="461"/>
    </row>
    <row r="137" spans="1:16" ht="16.95" customHeight="1" thickBot="1">
      <c r="A137" s="405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62"/>
      <c r="F137" s="463"/>
      <c r="G137" s="462"/>
      <c r="H137" s="463"/>
      <c r="I137" s="462"/>
      <c r="J137" s="463"/>
      <c r="K137" s="462"/>
      <c r="L137" s="463"/>
      <c r="M137" s="462"/>
      <c r="N137" s="463"/>
      <c r="O137" s="462"/>
      <c r="P137" s="463"/>
    </row>
    <row r="138" spans="1:16" ht="16.95" customHeight="1">
      <c r="A138" s="403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58"/>
      <c r="F138" s="459"/>
      <c r="G138" s="458"/>
      <c r="H138" s="459"/>
      <c r="I138" s="458"/>
      <c r="J138" s="459"/>
      <c r="K138" s="458"/>
      <c r="L138" s="459"/>
      <c r="M138" s="458"/>
      <c r="N138" s="459"/>
      <c r="O138" s="458"/>
      <c r="P138" s="459"/>
    </row>
    <row r="139" spans="1:16" ht="16.95" customHeight="1">
      <c r="A139" s="404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60"/>
      <c r="F139" s="461"/>
      <c r="G139" s="460"/>
      <c r="H139" s="461"/>
      <c r="I139" s="460"/>
      <c r="J139" s="461"/>
      <c r="K139" s="460"/>
      <c r="L139" s="461"/>
      <c r="M139" s="460"/>
      <c r="N139" s="461"/>
      <c r="O139" s="460"/>
      <c r="P139" s="461"/>
    </row>
    <row r="140" spans="1:16" ht="16.95" customHeight="1" thickBot="1">
      <c r="A140" s="405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62"/>
      <c r="F140" s="463"/>
      <c r="G140" s="462"/>
      <c r="H140" s="463"/>
      <c r="I140" s="462"/>
      <c r="J140" s="463"/>
      <c r="K140" s="462"/>
      <c r="L140" s="463"/>
      <c r="M140" s="462"/>
      <c r="N140" s="463"/>
      <c r="O140" s="462"/>
      <c r="P140" s="463"/>
    </row>
    <row r="141" spans="1:16" ht="27.75" customHeight="1" thickBot="1">
      <c r="B141" s="11"/>
      <c r="C141" s="25"/>
      <c r="D141" s="204"/>
      <c r="E141" s="456"/>
      <c r="F141" s="457"/>
      <c r="G141" s="456"/>
      <c r="H141" s="457"/>
      <c r="I141" s="456"/>
      <c r="J141" s="457"/>
      <c r="K141" s="456"/>
      <c r="L141" s="457"/>
      <c r="M141" s="456"/>
      <c r="N141" s="457"/>
      <c r="O141" s="456"/>
      <c r="P141" s="457"/>
    </row>
    <row r="142" spans="1:16" ht="24" customHeight="1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>
      <c r="B144" s="211" t="s">
        <v>1790</v>
      </c>
      <c r="C144" s="42" t="s">
        <v>1791</v>
      </c>
      <c r="D144" s="42"/>
      <c r="E144" s="398">
        <f>VLOOKUP(B127,Schlüssel!$A$5:$DZ$12,43)</f>
        <v>4</v>
      </c>
      <c r="F144" s="398"/>
      <c r="G144" s="398">
        <f>VLOOKUP(B127,Schlüssel!$A$5:$DZ$12,44)</f>
        <v>7</v>
      </c>
      <c r="H144" s="398"/>
      <c r="I144" s="398">
        <f>VLOOKUP(B127,Schlüssel!$A$5:$DZ$12,45)</f>
        <v>1</v>
      </c>
      <c r="J144" s="398"/>
      <c r="K144" s="398">
        <f>VLOOKUP(B127,Schlüssel!$A$5:$DZ$12,46)</f>
        <v>5</v>
      </c>
      <c r="L144" s="398"/>
      <c r="M144" s="398">
        <f>VLOOKUP(B127,Schlüssel!$A$5:$DZ$12,47)</f>
        <v>2</v>
      </c>
      <c r="N144" s="398"/>
      <c r="O144" s="399"/>
      <c r="P144" s="399"/>
    </row>
    <row r="145" spans="1:30" ht="28.5" customHeight="1">
      <c r="B145" s="4"/>
      <c r="C145" s="1"/>
      <c r="D145" s="1"/>
      <c r="E145" s="395" t="str">
        <f>VLOOKUP(E144,Schlüssel!$A$5:$K$12,2)</f>
        <v>Highroller Rosenheim 3</v>
      </c>
      <c r="F145" s="396"/>
      <c r="G145" s="395" t="str">
        <f>VLOOKUP(G144,Schlüssel!$A$5:$K$12,2)</f>
        <v>BK München 1</v>
      </c>
      <c r="H145" s="396"/>
      <c r="I145" s="395" t="str">
        <f>VLOOKUP(I144,Schlüssel!$A$5:$K$12,2)</f>
        <v>Bad Tölz 1</v>
      </c>
      <c r="J145" s="396"/>
      <c r="K145" s="395" t="str">
        <f>VLOOKUP(K144,Schlüssel!$A$5:$K$12,2)</f>
        <v>Berchtesgaden 1</v>
      </c>
      <c r="L145" s="396"/>
      <c r="M145" s="395" t="str">
        <f>VLOOKUP(M144,Schlüssel!$A$5:$K$12,2)</f>
        <v>Highroller Rosenheim 1</v>
      </c>
      <c r="N145" s="396"/>
      <c r="O145" s="397"/>
      <c r="P145" s="397"/>
    </row>
    <row r="146" spans="1:30" ht="12" customHeight="1">
      <c r="B146" s="4"/>
      <c r="C146" s="1"/>
      <c r="D146" s="1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53"/>
      <c r="P146" s="353"/>
    </row>
    <row r="147" spans="1:30" ht="16.2" customHeight="1">
      <c r="B147" s="39" t="s">
        <v>0</v>
      </c>
      <c r="C147" s="40"/>
      <c r="D147" s="40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3"/>
      <c r="P147" s="393"/>
    </row>
    <row r="148" spans="1:30" ht="16.2" customHeight="1">
      <c r="B148" s="39" t="s">
        <v>2</v>
      </c>
      <c r="C148" s="40"/>
      <c r="D148" s="40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3"/>
      <c r="P148" s="393"/>
    </row>
    <row r="149" spans="1:30" ht="16.2" customHeight="1">
      <c r="B149" s="39" t="s">
        <v>3</v>
      </c>
      <c r="C149" s="40"/>
      <c r="D149" s="40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3"/>
      <c r="P149" s="393"/>
    </row>
    <row r="150" spans="1:30" ht="15.75" customHeight="1">
      <c r="B150" s="41" t="s">
        <v>1792</v>
      </c>
      <c r="C150" s="42"/>
      <c r="D150" s="42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41"/>
      <c r="P150" s="341"/>
    </row>
    <row r="151" spans="1:30" ht="21" customHeight="1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6">
        <f>Schlüssel!$BA$1</f>
        <v>45752</v>
      </c>
      <c r="N151" s="406"/>
      <c r="O151" s="406"/>
      <c r="AD151" s="76"/>
    </row>
    <row r="152" spans="1:30" ht="17.25" customHeight="1" thickBot="1">
      <c r="A152" s="53"/>
      <c r="B152" s="54">
        <f>+B127+1</f>
        <v>7</v>
      </c>
      <c r="C152" s="35" t="s">
        <v>1787</v>
      </c>
      <c r="D152" s="35"/>
      <c r="E152" s="72" t="str">
        <f>Schlüssel!$AQ$2</f>
        <v>München Hollywood Super Bowling</v>
      </c>
      <c r="G152" s="66"/>
      <c r="H152" s="66"/>
      <c r="I152" s="66"/>
      <c r="J152" s="66"/>
      <c r="L152" s="66"/>
      <c r="M152" s="34" t="s">
        <v>1785</v>
      </c>
      <c r="N152" s="38">
        <v>3</v>
      </c>
      <c r="O152" s="33"/>
      <c r="AD152" s="77"/>
    </row>
    <row r="153" spans="1:30" ht="15.75" customHeight="1" thickBot="1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3.8" thickBot="1">
      <c r="A154" s="6"/>
      <c r="B154" s="7"/>
      <c r="C154" s="43"/>
      <c r="D154" s="43"/>
      <c r="E154" s="47" t="s">
        <v>10</v>
      </c>
      <c r="F154" s="7">
        <f>VLOOKUP(B152,Schlüssel!$A$5:$DZ$12,53)</f>
        <v>19</v>
      </c>
      <c r="G154" s="51" t="s">
        <v>10</v>
      </c>
      <c r="H154" s="7">
        <f>VLOOKUP(B152,Schlüssel!$A$5:$DZ$12,54)</f>
        <v>16</v>
      </c>
      <c r="I154" s="51" t="s">
        <v>10</v>
      </c>
      <c r="J154" s="7">
        <f>VLOOKUP(B152,Schlüssel!$A$5:$DZ$12,55)</f>
        <v>20</v>
      </c>
      <c r="K154" s="51" t="s">
        <v>10</v>
      </c>
      <c r="L154" s="7">
        <f>VLOOKUP(B152,Schlüssel!$A$5:$DZ$12,56)</f>
        <v>15</v>
      </c>
      <c r="M154" s="51" t="s">
        <v>10</v>
      </c>
      <c r="N154" s="57">
        <f>VLOOKUP(B152,Schlüssel!$A$5:$DZ$12,57)</f>
        <v>20</v>
      </c>
    </row>
    <row r="155" spans="1:30" ht="20.25" customHeight="1">
      <c r="B155" s="44" t="s">
        <v>1</v>
      </c>
      <c r="C155" s="45"/>
      <c r="D155" s="45"/>
      <c r="E155" s="407" t="s">
        <v>1793</v>
      </c>
      <c r="F155" s="408"/>
      <c r="G155" s="407" t="s">
        <v>1794</v>
      </c>
      <c r="H155" s="408"/>
      <c r="I155" s="407" t="s">
        <v>1795</v>
      </c>
      <c r="J155" s="408"/>
      <c r="K155" s="407" t="s">
        <v>1796</v>
      </c>
      <c r="L155" s="408"/>
      <c r="M155" s="407" t="s">
        <v>1797</v>
      </c>
      <c r="N155" s="408"/>
      <c r="O155" s="409" t="s">
        <v>1792</v>
      </c>
      <c r="P155" s="410"/>
    </row>
    <row r="156" spans="1:30" ht="15" customHeight="1" thickBot="1">
      <c r="B156" s="9" t="s">
        <v>1798</v>
      </c>
      <c r="C156" s="48" t="s">
        <v>1799</v>
      </c>
      <c r="D156" s="48" t="s">
        <v>2264</v>
      </c>
      <c r="E156" s="464" t="s">
        <v>1800</v>
      </c>
      <c r="F156" s="465"/>
      <c r="G156" s="464" t="s">
        <v>1800</v>
      </c>
      <c r="H156" s="465"/>
      <c r="I156" s="464" t="s">
        <v>1800</v>
      </c>
      <c r="J156" s="465"/>
      <c r="K156" s="464" t="s">
        <v>1800</v>
      </c>
      <c r="L156" s="465"/>
      <c r="M156" s="464" t="s">
        <v>1800</v>
      </c>
      <c r="N156" s="465"/>
      <c r="O156" s="464" t="s">
        <v>1800</v>
      </c>
      <c r="P156" s="465"/>
    </row>
    <row r="157" spans="1:30" ht="16.95" customHeight="1">
      <c r="A157" s="403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58"/>
      <c r="F157" s="459"/>
      <c r="G157" s="458"/>
      <c r="H157" s="459"/>
      <c r="I157" s="458"/>
      <c r="J157" s="459"/>
      <c r="K157" s="458"/>
      <c r="L157" s="459"/>
      <c r="M157" s="458"/>
      <c r="N157" s="459"/>
      <c r="O157" s="458"/>
      <c r="P157" s="459"/>
    </row>
    <row r="158" spans="1:30" ht="16.95" customHeight="1">
      <c r="A158" s="404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60"/>
      <c r="F158" s="461"/>
      <c r="G158" s="460"/>
      <c r="H158" s="461"/>
      <c r="I158" s="460"/>
      <c r="J158" s="461"/>
      <c r="K158" s="460"/>
      <c r="L158" s="461"/>
      <c r="M158" s="460"/>
      <c r="N158" s="461"/>
      <c r="O158" s="460"/>
      <c r="P158" s="461"/>
    </row>
    <row r="159" spans="1:30" ht="16.95" customHeight="1" thickBot="1">
      <c r="A159" s="405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62"/>
      <c r="F159" s="463"/>
      <c r="G159" s="462"/>
      <c r="H159" s="463"/>
      <c r="I159" s="462"/>
      <c r="J159" s="463"/>
      <c r="K159" s="462"/>
      <c r="L159" s="463"/>
      <c r="M159" s="462"/>
      <c r="N159" s="463"/>
      <c r="O159" s="462"/>
      <c r="P159" s="463"/>
    </row>
    <row r="160" spans="1:30" ht="16.95" customHeight="1">
      <c r="A160" s="403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58"/>
      <c r="F160" s="459"/>
      <c r="G160" s="458"/>
      <c r="H160" s="459"/>
      <c r="I160" s="458"/>
      <c r="J160" s="459"/>
      <c r="K160" s="458"/>
      <c r="L160" s="459"/>
      <c r="M160" s="458"/>
      <c r="N160" s="459"/>
      <c r="O160" s="458"/>
      <c r="P160" s="459"/>
    </row>
    <row r="161" spans="1:30" ht="16.95" customHeight="1">
      <c r="A161" s="404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60"/>
      <c r="F161" s="461"/>
      <c r="G161" s="460"/>
      <c r="H161" s="461"/>
      <c r="I161" s="460"/>
      <c r="J161" s="461"/>
      <c r="K161" s="460"/>
      <c r="L161" s="461"/>
      <c r="M161" s="460"/>
      <c r="N161" s="461"/>
      <c r="O161" s="460"/>
      <c r="P161" s="461"/>
    </row>
    <row r="162" spans="1:30" ht="16.95" customHeight="1" thickBot="1">
      <c r="A162" s="405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62"/>
      <c r="F162" s="463"/>
      <c r="G162" s="462"/>
      <c r="H162" s="463"/>
      <c r="I162" s="462"/>
      <c r="J162" s="463"/>
      <c r="K162" s="462"/>
      <c r="L162" s="463"/>
      <c r="M162" s="462"/>
      <c r="N162" s="463"/>
      <c r="O162" s="462"/>
      <c r="P162" s="463"/>
    </row>
    <row r="163" spans="1:30" ht="16.95" customHeight="1">
      <c r="A163" s="403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58"/>
      <c r="F163" s="459"/>
      <c r="G163" s="458"/>
      <c r="H163" s="459"/>
      <c r="I163" s="458"/>
      <c r="J163" s="459"/>
      <c r="K163" s="458"/>
      <c r="L163" s="459"/>
      <c r="M163" s="458"/>
      <c r="N163" s="459"/>
      <c r="O163" s="458"/>
      <c r="P163" s="459"/>
    </row>
    <row r="164" spans="1:30" ht="16.95" customHeight="1">
      <c r="A164" s="404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60"/>
      <c r="F164" s="461"/>
      <c r="G164" s="460"/>
      <c r="H164" s="461"/>
      <c r="I164" s="460"/>
      <c r="J164" s="461"/>
      <c r="K164" s="460"/>
      <c r="L164" s="461"/>
      <c r="M164" s="460"/>
      <c r="N164" s="461"/>
      <c r="O164" s="460"/>
      <c r="P164" s="461"/>
    </row>
    <row r="165" spans="1:30" ht="16.95" customHeight="1" thickBot="1">
      <c r="A165" s="405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62"/>
      <c r="F165" s="463"/>
      <c r="G165" s="462"/>
      <c r="H165" s="463"/>
      <c r="I165" s="462"/>
      <c r="J165" s="463"/>
      <c r="K165" s="462"/>
      <c r="L165" s="463"/>
      <c r="M165" s="462"/>
      <c r="N165" s="463"/>
      <c r="O165" s="462"/>
      <c r="P165" s="463"/>
    </row>
    <row r="166" spans="1:30" ht="27.75" customHeight="1" thickBot="1">
      <c r="B166" s="11"/>
      <c r="C166" s="25"/>
      <c r="D166" s="204"/>
      <c r="E166" s="456"/>
      <c r="F166" s="457"/>
      <c r="G166" s="456"/>
      <c r="H166" s="457"/>
      <c r="I166" s="456"/>
      <c r="J166" s="457"/>
      <c r="K166" s="456"/>
      <c r="L166" s="457"/>
      <c r="M166" s="456"/>
      <c r="N166" s="457"/>
      <c r="O166" s="456"/>
      <c r="P166" s="457"/>
    </row>
    <row r="167" spans="1:30" ht="24" customHeight="1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>
      <c r="B169" s="211" t="s">
        <v>1790</v>
      </c>
      <c r="C169" s="42" t="s">
        <v>1791</v>
      </c>
      <c r="D169" s="42"/>
      <c r="E169" s="398">
        <f>VLOOKUP(B152,Schlüssel!$A$5:$DZ$12,43)</f>
        <v>1</v>
      </c>
      <c r="F169" s="398"/>
      <c r="G169" s="398">
        <f>VLOOKUP(B152,Schlüssel!$A$5:$DZ$12,44)</f>
        <v>6</v>
      </c>
      <c r="H169" s="398"/>
      <c r="I169" s="398">
        <f>VLOOKUP(B152,Schlüssel!$A$5:$DZ$12,45)</f>
        <v>4</v>
      </c>
      <c r="J169" s="398"/>
      <c r="K169" s="398">
        <f>VLOOKUP(B152,Schlüssel!$A$5:$DZ$12,46)</f>
        <v>8</v>
      </c>
      <c r="L169" s="398"/>
      <c r="M169" s="398">
        <f>VLOOKUP(B152,Schlüssel!$A$5:$DZ$12,47)</f>
        <v>3</v>
      </c>
      <c r="N169" s="398"/>
      <c r="O169" s="399"/>
      <c r="P169" s="399"/>
    </row>
    <row r="170" spans="1:30" ht="28.5" customHeight="1">
      <c r="B170" s="4"/>
      <c r="C170" s="1"/>
      <c r="D170" s="1"/>
      <c r="E170" s="395" t="str">
        <f>VLOOKUP(E169,Schlüssel!$A$5:$K$12,2)</f>
        <v>Bad Tölz 1</v>
      </c>
      <c r="F170" s="396"/>
      <c r="G170" s="395" t="str">
        <f>VLOOKUP(G169,Schlüssel!$A$5:$K$12,2)</f>
        <v>Bowling Jugend Bayern 1</v>
      </c>
      <c r="H170" s="396"/>
      <c r="I170" s="395" t="str">
        <f>VLOOKUP(I169,Schlüssel!$A$5:$K$12,2)</f>
        <v>Highroller Rosenheim 3</v>
      </c>
      <c r="J170" s="396"/>
      <c r="K170" s="395" t="str">
        <f>VLOOKUP(K169,Schlüssel!$A$5:$K$12,2)</f>
        <v>EMAX 1</v>
      </c>
      <c r="L170" s="396"/>
      <c r="M170" s="395" t="str">
        <f>VLOOKUP(M169,Schlüssel!$A$5:$K$12,2)</f>
        <v>Highroller Rosenheim 2</v>
      </c>
      <c r="N170" s="396"/>
      <c r="O170" s="397"/>
      <c r="P170" s="397"/>
    </row>
    <row r="171" spans="1:30" ht="12" customHeight="1">
      <c r="B171" s="4"/>
      <c r="C171" s="1"/>
      <c r="D171" s="1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53"/>
      <c r="P171" s="353"/>
    </row>
    <row r="172" spans="1:30" ht="16.2" customHeight="1">
      <c r="B172" s="39" t="s">
        <v>0</v>
      </c>
      <c r="C172" s="40"/>
      <c r="D172" s="40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/>
      <c r="O172" s="393"/>
      <c r="P172" s="393"/>
    </row>
    <row r="173" spans="1:30" ht="16.2" customHeight="1">
      <c r="B173" s="39" t="s">
        <v>2</v>
      </c>
      <c r="C173" s="40"/>
      <c r="D173" s="40"/>
      <c r="E173" s="392"/>
      <c r="F173" s="392"/>
      <c r="G173" s="392"/>
      <c r="H173" s="392"/>
      <c r="I173" s="392"/>
      <c r="J173" s="392"/>
      <c r="K173" s="392"/>
      <c r="L173" s="392"/>
      <c r="M173" s="392"/>
      <c r="N173" s="392"/>
      <c r="O173" s="393"/>
      <c r="P173" s="393"/>
    </row>
    <row r="174" spans="1:30" ht="16.2" customHeight="1">
      <c r="B174" s="39" t="s">
        <v>3</v>
      </c>
      <c r="C174" s="40"/>
      <c r="D174" s="40"/>
      <c r="E174" s="392"/>
      <c r="F174" s="392"/>
      <c r="G174" s="392"/>
      <c r="H174" s="392"/>
      <c r="I174" s="392"/>
      <c r="J174" s="392"/>
      <c r="K174" s="392"/>
      <c r="L174" s="392"/>
      <c r="M174" s="392"/>
      <c r="N174" s="392"/>
      <c r="O174" s="393"/>
      <c r="P174" s="393"/>
    </row>
    <row r="175" spans="1:30" ht="15.75" customHeight="1">
      <c r="B175" s="41" t="s">
        <v>1792</v>
      </c>
      <c r="C175" s="42"/>
      <c r="D175" s="42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41"/>
      <c r="P175" s="341"/>
    </row>
    <row r="176" spans="1:30" ht="21" customHeight="1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6">
        <f>Schlüssel!$BA$1</f>
        <v>45752</v>
      </c>
      <c r="N176" s="406"/>
      <c r="O176" s="406"/>
      <c r="AD176" s="76"/>
    </row>
    <row r="177" spans="1:30" ht="17.25" customHeight="1" thickBot="1">
      <c r="A177" s="53"/>
      <c r="B177" s="54">
        <f>+B152+1</f>
        <v>8</v>
      </c>
      <c r="C177" s="35" t="s">
        <v>1787</v>
      </c>
      <c r="D177" s="35"/>
      <c r="E177" s="72" t="str">
        <f>Schlüssel!$AQ$2</f>
        <v>München Hollywood Super Bowling</v>
      </c>
      <c r="G177" s="66"/>
      <c r="H177" s="66"/>
      <c r="I177" s="66"/>
      <c r="J177" s="66"/>
      <c r="L177" s="66"/>
      <c r="M177" s="34" t="s">
        <v>1785</v>
      </c>
      <c r="N177" s="38">
        <v>3</v>
      </c>
      <c r="O177" s="33"/>
      <c r="AD177" s="77"/>
    </row>
    <row r="178" spans="1:30" ht="15.75" customHeight="1" thickBot="1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3.8" thickBot="1">
      <c r="A179" s="6"/>
      <c r="B179" s="7"/>
      <c r="C179" s="43"/>
      <c r="D179" s="43"/>
      <c r="E179" s="47" t="s">
        <v>10</v>
      </c>
      <c r="F179" s="7">
        <f>VLOOKUP(B177,Schlüssel!$A$5:$DZ$12,53)</f>
        <v>14</v>
      </c>
      <c r="G179" s="51" t="s">
        <v>10</v>
      </c>
      <c r="H179" s="7">
        <f>VLOOKUP(B177,Schlüssel!$A$5:$DZ$12,54)</f>
        <v>17</v>
      </c>
      <c r="I179" s="51" t="s">
        <v>10</v>
      </c>
      <c r="J179" s="7">
        <f>VLOOKUP(B177,Schlüssel!$A$5:$DZ$12,55)</f>
        <v>13</v>
      </c>
      <c r="K179" s="51" t="s">
        <v>10</v>
      </c>
      <c r="L179" s="7">
        <f>VLOOKUP(B177,Schlüssel!$A$5:$DZ$12,56)</f>
        <v>16</v>
      </c>
      <c r="M179" s="51" t="s">
        <v>10</v>
      </c>
      <c r="N179" s="57">
        <f>VLOOKUP(B177,Schlüssel!$A$5:$DZ$12,57)</f>
        <v>13</v>
      </c>
    </row>
    <row r="180" spans="1:30" ht="20.25" customHeight="1">
      <c r="B180" s="44" t="s">
        <v>1</v>
      </c>
      <c r="C180" s="45"/>
      <c r="D180" s="45"/>
      <c r="E180" s="407" t="s">
        <v>1793</v>
      </c>
      <c r="F180" s="408"/>
      <c r="G180" s="407" t="s">
        <v>1794</v>
      </c>
      <c r="H180" s="408"/>
      <c r="I180" s="407" t="s">
        <v>1795</v>
      </c>
      <c r="J180" s="408"/>
      <c r="K180" s="407" t="s">
        <v>1796</v>
      </c>
      <c r="L180" s="408"/>
      <c r="M180" s="407" t="s">
        <v>1797</v>
      </c>
      <c r="N180" s="408"/>
      <c r="O180" s="409" t="s">
        <v>1792</v>
      </c>
      <c r="P180" s="410"/>
    </row>
    <row r="181" spans="1:30" ht="15" customHeight="1" thickBot="1">
      <c r="B181" s="9" t="s">
        <v>1798</v>
      </c>
      <c r="C181" s="48" t="s">
        <v>1799</v>
      </c>
      <c r="D181" s="48" t="s">
        <v>2264</v>
      </c>
      <c r="E181" s="464" t="s">
        <v>1800</v>
      </c>
      <c r="F181" s="465"/>
      <c r="G181" s="464" t="s">
        <v>1800</v>
      </c>
      <c r="H181" s="465"/>
      <c r="I181" s="464" t="s">
        <v>1800</v>
      </c>
      <c r="J181" s="465"/>
      <c r="K181" s="464" t="s">
        <v>1800</v>
      </c>
      <c r="L181" s="465"/>
      <c r="M181" s="464" t="s">
        <v>1800</v>
      </c>
      <c r="N181" s="465"/>
      <c r="O181" s="464" t="s">
        <v>1800</v>
      </c>
      <c r="P181" s="465"/>
    </row>
    <row r="182" spans="1:30" ht="16.95" customHeight="1">
      <c r="A182" s="403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58"/>
      <c r="F182" s="459"/>
      <c r="G182" s="458"/>
      <c r="H182" s="459"/>
      <c r="I182" s="458"/>
      <c r="J182" s="459"/>
      <c r="K182" s="458"/>
      <c r="L182" s="459"/>
      <c r="M182" s="458"/>
      <c r="N182" s="459"/>
      <c r="O182" s="458"/>
      <c r="P182" s="459"/>
    </row>
    <row r="183" spans="1:30" ht="16.95" customHeight="1">
      <c r="A183" s="404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60"/>
      <c r="F183" s="461"/>
      <c r="G183" s="460"/>
      <c r="H183" s="461"/>
      <c r="I183" s="460"/>
      <c r="J183" s="461"/>
      <c r="K183" s="460"/>
      <c r="L183" s="461"/>
      <c r="M183" s="460"/>
      <c r="N183" s="461"/>
      <c r="O183" s="460"/>
      <c r="P183" s="461"/>
    </row>
    <row r="184" spans="1:30" ht="16.95" customHeight="1" thickBot="1">
      <c r="A184" s="405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62"/>
      <c r="F184" s="463"/>
      <c r="G184" s="462"/>
      <c r="H184" s="463"/>
      <c r="I184" s="462"/>
      <c r="J184" s="463"/>
      <c r="K184" s="462"/>
      <c r="L184" s="463"/>
      <c r="M184" s="462"/>
      <c r="N184" s="463"/>
      <c r="O184" s="462"/>
      <c r="P184" s="463"/>
    </row>
    <row r="185" spans="1:30" ht="16.95" customHeight="1">
      <c r="A185" s="403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58"/>
      <c r="F185" s="459"/>
      <c r="G185" s="458"/>
      <c r="H185" s="459"/>
      <c r="I185" s="458"/>
      <c r="J185" s="459"/>
      <c r="K185" s="458"/>
      <c r="L185" s="459"/>
      <c r="M185" s="458"/>
      <c r="N185" s="459"/>
      <c r="O185" s="458"/>
      <c r="P185" s="459"/>
    </row>
    <row r="186" spans="1:30" ht="16.95" customHeight="1">
      <c r="A186" s="404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60"/>
      <c r="F186" s="461"/>
      <c r="G186" s="460"/>
      <c r="H186" s="461"/>
      <c r="I186" s="460"/>
      <c r="J186" s="461"/>
      <c r="K186" s="460"/>
      <c r="L186" s="461"/>
      <c r="M186" s="460"/>
      <c r="N186" s="461"/>
      <c r="O186" s="460"/>
      <c r="P186" s="461"/>
    </row>
    <row r="187" spans="1:30" ht="16.95" customHeight="1" thickBot="1">
      <c r="A187" s="405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62"/>
      <c r="F187" s="463"/>
      <c r="G187" s="462"/>
      <c r="H187" s="463"/>
      <c r="I187" s="462"/>
      <c r="J187" s="463"/>
      <c r="K187" s="462"/>
      <c r="L187" s="463"/>
      <c r="M187" s="462"/>
      <c r="N187" s="463"/>
      <c r="O187" s="462"/>
      <c r="P187" s="463"/>
    </row>
    <row r="188" spans="1:30" ht="16.95" customHeight="1">
      <c r="A188" s="403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58"/>
      <c r="F188" s="459"/>
      <c r="G188" s="458"/>
      <c r="H188" s="459"/>
      <c r="I188" s="458"/>
      <c r="J188" s="459"/>
      <c r="K188" s="458"/>
      <c r="L188" s="459"/>
      <c r="M188" s="458"/>
      <c r="N188" s="459"/>
      <c r="O188" s="458"/>
      <c r="P188" s="459"/>
    </row>
    <row r="189" spans="1:30" ht="16.95" customHeight="1">
      <c r="A189" s="404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60"/>
      <c r="F189" s="461"/>
      <c r="G189" s="460"/>
      <c r="H189" s="461"/>
      <c r="I189" s="460"/>
      <c r="J189" s="461"/>
      <c r="K189" s="460"/>
      <c r="L189" s="461"/>
      <c r="M189" s="460"/>
      <c r="N189" s="461"/>
      <c r="O189" s="460"/>
      <c r="P189" s="461"/>
    </row>
    <row r="190" spans="1:30" ht="16.95" customHeight="1" thickBot="1">
      <c r="A190" s="405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62"/>
      <c r="F190" s="463"/>
      <c r="G190" s="462"/>
      <c r="H190" s="463"/>
      <c r="I190" s="462"/>
      <c r="J190" s="463"/>
      <c r="K190" s="462"/>
      <c r="L190" s="463"/>
      <c r="M190" s="462"/>
      <c r="N190" s="463"/>
      <c r="O190" s="462"/>
      <c r="P190" s="463"/>
    </row>
    <row r="191" spans="1:30" ht="27.75" customHeight="1" thickBot="1">
      <c r="B191" s="11"/>
      <c r="C191" s="25"/>
      <c r="D191" s="204"/>
      <c r="E191" s="456"/>
      <c r="F191" s="457"/>
      <c r="G191" s="456"/>
      <c r="H191" s="457"/>
      <c r="I191" s="456"/>
      <c r="J191" s="457"/>
      <c r="K191" s="456"/>
      <c r="L191" s="457"/>
      <c r="M191" s="456"/>
      <c r="N191" s="457"/>
      <c r="O191" s="456"/>
      <c r="P191" s="457"/>
    </row>
    <row r="192" spans="1:30" ht="24" customHeight="1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>
      <c r="B194" s="211" t="s">
        <v>1790</v>
      </c>
      <c r="C194" s="42" t="s">
        <v>1791</v>
      </c>
      <c r="D194" s="42"/>
      <c r="E194" s="398">
        <f>VLOOKUP(B177,Schlüssel!$A$5:$DZ$12,43)</f>
        <v>3</v>
      </c>
      <c r="F194" s="398"/>
      <c r="G194" s="398">
        <f>VLOOKUP(B177,Schlüssel!$A$5:$DZ$12,44)</f>
        <v>5</v>
      </c>
      <c r="H194" s="398"/>
      <c r="I194" s="398">
        <f>VLOOKUP(B177,Schlüssel!$A$5:$DZ$12,45)</f>
        <v>2</v>
      </c>
      <c r="J194" s="398"/>
      <c r="K194" s="398">
        <f>VLOOKUP(B177,Schlüssel!$A$5:$DZ$12,46)</f>
        <v>7</v>
      </c>
      <c r="L194" s="398"/>
      <c r="M194" s="398">
        <f>VLOOKUP(B177,Schlüssel!$A$5:$DZ$12,47)</f>
        <v>1</v>
      </c>
      <c r="N194" s="398"/>
      <c r="O194" s="399"/>
      <c r="P194" s="399"/>
    </row>
    <row r="195" spans="2:16" ht="28.5" customHeight="1">
      <c r="B195" s="4"/>
      <c r="C195" s="1"/>
      <c r="D195" s="1"/>
      <c r="E195" s="395" t="str">
        <f>VLOOKUP(E194,Schlüssel!$A$5:$K$12,2)</f>
        <v>Highroller Rosenheim 2</v>
      </c>
      <c r="F195" s="396"/>
      <c r="G195" s="395" t="str">
        <f>VLOOKUP(G194,Schlüssel!$A$5:$K$12,2)</f>
        <v>Berchtesgaden 1</v>
      </c>
      <c r="H195" s="396"/>
      <c r="I195" s="395" t="str">
        <f>VLOOKUP(I194,Schlüssel!$A$5:$K$12,2)</f>
        <v>Highroller Rosenheim 1</v>
      </c>
      <c r="J195" s="396"/>
      <c r="K195" s="395" t="str">
        <f>VLOOKUP(K194,Schlüssel!$A$5:$K$12,2)</f>
        <v>BK München 1</v>
      </c>
      <c r="L195" s="396"/>
      <c r="M195" s="395" t="str">
        <f>VLOOKUP(M194,Schlüssel!$A$5:$K$12,2)</f>
        <v>Bad Tölz 1</v>
      </c>
      <c r="N195" s="396"/>
      <c r="O195" s="397"/>
      <c r="P195" s="397"/>
    </row>
    <row r="196" spans="2:16" ht="12" customHeight="1">
      <c r="B196" s="4"/>
      <c r="C196" s="1"/>
      <c r="D196" s="1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53"/>
      <c r="P196" s="353"/>
    </row>
    <row r="197" spans="2:16" ht="16.2" customHeight="1">
      <c r="B197" s="39" t="s">
        <v>0</v>
      </c>
      <c r="C197" s="40"/>
      <c r="D197" s="40"/>
      <c r="E197" s="392"/>
      <c r="F197" s="392"/>
      <c r="G197" s="392"/>
      <c r="H197" s="392"/>
      <c r="I197" s="392"/>
      <c r="J197" s="392"/>
      <c r="K197" s="392"/>
      <c r="L197" s="392"/>
      <c r="M197" s="392"/>
      <c r="N197" s="392"/>
      <c r="O197" s="393"/>
      <c r="P197" s="393"/>
    </row>
    <row r="198" spans="2:16" ht="16.2" customHeight="1">
      <c r="B198" s="39" t="s">
        <v>2</v>
      </c>
      <c r="C198" s="40"/>
      <c r="D198" s="40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/>
      <c r="O198" s="393"/>
      <c r="P198" s="393"/>
    </row>
    <row r="199" spans="2:16" ht="16.2" customHeight="1">
      <c r="B199" s="39" t="s">
        <v>3</v>
      </c>
      <c r="C199" s="40"/>
      <c r="D199" s="40"/>
      <c r="E199" s="392"/>
      <c r="F199" s="392"/>
      <c r="G199" s="392"/>
      <c r="H199" s="392"/>
      <c r="I199" s="392"/>
      <c r="J199" s="392"/>
      <c r="K199" s="392"/>
      <c r="L199" s="392"/>
      <c r="M199" s="392"/>
      <c r="N199" s="392"/>
      <c r="O199" s="393"/>
      <c r="P199" s="393"/>
    </row>
    <row r="200" spans="2:16" ht="15.75" customHeight="1">
      <c r="B200" s="41" t="s">
        <v>1792</v>
      </c>
      <c r="C200" s="42"/>
      <c r="D200" s="42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41"/>
      <c r="P200" s="341"/>
    </row>
  </sheetData>
  <sheetProtection sheet="1" objects="1" scenarios="1"/>
  <mergeCells count="944">
    <mergeCell ref="A7:A9"/>
    <mergeCell ref="A13:A15"/>
    <mergeCell ref="O5:P5"/>
    <mergeCell ref="A10:A12"/>
    <mergeCell ref="K6:L6"/>
    <mergeCell ref="M6:N6"/>
    <mergeCell ref="O6:P6"/>
    <mergeCell ref="E16:F16"/>
    <mergeCell ref="G16:H16"/>
    <mergeCell ref="I14:J14"/>
    <mergeCell ref="I15:J15"/>
    <mergeCell ref="E15:F15"/>
    <mergeCell ref="G14:H14"/>
    <mergeCell ref="G15:H15"/>
    <mergeCell ref="E14:F14"/>
    <mergeCell ref="G10:H10"/>
    <mergeCell ref="G11:H11"/>
    <mergeCell ref="G12:H12"/>
    <mergeCell ref="G13:H13"/>
    <mergeCell ref="E7:F7"/>
    <mergeCell ref="E8:F8"/>
    <mergeCell ref="E9:F9"/>
    <mergeCell ref="G7:H7"/>
    <mergeCell ref="G8:H8"/>
    <mergeCell ref="M1:O1"/>
    <mergeCell ref="E5:F5"/>
    <mergeCell ref="G5:H5"/>
    <mergeCell ref="I5:J5"/>
    <mergeCell ref="K5:L5"/>
    <mergeCell ref="M5:N5"/>
    <mergeCell ref="E6:F6"/>
    <mergeCell ref="G6:H6"/>
    <mergeCell ref="I6:J6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O20:P20"/>
    <mergeCell ref="E19:F19"/>
    <mergeCell ref="G19:H19"/>
    <mergeCell ref="I19:J19"/>
    <mergeCell ref="K19:L19"/>
    <mergeCell ref="M19:N19"/>
    <mergeCell ref="M24:N24"/>
    <mergeCell ref="O24:P24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  <mergeCell ref="O22:P22"/>
    <mergeCell ref="A35:A37"/>
    <mergeCell ref="A32:A34"/>
    <mergeCell ref="E32:F32"/>
    <mergeCell ref="G32:H32"/>
    <mergeCell ref="I32:J32"/>
    <mergeCell ref="E34:F34"/>
    <mergeCell ref="G30:H30"/>
    <mergeCell ref="I30:J30"/>
    <mergeCell ref="K30:L30"/>
    <mergeCell ref="K32:L32"/>
    <mergeCell ref="E35:F35"/>
    <mergeCell ref="G35:H35"/>
    <mergeCell ref="I35:J35"/>
    <mergeCell ref="K35:L35"/>
    <mergeCell ref="E44:F44"/>
    <mergeCell ref="G44:H44"/>
    <mergeCell ref="I44:J44"/>
    <mergeCell ref="K44:L44"/>
    <mergeCell ref="M44:N44"/>
    <mergeCell ref="O44:P44"/>
    <mergeCell ref="A38:A40"/>
    <mergeCell ref="E38:F38"/>
    <mergeCell ref="G38:H38"/>
    <mergeCell ref="I38:J38"/>
    <mergeCell ref="E40:F40"/>
    <mergeCell ref="G40:H40"/>
    <mergeCell ref="I40:J40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A60:A62"/>
    <mergeCell ref="A57:A59"/>
    <mergeCell ref="E57:F57"/>
    <mergeCell ref="G57:H57"/>
    <mergeCell ref="I57:J57"/>
    <mergeCell ref="E59:F59"/>
    <mergeCell ref="M51:O51"/>
    <mergeCell ref="E55:F55"/>
    <mergeCell ref="G55:H55"/>
    <mergeCell ref="I55:J55"/>
    <mergeCell ref="K55:L55"/>
    <mergeCell ref="M55:N55"/>
    <mergeCell ref="O55:P55"/>
    <mergeCell ref="G59:H59"/>
    <mergeCell ref="I59:J59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E69:F69"/>
    <mergeCell ref="G69:H69"/>
    <mergeCell ref="I69:J69"/>
    <mergeCell ref="K69:L69"/>
    <mergeCell ref="M69:N69"/>
    <mergeCell ref="O69:P69"/>
    <mergeCell ref="A63:A65"/>
    <mergeCell ref="E63:F63"/>
    <mergeCell ref="G63:H63"/>
    <mergeCell ref="I63:J63"/>
    <mergeCell ref="E65:F65"/>
    <mergeCell ref="G65:H65"/>
    <mergeCell ref="I65:J65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A85:A87"/>
    <mergeCell ref="A82:A84"/>
    <mergeCell ref="E82:F82"/>
    <mergeCell ref="G82:H82"/>
    <mergeCell ref="I82:J82"/>
    <mergeCell ref="E84:F84"/>
    <mergeCell ref="M76:O76"/>
    <mergeCell ref="E80:F80"/>
    <mergeCell ref="G80:H80"/>
    <mergeCell ref="I80:J80"/>
    <mergeCell ref="K80:L80"/>
    <mergeCell ref="M80:N80"/>
    <mergeCell ref="O80:P80"/>
    <mergeCell ref="G84:H84"/>
    <mergeCell ref="I84:J84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E94:F94"/>
    <mergeCell ref="G94:H94"/>
    <mergeCell ref="I94:J94"/>
    <mergeCell ref="K94:L94"/>
    <mergeCell ref="M94:N94"/>
    <mergeCell ref="O94:P94"/>
    <mergeCell ref="A88:A90"/>
    <mergeCell ref="E88:F88"/>
    <mergeCell ref="G88:H88"/>
    <mergeCell ref="I88:J88"/>
    <mergeCell ref="E90:F90"/>
    <mergeCell ref="G90:H90"/>
    <mergeCell ref="I90:J90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A110:A112"/>
    <mergeCell ref="A107:A109"/>
    <mergeCell ref="E107:F107"/>
    <mergeCell ref="G107:H107"/>
    <mergeCell ref="I107:J107"/>
    <mergeCell ref="E109:F109"/>
    <mergeCell ref="M101:O101"/>
    <mergeCell ref="E105:F105"/>
    <mergeCell ref="G105:H105"/>
    <mergeCell ref="I105:J105"/>
    <mergeCell ref="K105:L105"/>
    <mergeCell ref="M105:N105"/>
    <mergeCell ref="O105:P105"/>
    <mergeCell ref="G109:H109"/>
    <mergeCell ref="I109:J109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E119:F119"/>
    <mergeCell ref="G119:H119"/>
    <mergeCell ref="I119:J119"/>
    <mergeCell ref="K119:L119"/>
    <mergeCell ref="M119:N119"/>
    <mergeCell ref="O119:P119"/>
    <mergeCell ref="A113:A115"/>
    <mergeCell ref="E113:F113"/>
    <mergeCell ref="G113:H113"/>
    <mergeCell ref="I113:J113"/>
    <mergeCell ref="E115:F115"/>
    <mergeCell ref="G115:H115"/>
    <mergeCell ref="I115:J115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A135:A137"/>
    <mergeCell ref="A132:A134"/>
    <mergeCell ref="E132:F132"/>
    <mergeCell ref="G132:H132"/>
    <mergeCell ref="I132:J132"/>
    <mergeCell ref="E134:F134"/>
    <mergeCell ref="M126:O126"/>
    <mergeCell ref="E130:F130"/>
    <mergeCell ref="G130:H130"/>
    <mergeCell ref="I130:J130"/>
    <mergeCell ref="K130:L130"/>
    <mergeCell ref="M130:N130"/>
    <mergeCell ref="O130:P130"/>
    <mergeCell ref="G134:H134"/>
    <mergeCell ref="I134:J134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E144:F144"/>
    <mergeCell ref="G144:H144"/>
    <mergeCell ref="I144:J144"/>
    <mergeCell ref="K144:L144"/>
    <mergeCell ref="M144:N144"/>
    <mergeCell ref="O144:P144"/>
    <mergeCell ref="A138:A140"/>
    <mergeCell ref="E138:F138"/>
    <mergeCell ref="G138:H138"/>
    <mergeCell ref="I138:J138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1:F141"/>
    <mergeCell ref="G141:H141"/>
    <mergeCell ref="I141:J141"/>
    <mergeCell ref="K141:L141"/>
    <mergeCell ref="M141:N141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G9:H9"/>
    <mergeCell ref="I8:J8"/>
    <mergeCell ref="I9:J9"/>
    <mergeCell ref="I10:J10"/>
    <mergeCell ref="I11:J11"/>
    <mergeCell ref="I12:J12"/>
    <mergeCell ref="I13:J13"/>
    <mergeCell ref="I7:J7"/>
    <mergeCell ref="E10:F10"/>
    <mergeCell ref="E11:F11"/>
    <mergeCell ref="E12:F12"/>
    <mergeCell ref="E13:F13"/>
    <mergeCell ref="K7:L7"/>
    <mergeCell ref="K8:L8"/>
    <mergeCell ref="K9:L9"/>
    <mergeCell ref="K10:L10"/>
    <mergeCell ref="K11:L11"/>
    <mergeCell ref="K12:L12"/>
    <mergeCell ref="K13:L13"/>
    <mergeCell ref="K14:L14"/>
    <mergeCell ref="K15:L15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O7:P7"/>
    <mergeCell ref="O8:P8"/>
    <mergeCell ref="O9:P9"/>
    <mergeCell ref="O10:P10"/>
    <mergeCell ref="O11:P11"/>
    <mergeCell ref="O12:P12"/>
    <mergeCell ref="O13:P13"/>
    <mergeCell ref="O14:P14"/>
    <mergeCell ref="O15:P15"/>
    <mergeCell ref="O16:P16"/>
    <mergeCell ref="E31:F31"/>
    <mergeCell ref="G31:H31"/>
    <mergeCell ref="I31:J31"/>
    <mergeCell ref="K31:L31"/>
    <mergeCell ref="M31:N31"/>
    <mergeCell ref="O31:P31"/>
    <mergeCell ref="M16:N16"/>
    <mergeCell ref="M26:O26"/>
    <mergeCell ref="E30:F30"/>
    <mergeCell ref="K16:L16"/>
    <mergeCell ref="I16:J16"/>
    <mergeCell ref="M30:N30"/>
    <mergeCell ref="O30:P30"/>
    <mergeCell ref="E25:F25"/>
    <mergeCell ref="G25:H25"/>
    <mergeCell ref="I25:J25"/>
    <mergeCell ref="K25:L25"/>
    <mergeCell ref="M25:N25"/>
    <mergeCell ref="O25:P25"/>
    <mergeCell ref="E24:F24"/>
    <mergeCell ref="G24:H24"/>
    <mergeCell ref="I24:J24"/>
    <mergeCell ref="K24:L24"/>
    <mergeCell ref="M32:N32"/>
    <mergeCell ref="O32:P32"/>
    <mergeCell ref="E33:F33"/>
    <mergeCell ref="G33:H33"/>
    <mergeCell ref="I33:J33"/>
    <mergeCell ref="K33:L33"/>
    <mergeCell ref="M33:N33"/>
    <mergeCell ref="O33:P33"/>
    <mergeCell ref="G34:H34"/>
    <mergeCell ref="I34:J34"/>
    <mergeCell ref="K34:L34"/>
    <mergeCell ref="M34:N34"/>
    <mergeCell ref="O34:P34"/>
    <mergeCell ref="M35:N35"/>
    <mergeCell ref="E37:F37"/>
    <mergeCell ref="G37:H37"/>
    <mergeCell ref="I37:J37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O39:P39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E50:F50"/>
    <mergeCell ref="G50:H50"/>
    <mergeCell ref="I50:J50"/>
    <mergeCell ref="K50:L50"/>
    <mergeCell ref="M50:N50"/>
    <mergeCell ref="O50:P50"/>
    <mergeCell ref="E49:F49"/>
    <mergeCell ref="G49:H49"/>
    <mergeCell ref="I49:J49"/>
    <mergeCell ref="K49:L49"/>
    <mergeCell ref="M49:N49"/>
    <mergeCell ref="O49:P49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O64:P64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E75:F75"/>
    <mergeCell ref="G75:H75"/>
    <mergeCell ref="I75:J75"/>
    <mergeCell ref="K75:L75"/>
    <mergeCell ref="M75:N75"/>
    <mergeCell ref="O75:P75"/>
    <mergeCell ref="E74:F74"/>
    <mergeCell ref="G74:H74"/>
    <mergeCell ref="I74:J74"/>
    <mergeCell ref="K74:L74"/>
    <mergeCell ref="M74:N74"/>
    <mergeCell ref="O74:P74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O89:P89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E100:F100"/>
    <mergeCell ref="G100:H100"/>
    <mergeCell ref="I100:J100"/>
    <mergeCell ref="K100:L100"/>
    <mergeCell ref="M100:N100"/>
    <mergeCell ref="O100:P100"/>
    <mergeCell ref="E99:F99"/>
    <mergeCell ref="G99:H99"/>
    <mergeCell ref="I99:J99"/>
    <mergeCell ref="K99:L99"/>
    <mergeCell ref="M99:N99"/>
    <mergeCell ref="O99:P99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O114:P114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E125:F125"/>
    <mergeCell ref="G125:H125"/>
    <mergeCell ref="I125:J125"/>
    <mergeCell ref="K125:L125"/>
    <mergeCell ref="M125:N125"/>
    <mergeCell ref="O125:P125"/>
    <mergeCell ref="E124:F124"/>
    <mergeCell ref="G124:H124"/>
    <mergeCell ref="I124:J124"/>
    <mergeCell ref="K124:L124"/>
    <mergeCell ref="M124:N124"/>
    <mergeCell ref="O124:P124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O141:P141"/>
    <mergeCell ref="E140:F140"/>
    <mergeCell ref="G140:H140"/>
    <mergeCell ref="I140:J140"/>
    <mergeCell ref="K140:L140"/>
    <mergeCell ref="M140:N140"/>
    <mergeCell ref="O140:P140"/>
    <mergeCell ref="M151:O151"/>
    <mergeCell ref="E155:F155"/>
    <mergeCell ref="G155:H155"/>
    <mergeCell ref="I155:J155"/>
    <mergeCell ref="K155:L155"/>
    <mergeCell ref="M155:N155"/>
    <mergeCell ref="O155:P155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330" priority="37" stopIfTrue="1" operator="equal">
      <formula>0</formula>
    </cfRule>
  </conditionalFormatting>
  <conditionalFormatting sqref="D32:D40">
    <cfRule type="cellIs" dxfId="329" priority="19" stopIfTrue="1" operator="equal">
      <formula>0</formula>
    </cfRule>
  </conditionalFormatting>
  <conditionalFormatting sqref="D57:D65">
    <cfRule type="cellIs" dxfId="328" priority="16" stopIfTrue="1" operator="equal">
      <formula>0</formula>
    </cfRule>
  </conditionalFormatting>
  <conditionalFormatting sqref="D82:D90">
    <cfRule type="cellIs" dxfId="327" priority="13" stopIfTrue="1" operator="equal">
      <formula>0</formula>
    </cfRule>
  </conditionalFormatting>
  <conditionalFormatting sqref="D107:D115">
    <cfRule type="cellIs" dxfId="326" priority="10" stopIfTrue="1" operator="equal">
      <formula>0</formula>
    </cfRule>
  </conditionalFormatting>
  <conditionalFormatting sqref="D132:D140">
    <cfRule type="cellIs" dxfId="325" priority="7" stopIfTrue="1" operator="equal">
      <formula>0</formula>
    </cfRule>
  </conditionalFormatting>
  <conditionalFormatting sqref="D157:D165">
    <cfRule type="cellIs" dxfId="324" priority="4" stopIfTrue="1" operator="equal">
      <formula>0</formula>
    </cfRule>
  </conditionalFormatting>
  <conditionalFormatting sqref="D182:D190">
    <cfRule type="cellIs" dxfId="323" priority="1" stopIfTrue="1" operator="equal">
      <formula>0</formula>
    </cfRule>
  </conditionalFormatting>
  <printOptions horizontalCentered="1" verticalCentered="1"/>
  <pageMargins left="0.70866141732283472" right="0.70866141732283472" top="0.59055118110236227" bottom="0.59055118110236227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BM208"/>
  <sheetViews>
    <sheetView view="pageBreakPreview" topLeftCell="A60" zoomScaleNormal="100" zoomScaleSheetLayoutView="100" workbookViewId="0">
      <selection activeCell="E22" sqref="E22:J22"/>
    </sheetView>
  </sheetViews>
  <sheetFormatPr baseColWidth="10" defaultRowHeight="13.2"/>
  <cols>
    <col min="1" max="1" width="4.44140625" customWidth="1"/>
    <col min="2" max="2" width="15.6640625" bestFit="1" customWidth="1"/>
    <col min="3" max="3" width="7" customWidth="1"/>
    <col min="4" max="4" width="7.44140625" bestFit="1" customWidth="1"/>
    <col min="5" max="5" width="6.33203125" bestFit="1" customWidth="1"/>
    <col min="6" max="6" width="8.33203125" bestFit="1" customWidth="1"/>
    <col min="7" max="7" width="4.44140625" bestFit="1" customWidth="1"/>
    <col min="8" max="8" width="5.6640625" customWidth="1"/>
    <col min="9" max="9" width="8.33203125" bestFit="1" customWidth="1"/>
    <col min="10" max="10" width="4.44140625" bestFit="1" customWidth="1"/>
    <col min="11" max="11" width="5.6640625" customWidth="1"/>
    <col min="12" max="12" width="8.33203125" bestFit="1" customWidth="1"/>
    <col min="13" max="13" width="4.44140625" bestFit="1" customWidth="1"/>
    <col min="14" max="14" width="5.6640625" customWidth="1"/>
    <col min="15" max="15" width="8.33203125" bestFit="1" customWidth="1"/>
    <col min="16" max="16" width="4.44140625" bestFit="1" customWidth="1"/>
    <col min="17" max="17" width="5.6640625" bestFit="1" customWidth="1"/>
    <col min="18" max="18" width="8.33203125" bestFit="1" customWidth="1"/>
    <col min="19" max="19" width="4.44140625" bestFit="1" customWidth="1"/>
    <col min="20" max="20" width="5.44140625" bestFit="1" customWidth="1"/>
    <col min="21" max="21" width="8.33203125" bestFit="1" customWidth="1"/>
    <col min="22" max="22" width="4.4414062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7" style="169" hidden="1" customWidth="1"/>
    <col min="39" max="39" width="7" hidden="1" customWidth="1"/>
    <col min="40" max="40" width="8" hidden="1" customWidth="1"/>
    <col min="41" max="41" width="8.33203125" hidden="1" customWidth="1"/>
    <col min="42" max="42" width="3.44140625" hidden="1" customWidth="1"/>
    <col min="43" max="43" width="5" style="169" hidden="1" customWidth="1"/>
    <col min="44" max="44" width="3.6640625" style="169" hidden="1" customWidth="1"/>
    <col min="45" max="45" width="6.21875" style="169" hidden="1" customWidth="1"/>
    <col min="46" max="46" width="4.44140625" style="169" hidden="1" customWidth="1"/>
    <col min="47" max="47" width="4.77734375" style="169" hidden="1" customWidth="1"/>
    <col min="48" max="48" width="3.6640625" style="169" hidden="1" customWidth="1"/>
    <col min="49" max="49" width="4.6640625" style="169" hidden="1" customWidth="1"/>
    <col min="50" max="50" width="6.6640625" style="169" hidden="1" customWidth="1"/>
    <col min="51" max="55" width="3.33203125" style="169" hidden="1" customWidth="1"/>
    <col min="56" max="56" width="11.44140625" style="169" hidden="1" customWidth="1"/>
    <col min="57" max="57" width="4.21875" style="169" hidden="1" customWidth="1"/>
    <col min="58" max="58" width="7.33203125" style="169" hidden="1" customWidth="1"/>
    <col min="59" max="59" width="8.44140625" style="169" hidden="1" customWidth="1"/>
    <col min="60" max="60" width="15.33203125" style="169" hidden="1" customWidth="1"/>
    <col min="61" max="62" width="4.21875" style="169" hidden="1" customWidth="1"/>
    <col min="63" max="63" width="6.21875" style="169" hidden="1" customWidth="1"/>
    <col min="64" max="64" width="9" style="169" hidden="1" customWidth="1"/>
    <col min="65" max="65" width="4.21875" style="169" hidden="1" customWidth="1"/>
    <col min="66" max="79" width="11.44140625" customWidth="1"/>
  </cols>
  <sheetData>
    <row r="1" spans="1:65" ht="21" customHeight="1">
      <c r="A1" s="255"/>
      <c r="B1" s="7" t="s">
        <v>1802</v>
      </c>
      <c r="C1" s="24"/>
      <c r="D1" s="24"/>
      <c r="E1" s="35" t="s">
        <v>1786</v>
      </c>
      <c r="F1" s="35"/>
      <c r="G1" s="427" t="str">
        <f>Schlüssel!$C$1</f>
        <v>Landesliga Jugend</v>
      </c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06">
        <f>Schlüssel!$BA$1</f>
        <v>45752</v>
      </c>
      <c r="T1" s="406"/>
      <c r="U1" s="406"/>
      <c r="V1" s="406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>
      <c r="A2" s="53"/>
      <c r="B2" s="54">
        <v>1</v>
      </c>
      <c r="E2" s="35" t="s">
        <v>1787</v>
      </c>
      <c r="F2" s="35"/>
      <c r="G2" s="413" t="str">
        <f>Schlüssel!$AQ$2</f>
        <v>München Hollywood Super Bowling</v>
      </c>
      <c r="H2" s="413"/>
      <c r="I2" s="413"/>
      <c r="J2" s="413"/>
      <c r="K2" s="413"/>
      <c r="L2" s="413"/>
      <c r="M2" s="413"/>
      <c r="N2" s="413"/>
      <c r="O2" s="413"/>
      <c r="P2" s="66"/>
      <c r="Q2" s="411" t="s">
        <v>1785</v>
      </c>
      <c r="R2" s="412"/>
      <c r="S2" s="38">
        <v>3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>
      <c r="B3" s="414" t="str">
        <f>VLOOKUP(B2,Schlüssel!$A$5:$B$12,2)</f>
        <v>Bad Tölz 1</v>
      </c>
      <c r="C3" s="415"/>
      <c r="D3" s="415"/>
      <c r="E3" s="415"/>
      <c r="F3" s="415"/>
      <c r="G3" s="416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3.8" hidden="1" thickBot="1">
      <c r="A4" s="6"/>
      <c r="B4" s="7"/>
      <c r="C4" s="43"/>
      <c r="D4" s="43"/>
      <c r="E4" s="162" t="s">
        <v>10</v>
      </c>
      <c r="F4" s="220"/>
      <c r="G4" s="159">
        <f>VLOOKUP(B2,Schlüssel!$A$5:$EK$12,53)</f>
        <v>20</v>
      </c>
      <c r="H4" s="161" t="s">
        <v>10</v>
      </c>
      <c r="I4" s="220"/>
      <c r="J4" s="159">
        <f>VLOOKUP(B2,Schlüssel!$A$5:$EK$12,54)</f>
        <v>14</v>
      </c>
      <c r="K4" s="161" t="s">
        <v>10</v>
      </c>
      <c r="L4" s="220"/>
      <c r="M4" s="159">
        <f>VLOOKUP(B2,Schlüssel!$A$5:$EK$12,55)</f>
        <v>18</v>
      </c>
      <c r="N4" s="161" t="s">
        <v>10</v>
      </c>
      <c r="O4" s="220"/>
      <c r="P4" s="159">
        <f>VLOOKUP(B2,Schlüssel!$A$5:$EK$12,56)</f>
        <v>19</v>
      </c>
      <c r="Q4" s="161" t="s">
        <v>10</v>
      </c>
      <c r="R4" s="220"/>
      <c r="S4" s="160">
        <f>VLOOKUP(B2,Schlüssel!$A$5:$EK$12,57)</f>
        <v>14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>
      <c r="B5" s="44" t="s">
        <v>1</v>
      </c>
      <c r="C5" s="208"/>
      <c r="D5" s="217"/>
      <c r="E5" s="423" t="s">
        <v>1793</v>
      </c>
      <c r="F5" s="423"/>
      <c r="G5" s="408"/>
      <c r="H5" s="407" t="s">
        <v>1794</v>
      </c>
      <c r="I5" s="423"/>
      <c r="J5" s="408"/>
      <c r="K5" s="407" t="s">
        <v>1795</v>
      </c>
      <c r="L5" s="423"/>
      <c r="M5" s="408"/>
      <c r="N5" s="407" t="s">
        <v>1796</v>
      </c>
      <c r="O5" s="423"/>
      <c r="P5" s="408"/>
      <c r="Q5" s="407" t="s">
        <v>1797</v>
      </c>
      <c r="R5" s="423"/>
      <c r="S5" s="437"/>
      <c r="T5" s="439" t="s">
        <v>1792</v>
      </c>
      <c r="U5" s="440"/>
      <c r="V5" s="410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6.95" customHeight="1">
      <c r="A7" s="403" t="s">
        <v>0</v>
      </c>
      <c r="B7" s="58" t="str">
        <f>IF(C7=0,"",VLOOKUP(C7,Starter!$A$1:$D$196,2,FALSE))</f>
        <v>Kugler, Laurin</v>
      </c>
      <c r="C7" s="232">
        <v>38845</v>
      </c>
      <c r="D7" s="238">
        <f t="shared" ref="D7:D15" si="0">+AP7</f>
        <v>0</v>
      </c>
      <c r="E7" s="221">
        <v>242</v>
      </c>
      <c r="F7" s="240">
        <f t="shared" ref="F7:F15" si="1">IF(E7&gt;0,E7+$D7,0)</f>
        <v>242</v>
      </c>
      <c r="G7" s="428">
        <f>IF(SUM(F7:F9)+E22=0,0,IF(ABS(SUM(F7:F9))=E22,Spielorte!$A$30/2,IF(ABS(SUM(F7:F9))&gt;E22,Spielorte!$A$30,0)))</f>
        <v>1</v>
      </c>
      <c r="H7" s="221">
        <v>181</v>
      </c>
      <c r="I7" s="240">
        <f t="shared" ref="I7:I15" si="2">IF(H7&gt;0,H7+$D7,0)</f>
        <v>181</v>
      </c>
      <c r="J7" s="428">
        <f>IF(SUM(I7:I9)+H22=0,0,IF(ABS(SUM(I7:I9))=H22,Spielorte!$A$30/2,IF(ABS(SUM(I7:I9))&gt;H22,Spielorte!$A$30,0)))</f>
        <v>1</v>
      </c>
      <c r="K7" s="221">
        <v>215</v>
      </c>
      <c r="L7" s="240">
        <f t="shared" ref="L7:L15" si="3">IF(K7&gt;0,K7+$D7,0)</f>
        <v>215</v>
      </c>
      <c r="M7" s="428">
        <f>IF(SUM(L7:L9)+K22=0,0,IF(ABS(SUM(L7:L9))=K22,Spielorte!$A$30/2,IF(ABS(SUM(L7:L9))&gt;K22,Spielorte!$A$30,0)))</f>
        <v>1</v>
      </c>
      <c r="N7" s="221">
        <v>188</v>
      </c>
      <c r="O7" s="240">
        <f t="shared" ref="O7:O15" si="4">IF(N7&gt;0,N7+$D7,0)</f>
        <v>188</v>
      </c>
      <c r="P7" s="428">
        <f>IF(SUM(O7:O9)+N22=0,0,IF(ABS(SUM(O7:O9))=N22,Spielorte!$A$30/2,IF(ABS(SUM(O7:O9))&gt;N22,Spielorte!$A$30,0)))</f>
        <v>1</v>
      </c>
      <c r="Q7" s="221">
        <v>200</v>
      </c>
      <c r="R7" s="240">
        <f t="shared" ref="R7:R15" si="5">IF(Q7&gt;0,Q7+$D7,0)</f>
        <v>200</v>
      </c>
      <c r="S7" s="428">
        <f>IF(SUM(R7:R9)+Q22=0,0,IF(ABS(SUM(R7:R9))=Q22,Spielorte!$A$30/2,IF(ABS(SUM(R7:R9))&gt;Q22,Spielorte!$A$30,0)))</f>
        <v>1</v>
      </c>
      <c r="T7" s="221">
        <f t="shared" ref="T7:U15" si="6">ABS(SUM(E7:E7))+ABS(SUM(H7:H7))+ABS(SUM(K7:K7))+ABS(SUM(N7:N7))+ABS(SUM(Q7:Q7))</f>
        <v>1026</v>
      </c>
      <c r="U7" s="240">
        <f t="shared" si="6"/>
        <v>1026</v>
      </c>
      <c r="V7" s="400">
        <f>SUM(G7+J7+M7+P7+S7)</f>
        <v>5</v>
      </c>
      <c r="W7" s="79"/>
      <c r="X7" s="79"/>
      <c r="Y7" s="79"/>
      <c r="Z7" s="79"/>
      <c r="AA7" s="79"/>
      <c r="AB7" s="79"/>
      <c r="AL7" s="169">
        <f>IF(AU7=0,0,IFERROR(INDEX(RanglisteST3!K:K,MATCH(AU7,RanglisteST3!A:A,0)),0))</f>
        <v>176.11</v>
      </c>
      <c r="AM7" s="169">
        <f>IF(AU7=0,0,SUMIF(AU7:AU15,AU7,AV7:AV15))</f>
        <v>1026</v>
      </c>
      <c r="AN7" s="169">
        <f>IF(AU7=0,0,SUMIF(AU7:AU15,AU7,AW7:AW15))</f>
        <v>5</v>
      </c>
      <c r="AO7" s="169">
        <f t="shared" ref="AO7:AO15" si="7">IFERROR(AM7/AN7,0)</f>
        <v>205.2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38845</v>
      </c>
      <c r="AV7" s="167">
        <f t="shared" ref="AV7:AV15" si="9">T7</f>
        <v>1026</v>
      </c>
      <c r="AW7" s="169">
        <f t="shared" ref="AW7:AW15" si="10">COUNT(AY7:BC7)</f>
        <v>5</v>
      </c>
      <c r="AX7" s="169">
        <f t="shared" ref="AX7:AX15" si="11">COUNTIF(AY7:BC7,"&gt;0")</f>
        <v>5</v>
      </c>
      <c r="AY7" s="169">
        <f t="shared" ref="AY7:AY15" si="12">IF(E7=0,"",E7)</f>
        <v>242</v>
      </c>
      <c r="AZ7" s="169">
        <f t="shared" ref="AZ7:AZ15" si="13">IF(H7=0,"",H7)</f>
        <v>181</v>
      </c>
      <c r="BA7" s="169">
        <f t="shared" ref="BA7:BA15" si="14">IF(K7=0,"",K7)</f>
        <v>215</v>
      </c>
      <c r="BB7" s="169">
        <f t="shared" ref="BB7:BB15" si="15">IF(N7=0,"",N7)</f>
        <v>188</v>
      </c>
      <c r="BC7" s="169">
        <f t="shared" ref="BC7:BC15" si="16">IF(Q7=0,"",Q7)</f>
        <v>200</v>
      </c>
      <c r="BD7" s="170"/>
      <c r="BE7" s="168"/>
      <c r="BF7" s="169">
        <f t="shared" ref="BF7:BF15" si="17">MAX(AY7:BC7)</f>
        <v>242</v>
      </c>
      <c r="BG7" s="169">
        <f t="shared" ref="BG7:BG15" si="18">IF(BF7&lt;MAX(BF:BF),0,BF7+ROW()/1000000000)</f>
        <v>0</v>
      </c>
      <c r="BH7" s="169" t="str">
        <f>+B3</f>
        <v>Bad Tölz 1</v>
      </c>
      <c r="BI7" s="168">
        <f t="shared" ref="BI7:BI15" si="19">RANK(BG7,BG:BG)</f>
        <v>2</v>
      </c>
      <c r="BJ7" s="169">
        <f t="shared" ref="BJ7:BJ15" si="20">SUMIF(AY7:BC7,"&gt;0")</f>
        <v>1026</v>
      </c>
      <c r="BK7" s="169">
        <f>IF(COUNTIF(AY7:BC7,"&gt;0")&lt;Spielorte!$A$23,0,AV7/Spielorte!$A$23)</f>
        <v>205.2</v>
      </c>
      <c r="BL7" s="169">
        <f t="shared" ref="BL7:BL15" si="21">IF(BK7&lt;MAX(BK:BK),0,BK7+ROW()/1000000000)</f>
        <v>205.200000007</v>
      </c>
      <c r="BM7" s="168">
        <f t="shared" ref="BM7:BM15" si="22">IF(BL7=0,0,RANK(BL7,BL:BL))</f>
        <v>1</v>
      </c>
    </row>
    <row r="8" spans="1:65" ht="16.95" customHeight="1">
      <c r="A8" s="404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9"/>
      <c r="H8" s="222"/>
      <c r="I8" s="241">
        <f t="shared" si="2"/>
        <v>0</v>
      </c>
      <c r="J8" s="429"/>
      <c r="K8" s="222"/>
      <c r="L8" s="241">
        <f t="shared" si="3"/>
        <v>0</v>
      </c>
      <c r="M8" s="429"/>
      <c r="N8" s="222"/>
      <c r="O8" s="241">
        <f t="shared" si="4"/>
        <v>0</v>
      </c>
      <c r="P8" s="429"/>
      <c r="Q8" s="222"/>
      <c r="R8" s="241">
        <f t="shared" si="5"/>
        <v>0</v>
      </c>
      <c r="S8" s="429"/>
      <c r="T8" s="222">
        <f t="shared" si="6"/>
        <v>0</v>
      </c>
      <c r="U8" s="241">
        <f t="shared" si="6"/>
        <v>0</v>
      </c>
      <c r="V8" s="401"/>
      <c r="W8" s="79"/>
      <c r="X8" s="79"/>
      <c r="Y8" s="79"/>
      <c r="Z8" s="79"/>
      <c r="AA8" s="79"/>
      <c r="AB8" s="79"/>
      <c r="AL8" s="169">
        <f>IF(AU8=0,0,IFERROR(INDEX(RanglisteST3!K:K,MATCH(AU8,RanglisteST3!A:A,0)),0))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0</v>
      </c>
      <c r="BH8" s="169" t="str">
        <f t="shared" ref="BH8:BH15" si="23">+BH7</f>
        <v>Bad Tölz 1</v>
      </c>
      <c r="BI8" s="168">
        <f t="shared" si="19"/>
        <v>2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0</v>
      </c>
      <c r="BM8" s="168">
        <f t="shared" si="22"/>
        <v>0</v>
      </c>
    </row>
    <row r="9" spans="1:65" ht="16.95" customHeight="1" thickBot="1">
      <c r="A9" s="405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30"/>
      <c r="H9" s="224"/>
      <c r="I9" s="242">
        <f t="shared" si="2"/>
        <v>0</v>
      </c>
      <c r="J9" s="430"/>
      <c r="K9" s="224"/>
      <c r="L9" s="242">
        <f t="shared" si="3"/>
        <v>0</v>
      </c>
      <c r="M9" s="430"/>
      <c r="N9" s="224"/>
      <c r="O9" s="242">
        <f t="shared" si="4"/>
        <v>0</v>
      </c>
      <c r="P9" s="430"/>
      <c r="Q9" s="224"/>
      <c r="R9" s="242">
        <f t="shared" si="5"/>
        <v>0</v>
      </c>
      <c r="S9" s="430"/>
      <c r="T9" s="224">
        <f t="shared" si="6"/>
        <v>0</v>
      </c>
      <c r="U9" s="242">
        <f t="shared" si="6"/>
        <v>0</v>
      </c>
      <c r="V9" s="402"/>
      <c r="W9" s="79"/>
      <c r="X9" s="79"/>
      <c r="Y9" s="79"/>
      <c r="Z9" s="79"/>
      <c r="AA9" s="79"/>
      <c r="AB9" s="79"/>
      <c r="AL9" s="169">
        <f>IF(AU9=0,0,IFERROR(INDEX(RanglisteST3!K:K,MATCH(AU9,RanglisteST3!A:A,0)),0))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0</v>
      </c>
      <c r="BH9" s="169" t="str">
        <f t="shared" si="23"/>
        <v>Bad Tölz 1</v>
      </c>
      <c r="BI9" s="168">
        <f t="shared" si="19"/>
        <v>2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0</v>
      </c>
      <c r="BM9" s="168">
        <f t="shared" si="22"/>
        <v>0</v>
      </c>
    </row>
    <row r="10" spans="1:65" ht="16.95" customHeight="1">
      <c r="A10" s="403" t="s">
        <v>2</v>
      </c>
      <c r="B10" s="58" t="str">
        <f>IF(C10=0,"",VLOOKUP(C10,Starter!$A$1:$D$196,2,FALSE))</f>
        <v>Rothemund, Louis</v>
      </c>
      <c r="C10" s="235">
        <v>38893</v>
      </c>
      <c r="D10" s="238">
        <f t="shared" si="0"/>
        <v>61</v>
      </c>
      <c r="E10" s="221">
        <v>103</v>
      </c>
      <c r="F10" s="240">
        <f t="shared" si="1"/>
        <v>164</v>
      </c>
      <c r="G10" s="428">
        <f>IF(SUM(F10:F12)+E23=0,0,IF(ABS(SUM(F10:F12))=E23,Spielorte!$A$30/2,IF(ABS(SUM(F10:F12))&gt;E23,Spielorte!$A$30,0)))</f>
        <v>0</v>
      </c>
      <c r="H10" s="221">
        <v>95</v>
      </c>
      <c r="I10" s="240">
        <f t="shared" si="2"/>
        <v>156</v>
      </c>
      <c r="J10" s="428">
        <f>IF(SUM(I10:I12)+H23=0,0,IF(ABS(SUM(I10:I12))=H23,Spielorte!$A$30/2,IF(ABS(SUM(I10:I12))&gt;H23,Spielorte!$A$30,0)))</f>
        <v>1</v>
      </c>
      <c r="K10" s="221"/>
      <c r="L10" s="240">
        <f t="shared" si="3"/>
        <v>0</v>
      </c>
      <c r="M10" s="428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8">
        <f>IF(SUM(O10:O12)+N23=0,0,IF(ABS(SUM(O10:O12))=N23,Spielorte!$A$30/2,IF(ABS(SUM(O10:O12))&gt;N23,Spielorte!$A$30,0)))</f>
        <v>0</v>
      </c>
      <c r="Q10" s="221">
        <v>100</v>
      </c>
      <c r="R10" s="240">
        <f t="shared" si="5"/>
        <v>161</v>
      </c>
      <c r="S10" s="428">
        <f>IF(SUM(R10:R12)+Q23=0,0,IF(ABS(SUM(R10:R12))=Q23,Spielorte!$A$30/2,IF(ABS(SUM(R10:R12))&gt;Q23,Spielorte!$A$30,0)))</f>
        <v>0</v>
      </c>
      <c r="T10" s="221">
        <f t="shared" si="6"/>
        <v>298</v>
      </c>
      <c r="U10" s="240">
        <f t="shared" si="6"/>
        <v>481</v>
      </c>
      <c r="V10" s="400">
        <f>SUM(G10+J10+M10+P10+S10)</f>
        <v>1</v>
      </c>
      <c r="W10" s="79"/>
      <c r="X10" s="79"/>
      <c r="Y10" s="79"/>
      <c r="Z10" s="79"/>
      <c r="AA10" s="79"/>
      <c r="AB10" s="79"/>
      <c r="AL10" s="169">
        <f>IF(AU10=0,0,IFERROR(INDEX(RanglisteST3!K:K,MATCH(AU10,RanglisteST3!A:A,0)),0))</f>
        <v>84.07</v>
      </c>
      <c r="AM10" s="169">
        <f>IF(AU10=0,0,SUMIF(AU7:AU15,AU10,AV7:AV15))</f>
        <v>298</v>
      </c>
      <c r="AN10" s="169">
        <f>IF(AU10=0,0,SUMIF(AU7:AU15,AU10,AW7:AW15))</f>
        <v>3</v>
      </c>
      <c r="AO10" s="169">
        <f t="shared" si="7"/>
        <v>99.333333333333329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61</v>
      </c>
      <c r="AQ10" s="166"/>
      <c r="AR10" s="167"/>
      <c r="AS10" s="167"/>
      <c r="AT10" s="168"/>
      <c r="AU10" s="171">
        <f t="shared" si="8"/>
        <v>38893</v>
      </c>
      <c r="AV10" s="167">
        <f t="shared" si="9"/>
        <v>298</v>
      </c>
      <c r="AW10" s="169">
        <f t="shared" si="10"/>
        <v>3</v>
      </c>
      <c r="AX10" s="169">
        <f t="shared" si="11"/>
        <v>3</v>
      </c>
      <c r="AY10" s="169">
        <f t="shared" si="12"/>
        <v>103</v>
      </c>
      <c r="AZ10" s="169">
        <f t="shared" si="13"/>
        <v>95</v>
      </c>
      <c r="BA10" s="169" t="str">
        <f t="shared" si="14"/>
        <v/>
      </c>
      <c r="BB10" s="169" t="str">
        <f t="shared" si="15"/>
        <v/>
      </c>
      <c r="BC10" s="169">
        <f t="shared" si="16"/>
        <v>100</v>
      </c>
      <c r="BD10" s="170"/>
      <c r="BE10" s="168"/>
      <c r="BF10" s="169">
        <f t="shared" si="17"/>
        <v>103</v>
      </c>
      <c r="BG10" s="169">
        <f t="shared" si="18"/>
        <v>0</v>
      </c>
      <c r="BH10" s="169" t="str">
        <f t="shared" si="23"/>
        <v>Bad Tölz 1</v>
      </c>
      <c r="BI10" s="168">
        <f t="shared" si="19"/>
        <v>2</v>
      </c>
      <c r="BJ10" s="169">
        <f t="shared" si="20"/>
        <v>298</v>
      </c>
      <c r="BK10" s="169">
        <f>IF(COUNTIF(AY10:BC10,"&gt;0")&lt;Spielorte!$A$23,0,AV10/Spielorte!$A$23)</f>
        <v>0</v>
      </c>
      <c r="BL10" s="169">
        <f t="shared" si="21"/>
        <v>0</v>
      </c>
      <c r="BM10" s="168">
        <f t="shared" si="22"/>
        <v>0</v>
      </c>
    </row>
    <row r="11" spans="1:65" ht="16.95" customHeight="1">
      <c r="A11" s="404"/>
      <c r="B11" s="58" t="str">
        <f>IF(C11=0,"",VLOOKUP(C11,Starter!$A$1:$D$196,2,FALSE))</f>
        <v>Lintner, Lena</v>
      </c>
      <c r="C11" s="233">
        <v>38843</v>
      </c>
      <c r="D11" s="239">
        <f t="shared" si="0"/>
        <v>29</v>
      </c>
      <c r="E11" s="222"/>
      <c r="F11" s="241">
        <f t="shared" si="1"/>
        <v>0</v>
      </c>
      <c r="G11" s="429"/>
      <c r="H11" s="222"/>
      <c r="I11" s="241">
        <f t="shared" si="2"/>
        <v>0</v>
      </c>
      <c r="J11" s="429"/>
      <c r="K11" s="222">
        <v>115</v>
      </c>
      <c r="L11" s="241">
        <f t="shared" si="3"/>
        <v>144</v>
      </c>
      <c r="M11" s="429"/>
      <c r="N11" s="222">
        <v>119</v>
      </c>
      <c r="O11" s="241">
        <f t="shared" si="4"/>
        <v>148</v>
      </c>
      <c r="P11" s="429"/>
      <c r="Q11" s="222"/>
      <c r="R11" s="241">
        <f t="shared" si="5"/>
        <v>0</v>
      </c>
      <c r="S11" s="429"/>
      <c r="T11" s="222">
        <f t="shared" si="6"/>
        <v>234</v>
      </c>
      <c r="U11" s="241">
        <f t="shared" si="6"/>
        <v>292</v>
      </c>
      <c r="V11" s="401"/>
      <c r="W11" s="79"/>
      <c r="X11" s="79"/>
      <c r="Y11" s="79"/>
      <c r="Z11" s="79"/>
      <c r="AA11" s="79"/>
      <c r="AB11" s="79"/>
      <c r="AL11" s="169">
        <f>IF(AU11=0,0,IFERROR(INDEX(RanglisteST3!K:K,MATCH(AU11,RanglisteST3!A:A,0)),0))</f>
        <v>124.13</v>
      </c>
      <c r="AM11" s="169">
        <f>IF(AU11=0,0,SUMIF(AU7:AU15,AU11,AV7:AV15))</f>
        <v>234</v>
      </c>
      <c r="AN11" s="169">
        <f>IF(AU11=0,0,SUMIF(AU7:AU15,AU11,AW7:AW15))</f>
        <v>2</v>
      </c>
      <c r="AO11" s="169">
        <f t="shared" si="7"/>
        <v>117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29</v>
      </c>
      <c r="AQ11" s="166"/>
      <c r="AR11" s="167"/>
      <c r="AS11" s="167"/>
      <c r="AT11" s="168"/>
      <c r="AU11" s="171">
        <f t="shared" si="8"/>
        <v>38843</v>
      </c>
      <c r="AV11" s="167">
        <f t="shared" si="9"/>
        <v>234</v>
      </c>
      <c r="AW11" s="169">
        <f t="shared" si="10"/>
        <v>2</v>
      </c>
      <c r="AX11" s="169">
        <f t="shared" si="11"/>
        <v>2</v>
      </c>
      <c r="AY11" s="169" t="str">
        <f t="shared" si="12"/>
        <v/>
      </c>
      <c r="AZ11" s="169" t="str">
        <f t="shared" si="13"/>
        <v/>
      </c>
      <c r="BA11" s="169">
        <f t="shared" si="14"/>
        <v>115</v>
      </c>
      <c r="BB11" s="169">
        <f t="shared" si="15"/>
        <v>119</v>
      </c>
      <c r="BC11" s="169" t="str">
        <f t="shared" si="16"/>
        <v/>
      </c>
      <c r="BD11" s="170"/>
      <c r="BE11" s="168"/>
      <c r="BF11" s="169">
        <f t="shared" si="17"/>
        <v>119</v>
      </c>
      <c r="BG11" s="169">
        <f t="shared" si="18"/>
        <v>0</v>
      </c>
      <c r="BH11" s="169" t="str">
        <f t="shared" si="23"/>
        <v>Bad Tölz 1</v>
      </c>
      <c r="BI11" s="168">
        <f t="shared" si="19"/>
        <v>2</v>
      </c>
      <c r="BJ11" s="169">
        <f t="shared" si="20"/>
        <v>234</v>
      </c>
      <c r="BK11" s="169">
        <f>IF(COUNTIF(AY11:BC11,"&gt;0")&lt;Spielorte!$A$23,0,AV11/Spielorte!$A$23)</f>
        <v>0</v>
      </c>
      <c r="BL11" s="169">
        <f t="shared" si="21"/>
        <v>0</v>
      </c>
      <c r="BM11" s="168">
        <f t="shared" si="22"/>
        <v>0</v>
      </c>
    </row>
    <row r="12" spans="1:65" ht="16.95" customHeight="1" thickBot="1">
      <c r="A12" s="405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30"/>
      <c r="H12" s="224"/>
      <c r="I12" s="242">
        <f t="shared" si="2"/>
        <v>0</v>
      </c>
      <c r="J12" s="430"/>
      <c r="K12" s="224"/>
      <c r="L12" s="242">
        <f t="shared" si="3"/>
        <v>0</v>
      </c>
      <c r="M12" s="430"/>
      <c r="N12" s="224"/>
      <c r="O12" s="242">
        <f t="shared" si="4"/>
        <v>0</v>
      </c>
      <c r="P12" s="430"/>
      <c r="Q12" s="224"/>
      <c r="R12" s="242">
        <f t="shared" si="5"/>
        <v>0</v>
      </c>
      <c r="S12" s="430"/>
      <c r="T12" s="224">
        <f t="shared" si="6"/>
        <v>0</v>
      </c>
      <c r="U12" s="242">
        <f t="shared" si="6"/>
        <v>0</v>
      </c>
      <c r="V12" s="402"/>
      <c r="W12" s="79"/>
      <c r="X12" s="79"/>
      <c r="Y12" s="79"/>
      <c r="Z12" s="79"/>
      <c r="AA12" s="79"/>
      <c r="AB12" s="79"/>
      <c r="AL12" s="169">
        <f>IF(AU12=0,0,IFERROR(INDEX(RanglisteST3!K:K,MATCH(AU12,RanglisteST3!A:A,0)),0))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0</v>
      </c>
      <c r="BH12" s="169" t="str">
        <f t="shared" si="23"/>
        <v>Bad Tölz 1</v>
      </c>
      <c r="BI12" s="168">
        <f t="shared" si="19"/>
        <v>2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0</v>
      </c>
      <c r="BM12" s="168">
        <f t="shared" si="22"/>
        <v>0</v>
      </c>
    </row>
    <row r="13" spans="1:65" ht="16.95" customHeight="1">
      <c r="A13" s="403" t="s">
        <v>3</v>
      </c>
      <c r="B13" s="58" t="str">
        <f>IF(C13=0,"",VLOOKUP(C13,Starter!$A$1:$D$196,2,FALSE))</f>
        <v>Sturm, Sebastian</v>
      </c>
      <c r="C13" s="235">
        <v>38772</v>
      </c>
      <c r="D13" s="238">
        <f t="shared" si="0"/>
        <v>13</v>
      </c>
      <c r="E13" s="221">
        <v>154</v>
      </c>
      <c r="F13" s="240">
        <f t="shared" si="1"/>
        <v>167</v>
      </c>
      <c r="G13" s="428">
        <f>IF(SUM(F13:F15)+E24=0,0,IF(ABS(SUM(F13:F15))=E24,Spielorte!$A$30/2,IF(ABS(SUM(F13:F15))&gt;E24,Spielorte!$A$30,0)))</f>
        <v>0</v>
      </c>
      <c r="H13" s="221">
        <v>134</v>
      </c>
      <c r="I13" s="240">
        <f t="shared" si="2"/>
        <v>147</v>
      </c>
      <c r="J13" s="428">
        <f>IF(SUM(I13:I15)+H24=0,0,IF(ABS(SUM(I13:I15))=H24,Spielorte!$A$30/2,IF(ABS(SUM(I13:I15))&gt;H24,Spielorte!$A$30,0)))</f>
        <v>1</v>
      </c>
      <c r="K13" s="221">
        <v>150</v>
      </c>
      <c r="L13" s="240">
        <f t="shared" si="3"/>
        <v>163</v>
      </c>
      <c r="M13" s="428">
        <f>IF(SUM(L13:L15)+K24=0,0,IF(ABS(SUM(L13:L15))=K24,Spielorte!$A$30/2,IF(ABS(SUM(L13:L15))&gt;K24,Spielorte!$A$30,0)))</f>
        <v>0</v>
      </c>
      <c r="N13" s="221">
        <v>188</v>
      </c>
      <c r="O13" s="240">
        <f t="shared" si="4"/>
        <v>201</v>
      </c>
      <c r="P13" s="428">
        <f>IF(SUM(O13:O15)+N24=0,0,IF(ABS(SUM(O13:O15))=N24,Spielorte!$A$30/2,IF(ABS(SUM(O13:O15))&gt;N24,Spielorte!$A$30,0)))</f>
        <v>0</v>
      </c>
      <c r="Q13" s="221">
        <v>164</v>
      </c>
      <c r="R13" s="240">
        <f t="shared" si="5"/>
        <v>177</v>
      </c>
      <c r="S13" s="428">
        <f>IF(SUM(R13:R15)+Q24=0,0,IF(ABS(SUM(R13:R15))=Q24,Spielorte!$A$30/2,IF(ABS(SUM(R13:R15))&gt;Q24,Spielorte!$A$30,0)))</f>
        <v>1</v>
      </c>
      <c r="T13" s="221">
        <f t="shared" si="6"/>
        <v>790</v>
      </c>
      <c r="U13" s="240">
        <f t="shared" si="6"/>
        <v>855</v>
      </c>
      <c r="V13" s="400">
        <f>SUM(G13+J13+M13+P13+S13)</f>
        <v>2</v>
      </c>
      <c r="W13" s="79"/>
      <c r="X13" s="79"/>
      <c r="Y13" s="79"/>
      <c r="Z13" s="79"/>
      <c r="AA13" s="79"/>
      <c r="AB13" s="79"/>
      <c r="AL13" s="169">
        <f>IF(AU13=0,0,IFERROR(INDEX(RanglisteST3!K:K,MATCH(AU13,RanglisteST3!A:A,0)),0))</f>
        <v>143.16999999999999</v>
      </c>
      <c r="AM13" s="169">
        <f>IF(AU13=0,0,SUMIF(AU7:AU15,AU13,AV7:AV15))</f>
        <v>790</v>
      </c>
      <c r="AN13" s="169">
        <f>IF(AU13=0,0,SUMIF(AU7:AU15,AU13,AW7:AW15))</f>
        <v>5</v>
      </c>
      <c r="AO13" s="169">
        <f t="shared" si="7"/>
        <v>158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13</v>
      </c>
      <c r="AQ13" s="166"/>
      <c r="AR13" s="167"/>
      <c r="AS13" s="167"/>
      <c r="AT13" s="168"/>
      <c r="AU13" s="171">
        <f t="shared" si="8"/>
        <v>38772</v>
      </c>
      <c r="AV13" s="167">
        <f t="shared" si="9"/>
        <v>790</v>
      </c>
      <c r="AW13" s="169">
        <f t="shared" si="10"/>
        <v>5</v>
      </c>
      <c r="AX13" s="169">
        <f t="shared" si="11"/>
        <v>5</v>
      </c>
      <c r="AY13" s="169">
        <f t="shared" si="12"/>
        <v>154</v>
      </c>
      <c r="AZ13" s="169">
        <f t="shared" si="13"/>
        <v>134</v>
      </c>
      <c r="BA13" s="169">
        <f t="shared" si="14"/>
        <v>150</v>
      </c>
      <c r="BB13" s="169">
        <f t="shared" si="15"/>
        <v>188</v>
      </c>
      <c r="BC13" s="169">
        <f t="shared" si="16"/>
        <v>164</v>
      </c>
      <c r="BD13" s="170"/>
      <c r="BE13" s="168"/>
      <c r="BF13" s="169">
        <f t="shared" si="17"/>
        <v>188</v>
      </c>
      <c r="BG13" s="169">
        <f t="shared" si="18"/>
        <v>0</v>
      </c>
      <c r="BH13" s="169" t="str">
        <f t="shared" si="23"/>
        <v>Bad Tölz 1</v>
      </c>
      <c r="BI13" s="168">
        <f t="shared" si="19"/>
        <v>2</v>
      </c>
      <c r="BJ13" s="169">
        <f t="shared" si="20"/>
        <v>790</v>
      </c>
      <c r="BK13" s="169">
        <f>IF(COUNTIF(AY13:BC13,"&gt;0")&lt;Spielorte!$A$23,0,AV13/Spielorte!$A$23)</f>
        <v>158</v>
      </c>
      <c r="BL13" s="169">
        <f t="shared" si="21"/>
        <v>0</v>
      </c>
      <c r="BM13" s="168">
        <f t="shared" si="22"/>
        <v>0</v>
      </c>
    </row>
    <row r="14" spans="1:65" ht="16.95" customHeight="1">
      <c r="A14" s="404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9"/>
      <c r="H14" s="222"/>
      <c r="I14" s="241">
        <f t="shared" si="2"/>
        <v>0</v>
      </c>
      <c r="J14" s="429"/>
      <c r="K14" s="222"/>
      <c r="L14" s="241">
        <f t="shared" si="3"/>
        <v>0</v>
      </c>
      <c r="M14" s="429"/>
      <c r="N14" s="222"/>
      <c r="O14" s="241">
        <f t="shared" si="4"/>
        <v>0</v>
      </c>
      <c r="P14" s="429"/>
      <c r="Q14" s="222"/>
      <c r="R14" s="241">
        <f t="shared" si="5"/>
        <v>0</v>
      </c>
      <c r="S14" s="429"/>
      <c r="T14" s="222">
        <f t="shared" si="6"/>
        <v>0</v>
      </c>
      <c r="U14" s="241">
        <f t="shared" si="6"/>
        <v>0</v>
      </c>
      <c r="V14" s="401"/>
      <c r="W14" s="79"/>
      <c r="X14" s="79"/>
      <c r="Y14" s="79"/>
      <c r="Z14" s="79"/>
      <c r="AA14" s="79"/>
      <c r="AB14" s="79"/>
      <c r="AL14" s="169">
        <f>IF(AU14=0,0,IFERROR(INDEX(RanglisteST3!K:K,MATCH(AU14,RanglisteST3!A:A,0)),0))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0</v>
      </c>
      <c r="BH14" s="169" t="str">
        <f t="shared" si="23"/>
        <v>Bad Tölz 1</v>
      </c>
      <c r="BI14" s="168">
        <f t="shared" si="19"/>
        <v>2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0</v>
      </c>
      <c r="BM14" s="168">
        <f t="shared" si="22"/>
        <v>0</v>
      </c>
    </row>
    <row r="15" spans="1:65" ht="16.95" customHeight="1" thickBot="1">
      <c r="A15" s="405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30"/>
      <c r="H15" s="224"/>
      <c r="I15" s="242">
        <f t="shared" si="2"/>
        <v>0</v>
      </c>
      <c r="J15" s="430"/>
      <c r="K15" s="224"/>
      <c r="L15" s="242">
        <f t="shared" si="3"/>
        <v>0</v>
      </c>
      <c r="M15" s="430"/>
      <c r="N15" s="224"/>
      <c r="O15" s="242">
        <f t="shared" si="4"/>
        <v>0</v>
      </c>
      <c r="P15" s="430"/>
      <c r="Q15" s="224"/>
      <c r="R15" s="242">
        <f t="shared" si="5"/>
        <v>0</v>
      </c>
      <c r="S15" s="430"/>
      <c r="T15" s="224">
        <f t="shared" si="6"/>
        <v>0</v>
      </c>
      <c r="U15" s="242">
        <f t="shared" si="6"/>
        <v>0</v>
      </c>
      <c r="V15" s="402"/>
      <c r="W15" s="79"/>
      <c r="X15" s="79"/>
      <c r="Y15" s="79"/>
      <c r="Z15" s="79"/>
      <c r="AA15" s="79"/>
      <c r="AB15" s="79"/>
      <c r="AL15" s="169">
        <f>IF(AU15=0,0,IFERROR(INDEX(RanglisteST3!K:K,MATCH(AU15,RanglisteST3!A:A,0)),0))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0</v>
      </c>
      <c r="BH15" s="169" t="str">
        <f t="shared" si="23"/>
        <v>Bad Tölz 1</v>
      </c>
      <c r="BI15" s="168">
        <f t="shared" si="19"/>
        <v>2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0</v>
      </c>
      <c r="BM15" s="168">
        <f t="shared" si="22"/>
        <v>0</v>
      </c>
    </row>
    <row r="16" spans="1:65" ht="27.75" customHeight="1" thickBot="1">
      <c r="B16" s="218" t="s">
        <v>1792</v>
      </c>
      <c r="C16" s="204"/>
      <c r="D16" s="219"/>
      <c r="E16" s="226">
        <f>ABS(SUM(E7:E9))+ABS(SUM(E10:E12))+ABS(SUM(E13:E15))</f>
        <v>499</v>
      </c>
      <c r="F16" s="225">
        <f>ABS(SUM(F7:F9))+ABS(SUM(F10:F12))+ABS(SUM(F13:F15))</f>
        <v>573</v>
      </c>
      <c r="G16" s="81">
        <f>IF(F16+E25=0,0,IF(F16=E25,Spielorte!$A$31/2,IF(F16&gt;E25,Spielorte!$A$31,0)))</f>
        <v>0</v>
      </c>
      <c r="H16" s="226">
        <f>ABS(SUM(H7:H9))+ABS(SUM(H10:H12))+ABS(SUM(H13:H15))</f>
        <v>410</v>
      </c>
      <c r="I16" s="225">
        <f>ABS(SUM(I7:I9))+ABS(SUM(I10:I12))+ABS(SUM(I13:I15))</f>
        <v>484</v>
      </c>
      <c r="J16" s="81">
        <f>IF(I16+H25=0,0,IF(I16=H25,Spielorte!$A$31/2,IF(I16&gt;H25,Spielorte!$A$31,0)))</f>
        <v>2</v>
      </c>
      <c r="K16" s="226">
        <f>ABS(SUM(K7:K9))+ABS(SUM(K10:K12))+ABS(SUM(K13:K15))</f>
        <v>480</v>
      </c>
      <c r="L16" s="225">
        <f>ABS(SUM(L7:L9))+ABS(SUM(L10:L12))+ABS(SUM(L13:L15))</f>
        <v>522</v>
      </c>
      <c r="M16" s="81">
        <f>IF(L16+K25=0,0,IF(L16=K25,Spielorte!$A$31/2,IF(L16&gt;K25,Spielorte!$A$31,0)))</f>
        <v>2</v>
      </c>
      <c r="N16" s="226">
        <f>ABS(SUM(N7:N9))+ABS(SUM(N10:N12))+ABS(SUM(N13:N15))</f>
        <v>495</v>
      </c>
      <c r="O16" s="225">
        <f>ABS(SUM(O7:O9))+ABS(SUM(O10:O12))+ABS(SUM(O13:O15))</f>
        <v>537</v>
      </c>
      <c r="P16" s="81">
        <f>IF(O16+N25=0,0,IF(O16=N25,Spielorte!$A$31/2,IF(O16&gt;N25,Spielorte!$A$31,0)))</f>
        <v>2</v>
      </c>
      <c r="Q16" s="226">
        <f>ABS(SUM(Q7:Q9))+ABS(SUM(Q10:Q12))+ABS(SUM(Q13:Q15))</f>
        <v>464</v>
      </c>
      <c r="R16" s="225">
        <f>ABS(SUM(R7:R9))+ABS(SUM(R10:R12))+ABS(SUM(R13:R15))</f>
        <v>538</v>
      </c>
      <c r="S16" s="81">
        <f>IF(R16+Q25=0,0,IF(R16=Q25,Spielorte!$A$31/2,IF(R16&gt;Q25,Spielorte!$A$31,0)))</f>
        <v>2</v>
      </c>
      <c r="T16" s="228">
        <f>SUM(E16+H16+K16+N16+Q16)</f>
        <v>2348</v>
      </c>
      <c r="U16" s="229">
        <f>SUM(F16+I16+L16+O16+R16)</f>
        <v>2654</v>
      </c>
      <c r="V16" s="12">
        <f>SUM(G16+J16+M16+P16+S16)</f>
        <v>8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>
      <c r="B17" s="230" t="s">
        <v>1803</v>
      </c>
      <c r="C17" s="1"/>
      <c r="D17" s="1"/>
      <c r="E17" s="1"/>
      <c r="F17" s="1"/>
      <c r="G17" s="61">
        <f>SUM(G7:G16)</f>
        <v>1</v>
      </c>
      <c r="H17" s="1"/>
      <c r="I17" s="1"/>
      <c r="J17" s="61">
        <f>SUM(J7:J16)</f>
        <v>5</v>
      </c>
      <c r="K17" s="1"/>
      <c r="L17" s="1"/>
      <c r="M17" s="61">
        <f>SUM(M7:M16)</f>
        <v>3</v>
      </c>
      <c r="N17" s="1"/>
      <c r="O17" s="1"/>
      <c r="P17" s="61">
        <f>SUM(P7:P16)</f>
        <v>3</v>
      </c>
      <c r="Q17" s="1"/>
      <c r="R17" s="1"/>
      <c r="S17" s="61">
        <f>SUM(S7:S16)</f>
        <v>4</v>
      </c>
      <c r="T17" s="1"/>
      <c r="U17" s="1"/>
      <c r="V17" s="61">
        <f>SUM(V7:V16)</f>
        <v>16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16</v>
      </c>
      <c r="AR17" s="167">
        <f>+T16</f>
        <v>2348</v>
      </c>
      <c r="AS17" s="167">
        <f>+U16</f>
        <v>2654</v>
      </c>
      <c r="AT17" s="168">
        <f>+B2</f>
        <v>1</v>
      </c>
      <c r="AW17" s="169">
        <f>SUM(AW1:AW16)</f>
        <v>15</v>
      </c>
      <c r="BD17" s="166">
        <f>+AS17/1000000+AQ17+AR17/1000000000000</f>
        <v>16.002654002347999</v>
      </c>
      <c r="BE17" s="168">
        <f>RANK(BD17,BD:BD)</f>
        <v>3</v>
      </c>
      <c r="BI17" s="168"/>
      <c r="BM17" s="168"/>
    </row>
    <row r="18" spans="1:65" ht="11.25" customHeight="1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>
      <c r="B19" s="231" t="s">
        <v>1790</v>
      </c>
      <c r="C19" s="210"/>
      <c r="D19" s="42"/>
      <c r="E19" s="434">
        <f>VLOOKUP($B2,Schlüssel!$A$5:$EK$12,43)</f>
        <v>7</v>
      </c>
      <c r="F19" s="435"/>
      <c r="G19" s="436"/>
      <c r="H19" s="434">
        <f>VLOOKUP($B2,Schlüssel!$A$5:$EK$12,44)</f>
        <v>4</v>
      </c>
      <c r="I19" s="435"/>
      <c r="J19" s="436"/>
      <c r="K19" s="434">
        <f>VLOOKUP($B2,Schlüssel!$A$5:$EK$12,45)</f>
        <v>6</v>
      </c>
      <c r="L19" s="435"/>
      <c r="M19" s="436"/>
      <c r="N19" s="434">
        <f>VLOOKUP($B2,Schlüssel!$A$5:$EK$12,46)</f>
        <v>2</v>
      </c>
      <c r="O19" s="435"/>
      <c r="P19" s="436"/>
      <c r="Q19" s="434">
        <f>VLOOKUP($B2,Schlüssel!$A$5:$EK$12,47)</f>
        <v>8</v>
      </c>
      <c r="R19" s="435"/>
      <c r="S19" s="436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>
      <c r="B20" s="3" t="s">
        <v>9</v>
      </c>
      <c r="C20" s="1"/>
      <c r="D20" s="1"/>
      <c r="E20" s="395" t="str">
        <f>VLOOKUP(E19,Schlüssel!$A$5:$K$12,2)</f>
        <v>BK München 1</v>
      </c>
      <c r="F20" s="438"/>
      <c r="G20" s="396"/>
      <c r="H20" s="395" t="str">
        <f>VLOOKUP(H19,Schlüssel!$A$5:$K$12,2)</f>
        <v>Highroller Rosenheim 3</v>
      </c>
      <c r="I20" s="438"/>
      <c r="J20" s="396"/>
      <c r="K20" s="395" t="str">
        <f>VLOOKUP(K19,Schlüssel!$A$5:$K$12,2)</f>
        <v>Bowling Jugend Bayern 1</v>
      </c>
      <c r="L20" s="438"/>
      <c r="M20" s="396"/>
      <c r="N20" s="395" t="str">
        <f>VLOOKUP(N19,Schlüssel!$A$5:$K$12,2)</f>
        <v>Highroller Rosenheim 1</v>
      </c>
      <c r="O20" s="438"/>
      <c r="P20" s="396"/>
      <c r="Q20" s="395" t="str">
        <f>VLOOKUP(Q19,Schlüssel!$A$5:$K$12,2)</f>
        <v>EMAX 1</v>
      </c>
      <c r="R20" s="438"/>
      <c r="S20" s="396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" customHeight="1">
      <c r="B22" s="417" t="s">
        <v>2275</v>
      </c>
      <c r="C22" s="418"/>
      <c r="D22" s="419"/>
      <c r="E22" s="431">
        <f>ABS(INDEX(F:F,MATCH(E19,$B:$B,0)+5)+INDEX(F:F,MATCH(E19,$B:$B,0)+6)+INDEX(F:F,MATCH(E19,$B:$B,0)+7))</f>
        <v>160</v>
      </c>
      <c r="F22" s="432"/>
      <c r="G22" s="433"/>
      <c r="H22" s="431">
        <f>ABS(INDEX(I:I,MATCH(H19,$B:$B,0)+5)+INDEX(I:I,MATCH(H19,$B:$B,0)+6)+INDEX(I:I,MATCH(H19,$B:$B,0)+7))</f>
        <v>174</v>
      </c>
      <c r="I22" s="432"/>
      <c r="J22" s="433"/>
      <c r="K22" s="431">
        <f>ABS(INDEX(L:L,MATCH(K19,$B:$B,0)+5)+INDEX(L:L,MATCH(K19,$B:$B,0)+6)+INDEX(L:L,MATCH(K19,$B:$B,0)+7))</f>
        <v>165</v>
      </c>
      <c r="L22" s="432"/>
      <c r="M22" s="433"/>
      <c r="N22" s="431">
        <f>ABS(INDEX(O:O,MATCH(N19,$B:$B,0)+5)+INDEX(O:O,MATCH(N19,$B:$B,0)+6)+INDEX(O:O,MATCH(N19,$B:$B,0)+7))</f>
        <v>143</v>
      </c>
      <c r="O22" s="432"/>
      <c r="P22" s="433"/>
      <c r="Q22" s="431">
        <f>ABS(INDEX(R:R,MATCH(Q19,$B:$B,0)+5)+INDEX(R:R,MATCH(Q19,$B:$B,0)+6)+INDEX(R:R,MATCH(Q19,$B:$B,0)+7))</f>
        <v>139</v>
      </c>
      <c r="R22" s="432"/>
      <c r="S22" s="433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" customHeight="1">
      <c r="B23" s="417" t="s">
        <v>2276</v>
      </c>
      <c r="C23" s="418"/>
      <c r="D23" s="419"/>
      <c r="E23" s="424">
        <f>ABS(INDEX(F:F,MATCH(E19,$B:$B,0)+8)+INDEX(F:F,MATCH(E19,$B:$B,0)+9)+INDEX(F:F,MATCH(E19,$B:$B,0)+10))</f>
        <v>205</v>
      </c>
      <c r="F23" s="425"/>
      <c r="G23" s="426"/>
      <c r="H23" s="424">
        <f>ABS(INDEX(I:I,MATCH(H19,$B:$B,0)+8)+INDEX(I:I,MATCH(H19,$B:$B,0)+9)+INDEX(I:I,MATCH(H19,$B:$B,0)+10))</f>
        <v>151</v>
      </c>
      <c r="I23" s="425"/>
      <c r="J23" s="426"/>
      <c r="K23" s="424">
        <f>ABS(INDEX(L:L,MATCH(K19,$B:$B,0)+8)+INDEX(L:L,MATCH(K19,$B:$B,0)+9)+INDEX(L:L,MATCH(K19,$B:$B,0)+10))</f>
        <v>174</v>
      </c>
      <c r="L23" s="425"/>
      <c r="M23" s="426"/>
      <c r="N23" s="424">
        <f>ABS(INDEX(O:O,MATCH(N19,$B:$B,0)+8)+INDEX(O:O,MATCH(N19,$B:$B,0)+9)+INDEX(O:O,MATCH(N19,$B:$B,0)+10))</f>
        <v>179</v>
      </c>
      <c r="O23" s="425"/>
      <c r="P23" s="426"/>
      <c r="Q23" s="424">
        <f>ABS(INDEX(R:R,MATCH(Q19,$B:$B,0)+8)+INDEX(R:R,MATCH(Q19,$B:$B,0)+9)+INDEX(R:R,MATCH(Q19,$B:$B,0)+10))</f>
        <v>168</v>
      </c>
      <c r="R23" s="425"/>
      <c r="S23" s="426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" customHeight="1">
      <c r="B24" s="417" t="s">
        <v>2277</v>
      </c>
      <c r="C24" s="418"/>
      <c r="D24" s="419"/>
      <c r="E24" s="424">
        <f>ABS(INDEX(F:F,MATCH(E19,$B:$B,0)+11)+INDEX(F:F,MATCH(E19,$B:$B,0)+12)+INDEX(F:F,MATCH(E19,$B:$B,0)+13))</f>
        <v>221</v>
      </c>
      <c r="F24" s="425"/>
      <c r="G24" s="426"/>
      <c r="H24" s="424">
        <f>ABS(INDEX(I:I,MATCH(H19,$B:$B,0)+11)+INDEX(I:I,MATCH(H19,$B:$B,0)+12)+INDEX(I:I,MATCH(H19,$B:$B,0)+13))</f>
        <v>135</v>
      </c>
      <c r="I24" s="425"/>
      <c r="J24" s="426"/>
      <c r="K24" s="424">
        <f>ABS(INDEX(L:L,MATCH(K19,$B:$B,0)+11)+INDEX(L:L,MATCH(K19,$B:$B,0)+12)+INDEX(L:L,MATCH(K19,$B:$B,0)+13))</f>
        <v>168</v>
      </c>
      <c r="L24" s="425"/>
      <c r="M24" s="426"/>
      <c r="N24" s="424">
        <f>ABS(INDEX(O:O,MATCH(N19,$B:$B,0)+11)+INDEX(O:O,MATCH(N19,$B:$B,0)+12)+INDEX(O:O,MATCH(N19,$B:$B,0)+13))</f>
        <v>205</v>
      </c>
      <c r="O24" s="425"/>
      <c r="P24" s="426"/>
      <c r="Q24" s="424">
        <f>ABS(INDEX(R:R,MATCH(Q19,$B:$B,0)+11)+INDEX(R:R,MATCH(Q19,$B:$B,0)+12)+INDEX(R:R,MATCH(Q19,$B:$B,0)+13))</f>
        <v>149</v>
      </c>
      <c r="R24" s="425"/>
      <c r="S24" s="426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" customHeight="1">
      <c r="B25" s="420" t="s">
        <v>2278</v>
      </c>
      <c r="C25" s="421"/>
      <c r="D25" s="422"/>
      <c r="E25" s="407">
        <f>SUM(E22:E24)</f>
        <v>586</v>
      </c>
      <c r="F25" s="423"/>
      <c r="G25" s="408"/>
      <c r="H25" s="407">
        <f>SUM(H22:H24)</f>
        <v>460</v>
      </c>
      <c r="I25" s="423"/>
      <c r="J25" s="408"/>
      <c r="K25" s="407">
        <f>SUM(K22:K24)</f>
        <v>507</v>
      </c>
      <c r="L25" s="423"/>
      <c r="M25" s="408"/>
      <c r="N25" s="407">
        <f>SUM(N22:N24)</f>
        <v>527</v>
      </c>
      <c r="O25" s="423"/>
      <c r="P25" s="408"/>
      <c r="Q25" s="407">
        <f>SUM(Q22:Q24)</f>
        <v>456</v>
      </c>
      <c r="R25" s="423"/>
      <c r="S25" s="408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>
      <c r="A27" s="255"/>
      <c r="B27" s="7" t="s">
        <v>1802</v>
      </c>
      <c r="C27" s="24"/>
      <c r="D27" s="24"/>
      <c r="E27" s="35" t="s">
        <v>1786</v>
      </c>
      <c r="F27" s="35"/>
      <c r="G27" s="427" t="str">
        <f>Schlüssel!$C$1</f>
        <v>Landesliga Jugend</v>
      </c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06">
        <f>Schlüssel!$BA$1</f>
        <v>45752</v>
      </c>
      <c r="T27" s="406"/>
      <c r="U27" s="406"/>
      <c r="V27" s="406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>
      <c r="A28" s="53"/>
      <c r="B28" s="54">
        <v>2</v>
      </c>
      <c r="E28" s="35" t="s">
        <v>1787</v>
      </c>
      <c r="F28" s="35"/>
      <c r="G28" s="413" t="str">
        <f>Schlüssel!$AQ$2</f>
        <v>München Hollywood Super Bowling</v>
      </c>
      <c r="H28" s="413"/>
      <c r="I28" s="413"/>
      <c r="J28" s="413"/>
      <c r="K28" s="413"/>
      <c r="L28" s="413"/>
      <c r="M28" s="413"/>
      <c r="N28" s="413"/>
      <c r="O28" s="413"/>
      <c r="P28" s="66"/>
      <c r="Q28" s="411" t="s">
        <v>1785</v>
      </c>
      <c r="R28" s="412"/>
      <c r="S28" s="38">
        <v>3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>
      <c r="B29" s="414" t="str">
        <f>VLOOKUP(B28,Schlüssel!$A$5:$B$12,2)</f>
        <v>Highroller Rosenheim 1</v>
      </c>
      <c r="C29" s="415"/>
      <c r="D29" s="415"/>
      <c r="E29" s="415"/>
      <c r="F29" s="415"/>
      <c r="G29" s="416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3.8" hidden="1" thickBot="1">
      <c r="A30" s="6"/>
      <c r="B30" s="7"/>
      <c r="C30" s="43"/>
      <c r="D30" s="43"/>
      <c r="E30" s="162" t="s">
        <v>10</v>
      </c>
      <c r="F30" s="220"/>
      <c r="G30" s="159">
        <f>VLOOKUP(B28,Schlüssel!$A$5:$EK$12,53)</f>
        <v>16</v>
      </c>
      <c r="H30" s="161" t="s">
        <v>10</v>
      </c>
      <c r="I30" s="220"/>
      <c r="J30" s="159">
        <f>VLOOKUP(B28,Schlüssel!$A$5:$EK$12,54)</f>
        <v>19</v>
      </c>
      <c r="K30" s="161" t="s">
        <v>10</v>
      </c>
      <c r="L30" s="220"/>
      <c r="M30" s="159">
        <f>VLOOKUP(B28,Schlüssel!$A$5:$EK$12,55)</f>
        <v>14</v>
      </c>
      <c r="N30" s="161" t="s">
        <v>10</v>
      </c>
      <c r="O30" s="220"/>
      <c r="P30" s="159">
        <f>VLOOKUP(B28,Schlüssel!$A$5:$EK$12,56)</f>
        <v>20</v>
      </c>
      <c r="Q30" s="161" t="s">
        <v>10</v>
      </c>
      <c r="R30" s="220"/>
      <c r="S30" s="160">
        <f>VLOOKUP(B28,Schlüssel!$A$5:$EK$12,57)</f>
        <v>18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>
      <c r="B31" s="44" t="s">
        <v>1</v>
      </c>
      <c r="C31" s="208"/>
      <c r="D31" s="217"/>
      <c r="E31" s="423" t="s">
        <v>1793</v>
      </c>
      <c r="F31" s="423"/>
      <c r="G31" s="408"/>
      <c r="H31" s="407" t="s">
        <v>1794</v>
      </c>
      <c r="I31" s="423"/>
      <c r="J31" s="408"/>
      <c r="K31" s="407" t="s">
        <v>1795</v>
      </c>
      <c r="L31" s="423"/>
      <c r="M31" s="408"/>
      <c r="N31" s="407" t="s">
        <v>1796</v>
      </c>
      <c r="O31" s="423"/>
      <c r="P31" s="408"/>
      <c r="Q31" s="407" t="s">
        <v>1797</v>
      </c>
      <c r="R31" s="423"/>
      <c r="S31" s="437"/>
      <c r="T31" s="439" t="s">
        <v>1792</v>
      </c>
      <c r="U31" s="440"/>
      <c r="V31" s="410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6.95" customHeight="1">
      <c r="A33" s="403" t="s">
        <v>0</v>
      </c>
      <c r="B33" s="58" t="str">
        <f>IF(C33=0,"",VLOOKUP(C33,Starter!$A$1:$D$196,2,FALSE))</f>
        <v>Achhammer, Klara</v>
      </c>
      <c r="C33" s="232">
        <v>38760</v>
      </c>
      <c r="D33" s="238">
        <f t="shared" ref="D33:D41" si="24">+AP33</f>
        <v>7</v>
      </c>
      <c r="E33" s="221">
        <v>177</v>
      </c>
      <c r="F33" s="240">
        <f t="shared" ref="F33:F41" si="25">IF(E33&gt;0,E33+$D33,0)</f>
        <v>184</v>
      </c>
      <c r="G33" s="428">
        <f>IF(SUM(F33:F35)+E48=0,0,IF(ABS(SUM(F33:F35))=E48,Spielorte!$A$30/2,IF(ABS(SUM(F33:F35))&gt;E48,Spielorte!$A$30,0)))</f>
        <v>1</v>
      </c>
      <c r="H33" s="221">
        <v>158</v>
      </c>
      <c r="I33" s="240">
        <f t="shared" ref="I33:I41" si="26">IF(H33&gt;0,H33+$D33,0)</f>
        <v>165</v>
      </c>
      <c r="J33" s="428">
        <f>IF(SUM(I33:I35)+H48=0,0,IF(ABS(SUM(I33:I35))=H48,Spielorte!$A$30/2,IF(ABS(SUM(I33:I35))&gt;H48,Spielorte!$A$30,0)))</f>
        <v>0</v>
      </c>
      <c r="K33" s="221">
        <v>161</v>
      </c>
      <c r="L33" s="240">
        <f t="shared" ref="L33:L41" si="27">IF(K33&gt;0,K33+$D33,0)</f>
        <v>168</v>
      </c>
      <c r="M33" s="428">
        <f>IF(SUM(L33:L35)+K48=0,0,IF(ABS(SUM(L33:L35))=K48,Spielorte!$A$30/2,IF(ABS(SUM(L33:L35))&gt;K48,Spielorte!$A$30,0)))</f>
        <v>0</v>
      </c>
      <c r="N33" s="221">
        <v>136</v>
      </c>
      <c r="O33" s="240">
        <f t="shared" ref="O33:O41" si="28">IF(N33&gt;0,N33+$D33,0)</f>
        <v>143</v>
      </c>
      <c r="P33" s="428">
        <f>IF(SUM(O33:O35)+N48=0,0,IF(ABS(SUM(O33:O35))=N48,Spielorte!$A$30/2,IF(ABS(SUM(O33:O35))&gt;N48,Spielorte!$A$30,0)))</f>
        <v>0</v>
      </c>
      <c r="Q33" s="221">
        <v>193</v>
      </c>
      <c r="R33" s="240">
        <f t="shared" ref="R33:R41" si="29">IF(Q33&gt;0,Q33+$D33,0)</f>
        <v>200</v>
      </c>
      <c r="S33" s="428">
        <f>IF(SUM(R33:R35)+Q48=0,0,IF(ABS(SUM(R33:R35))=Q48,Spielorte!$A$30/2,IF(ABS(SUM(R33:R35))&gt;Q48,Spielorte!$A$30,0)))</f>
        <v>1</v>
      </c>
      <c r="T33" s="221">
        <f t="shared" ref="T33:U41" si="30">ABS(SUM(E33:E33))+ABS(SUM(H33:H33))+ABS(SUM(K33:K33))+ABS(SUM(N33:N33))+ABS(SUM(Q33:Q33))</f>
        <v>825</v>
      </c>
      <c r="U33" s="240">
        <f t="shared" si="30"/>
        <v>860</v>
      </c>
      <c r="V33" s="400">
        <f>SUM(G33+J33+M33+P33+S33)</f>
        <v>2</v>
      </c>
      <c r="W33" s="79"/>
      <c r="X33" s="79"/>
      <c r="Y33" s="79"/>
      <c r="Z33" s="79"/>
      <c r="AA33" s="79"/>
      <c r="AB33" s="79"/>
      <c r="AL33" s="169">
        <f>IF(AU33=0,0,IFERROR(INDEX(RanglisteST3!K:K,MATCH(AU33,RanglisteST3!A:A,0)),0))</f>
        <v>151.76</v>
      </c>
      <c r="AM33" s="169">
        <f>IF(AU33=0,0,SUMIF(AU33:AU41,AU33,AV33:AV41))</f>
        <v>825</v>
      </c>
      <c r="AN33" s="169">
        <f>IF(AU33=0,0,SUMIF(AU33:AU41,AU33,AW33:AW41))</f>
        <v>5</v>
      </c>
      <c r="AO33" s="169">
        <f t="shared" ref="AO33:AO41" si="31">IFERROR(AM33/AN33,0)</f>
        <v>165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7</v>
      </c>
      <c r="AQ33" s="166"/>
      <c r="AR33" s="167"/>
      <c r="AS33" s="167"/>
      <c r="AT33" s="168"/>
      <c r="AU33" s="171">
        <f t="shared" ref="AU33:AU41" si="32">C33</f>
        <v>38760</v>
      </c>
      <c r="AV33" s="167">
        <f t="shared" ref="AV33:AV41" si="33">T33</f>
        <v>825</v>
      </c>
      <c r="AW33" s="169">
        <f t="shared" ref="AW33:AW41" si="34">COUNT(AY33:BC33)</f>
        <v>5</v>
      </c>
      <c r="AX33" s="169">
        <f t="shared" ref="AX33:AX41" si="35">COUNTIF(AY33:BC33,"&gt;0")</f>
        <v>5</v>
      </c>
      <c r="AY33" s="169">
        <f t="shared" ref="AY33:AY41" si="36">IF(E33=0,"",E33)</f>
        <v>177</v>
      </c>
      <c r="AZ33" s="169">
        <f t="shared" ref="AZ33:AZ41" si="37">IF(H33=0,"",H33)</f>
        <v>158</v>
      </c>
      <c r="BA33" s="169">
        <f t="shared" ref="BA33:BA41" si="38">IF(K33=0,"",K33)</f>
        <v>161</v>
      </c>
      <c r="BB33" s="169">
        <f t="shared" ref="BB33:BB41" si="39">IF(N33=0,"",N33)</f>
        <v>136</v>
      </c>
      <c r="BC33" s="169">
        <f t="shared" ref="BC33:BC41" si="40">IF(Q33=0,"",Q33)</f>
        <v>193</v>
      </c>
      <c r="BD33" s="170"/>
      <c r="BE33" s="168"/>
      <c r="BF33" s="169">
        <f t="shared" ref="BF33:BF41" si="41">MAX(AY33:BC33)</f>
        <v>193</v>
      </c>
      <c r="BG33" s="169">
        <f t="shared" ref="BG33:BG41" si="42">IF(BF33&lt;MAX(BF:BF),0,BF33+ROW()/1000000000)</f>
        <v>0</v>
      </c>
      <c r="BH33" s="169" t="str">
        <f>+B29</f>
        <v>Highroller Rosenheim 1</v>
      </c>
      <c r="BI33" s="168">
        <f t="shared" ref="BI33:BI41" si="43">RANK(BG33,BG:BG)</f>
        <v>2</v>
      </c>
      <c r="BJ33" s="169">
        <f t="shared" ref="BJ33:BJ41" si="44">SUMIF(AY33:BC33,"&gt;0")</f>
        <v>825</v>
      </c>
      <c r="BK33" s="169">
        <f>IF(COUNTIF(AY33:BC33,"&gt;0")&lt;Spielorte!$A$23,0,AV33/Spielorte!$A$23)</f>
        <v>165</v>
      </c>
      <c r="BL33" s="169">
        <f t="shared" ref="BL33:BL41" si="45">IF(BK33&lt;MAX(BK:BK),0,BK33+ROW()/1000000000)</f>
        <v>0</v>
      </c>
      <c r="BM33" s="168">
        <f t="shared" ref="BM33:BM41" si="46">IF(BL33=0,0,RANK(BL33,BL:BL))</f>
        <v>0</v>
      </c>
    </row>
    <row r="34" spans="1:65" ht="16.95" customHeight="1">
      <c r="A34" s="404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9"/>
      <c r="H34" s="222"/>
      <c r="I34" s="241">
        <f t="shared" si="26"/>
        <v>0</v>
      </c>
      <c r="J34" s="429"/>
      <c r="K34" s="222"/>
      <c r="L34" s="241">
        <f t="shared" si="27"/>
        <v>0</v>
      </c>
      <c r="M34" s="429"/>
      <c r="N34" s="222"/>
      <c r="O34" s="241">
        <f t="shared" si="28"/>
        <v>0</v>
      </c>
      <c r="P34" s="429"/>
      <c r="Q34" s="222"/>
      <c r="R34" s="241">
        <f t="shared" si="29"/>
        <v>0</v>
      </c>
      <c r="S34" s="429"/>
      <c r="T34" s="222">
        <f t="shared" si="30"/>
        <v>0</v>
      </c>
      <c r="U34" s="241">
        <f t="shared" si="30"/>
        <v>0</v>
      </c>
      <c r="V34" s="401"/>
      <c r="W34" s="79"/>
      <c r="X34" s="79"/>
      <c r="Y34" s="79"/>
      <c r="Z34" s="79"/>
      <c r="AA34" s="79"/>
      <c r="AB34" s="79"/>
      <c r="AL34" s="169">
        <f>IF(AU34=0,0,IFERROR(INDEX(RanglisteST3!K:K,MATCH(AU34,RanglisteST3!A:A,0)),0))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0</v>
      </c>
      <c r="BH34" s="169" t="str">
        <f t="shared" ref="BH34:BH41" si="47">+BH33</f>
        <v>Highroller Rosenheim 1</v>
      </c>
      <c r="BI34" s="168">
        <f t="shared" si="43"/>
        <v>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0</v>
      </c>
      <c r="BM34" s="168">
        <f t="shared" si="46"/>
        <v>0</v>
      </c>
    </row>
    <row r="35" spans="1:65" ht="16.95" customHeight="1" thickBot="1">
      <c r="A35" s="405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30"/>
      <c r="H35" s="224"/>
      <c r="I35" s="242">
        <f t="shared" si="26"/>
        <v>0</v>
      </c>
      <c r="J35" s="430"/>
      <c r="K35" s="224"/>
      <c r="L35" s="242">
        <f t="shared" si="27"/>
        <v>0</v>
      </c>
      <c r="M35" s="430"/>
      <c r="N35" s="224"/>
      <c r="O35" s="242">
        <f t="shared" si="28"/>
        <v>0</v>
      </c>
      <c r="P35" s="430"/>
      <c r="Q35" s="224"/>
      <c r="R35" s="242">
        <f t="shared" si="29"/>
        <v>0</v>
      </c>
      <c r="S35" s="430"/>
      <c r="T35" s="224">
        <f t="shared" si="30"/>
        <v>0</v>
      </c>
      <c r="U35" s="242">
        <f t="shared" si="30"/>
        <v>0</v>
      </c>
      <c r="V35" s="402"/>
      <c r="W35" s="79"/>
      <c r="X35" s="79"/>
      <c r="Y35" s="79"/>
      <c r="Z35" s="79"/>
      <c r="AA35" s="79"/>
      <c r="AB35" s="79"/>
      <c r="AL35" s="169">
        <f>IF(AU35=0,0,IFERROR(INDEX(RanglisteST3!K:K,MATCH(AU35,RanglisteST3!A:A,0)),0))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0</v>
      </c>
      <c r="BH35" s="169" t="str">
        <f t="shared" si="47"/>
        <v>Highroller Rosenheim 1</v>
      </c>
      <c r="BI35" s="168">
        <f t="shared" si="43"/>
        <v>2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0</v>
      </c>
      <c r="BM35" s="168">
        <f t="shared" si="46"/>
        <v>0</v>
      </c>
    </row>
    <row r="36" spans="1:65" ht="16.95" customHeight="1">
      <c r="A36" s="403" t="s">
        <v>2</v>
      </c>
      <c r="B36" s="58" t="str">
        <f>IF(C36=0,"",VLOOKUP(C36,Starter!$A$1:$D$196,2,FALSE))</f>
        <v>Weiss, Luisa Samira</v>
      </c>
      <c r="C36" s="235">
        <v>38773</v>
      </c>
      <c r="D36" s="238">
        <f t="shared" si="24"/>
        <v>6</v>
      </c>
      <c r="E36" s="221">
        <v>164</v>
      </c>
      <c r="F36" s="240">
        <f t="shared" si="25"/>
        <v>170</v>
      </c>
      <c r="G36" s="428">
        <f>IF(SUM(F36:F38)+E49=0,0,IF(ABS(SUM(F36:F38))=E49,Spielorte!$A$30/2,IF(ABS(SUM(F36:F38))&gt;E49,Spielorte!$A$30,0)))</f>
        <v>1</v>
      </c>
      <c r="H36" s="221">
        <v>160</v>
      </c>
      <c r="I36" s="240">
        <f t="shared" si="26"/>
        <v>166</v>
      </c>
      <c r="J36" s="428">
        <f>IF(SUM(I36:I38)+H49=0,0,IF(ABS(SUM(I36:I38))=H49,Spielorte!$A$30/2,IF(ABS(SUM(I36:I38))&gt;H49,Spielorte!$A$30,0)))</f>
        <v>1</v>
      </c>
      <c r="K36" s="221">
        <v>158</v>
      </c>
      <c r="L36" s="240">
        <f t="shared" si="27"/>
        <v>164</v>
      </c>
      <c r="M36" s="428">
        <f>IF(SUM(L36:L38)+K49=0,0,IF(ABS(SUM(L36:L38))=K49,Spielorte!$A$30/2,IF(ABS(SUM(L36:L38))&gt;K49,Spielorte!$A$30,0)))</f>
        <v>1</v>
      </c>
      <c r="N36" s="221">
        <v>173</v>
      </c>
      <c r="O36" s="240">
        <f t="shared" si="28"/>
        <v>179</v>
      </c>
      <c r="P36" s="428">
        <f>IF(SUM(O36:O38)+N49=0,0,IF(ABS(SUM(O36:O38))=N49,Spielorte!$A$30/2,IF(ABS(SUM(O36:O38))&gt;N49,Spielorte!$A$30,0)))</f>
        <v>1</v>
      </c>
      <c r="Q36" s="221">
        <v>148</v>
      </c>
      <c r="R36" s="240">
        <f t="shared" si="29"/>
        <v>154</v>
      </c>
      <c r="S36" s="428">
        <f>IF(SUM(R36:R38)+Q49=0,0,IF(ABS(SUM(R36:R38))=Q49,Spielorte!$A$30/2,IF(ABS(SUM(R36:R38))&gt;Q49,Spielorte!$A$30,0)))</f>
        <v>0</v>
      </c>
      <c r="T36" s="221">
        <f t="shared" si="30"/>
        <v>803</v>
      </c>
      <c r="U36" s="240">
        <f t="shared" si="30"/>
        <v>833</v>
      </c>
      <c r="V36" s="400">
        <f>SUM(G36+J36+M36+P36+S36)</f>
        <v>4</v>
      </c>
      <c r="W36" s="79"/>
      <c r="X36" s="79"/>
      <c r="Y36" s="79"/>
      <c r="Z36" s="79"/>
      <c r="AA36" s="79"/>
      <c r="AB36" s="79"/>
      <c r="AL36" s="169">
        <f>IF(AU36=0,0,IFERROR(INDEX(RanglisteST3!K:K,MATCH(AU36,RanglisteST3!A:A,0)),0))</f>
        <v>152.13</v>
      </c>
      <c r="AM36" s="169">
        <f>IF(AU36=0,0,SUMIF(AU33:AU41,AU36,AV33:AV41))</f>
        <v>803</v>
      </c>
      <c r="AN36" s="169">
        <f>IF(AU36=0,0,SUMIF(AU33:AU41,AU36,AW33:AW41))</f>
        <v>5</v>
      </c>
      <c r="AO36" s="169">
        <f t="shared" si="31"/>
        <v>160.6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6</v>
      </c>
      <c r="AQ36" s="166"/>
      <c r="AR36" s="167"/>
      <c r="AS36" s="167"/>
      <c r="AT36" s="168"/>
      <c r="AU36" s="171">
        <f t="shared" si="32"/>
        <v>38773</v>
      </c>
      <c r="AV36" s="167">
        <f t="shared" si="33"/>
        <v>803</v>
      </c>
      <c r="AW36" s="169">
        <f t="shared" si="34"/>
        <v>5</v>
      </c>
      <c r="AX36" s="169">
        <f t="shared" si="35"/>
        <v>5</v>
      </c>
      <c r="AY36" s="169">
        <f t="shared" si="36"/>
        <v>164</v>
      </c>
      <c r="AZ36" s="169">
        <f t="shared" si="37"/>
        <v>160</v>
      </c>
      <c r="BA36" s="169">
        <f t="shared" si="38"/>
        <v>158</v>
      </c>
      <c r="BB36" s="169">
        <f t="shared" si="39"/>
        <v>173</v>
      </c>
      <c r="BC36" s="169">
        <f t="shared" si="40"/>
        <v>148</v>
      </c>
      <c r="BD36" s="170"/>
      <c r="BE36" s="168"/>
      <c r="BF36" s="169">
        <f t="shared" si="41"/>
        <v>173</v>
      </c>
      <c r="BG36" s="169">
        <f t="shared" si="42"/>
        <v>0</v>
      </c>
      <c r="BH36" s="169" t="str">
        <f t="shared" si="47"/>
        <v>Highroller Rosenheim 1</v>
      </c>
      <c r="BI36" s="168">
        <f t="shared" si="43"/>
        <v>2</v>
      </c>
      <c r="BJ36" s="169">
        <f t="shared" si="44"/>
        <v>803</v>
      </c>
      <c r="BK36" s="169">
        <f>IF(COUNTIF(AY36:BC36,"&gt;0")&lt;Spielorte!$A$23,0,AV36/Spielorte!$A$23)</f>
        <v>160.6</v>
      </c>
      <c r="BL36" s="169">
        <f t="shared" si="45"/>
        <v>0</v>
      </c>
      <c r="BM36" s="168">
        <f t="shared" si="46"/>
        <v>0</v>
      </c>
    </row>
    <row r="37" spans="1:65" ht="16.95" customHeight="1">
      <c r="A37" s="404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9"/>
      <c r="H37" s="222"/>
      <c r="I37" s="241">
        <f t="shared" si="26"/>
        <v>0</v>
      </c>
      <c r="J37" s="429"/>
      <c r="K37" s="222"/>
      <c r="L37" s="241">
        <f t="shared" si="27"/>
        <v>0</v>
      </c>
      <c r="M37" s="429"/>
      <c r="N37" s="222"/>
      <c r="O37" s="241">
        <f t="shared" si="28"/>
        <v>0</v>
      </c>
      <c r="P37" s="429"/>
      <c r="Q37" s="222"/>
      <c r="R37" s="241">
        <f t="shared" si="29"/>
        <v>0</v>
      </c>
      <c r="S37" s="429"/>
      <c r="T37" s="222">
        <f t="shared" si="30"/>
        <v>0</v>
      </c>
      <c r="U37" s="241">
        <f t="shared" si="30"/>
        <v>0</v>
      </c>
      <c r="V37" s="401"/>
      <c r="W37" s="79"/>
      <c r="X37" s="79"/>
      <c r="Y37" s="79"/>
      <c r="Z37" s="79"/>
      <c r="AA37" s="79"/>
      <c r="AB37" s="79"/>
      <c r="AL37" s="169">
        <f>IF(AU37=0,0,IFERROR(INDEX(RanglisteST3!K:K,MATCH(AU37,RanglisteST3!A:A,0)),0))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0</v>
      </c>
      <c r="BH37" s="169" t="str">
        <f t="shared" si="47"/>
        <v>Highroller Rosenheim 1</v>
      </c>
      <c r="BI37" s="168">
        <f t="shared" si="43"/>
        <v>2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0</v>
      </c>
      <c r="BM37" s="168">
        <f t="shared" si="46"/>
        <v>0</v>
      </c>
    </row>
    <row r="38" spans="1:65" ht="16.95" customHeight="1" thickBot="1">
      <c r="A38" s="405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30"/>
      <c r="H38" s="224"/>
      <c r="I38" s="242">
        <f t="shared" si="26"/>
        <v>0</v>
      </c>
      <c r="J38" s="430"/>
      <c r="K38" s="224"/>
      <c r="L38" s="242">
        <f t="shared" si="27"/>
        <v>0</v>
      </c>
      <c r="M38" s="430"/>
      <c r="N38" s="224"/>
      <c r="O38" s="242">
        <f t="shared" si="28"/>
        <v>0</v>
      </c>
      <c r="P38" s="430"/>
      <c r="Q38" s="224"/>
      <c r="R38" s="242">
        <f t="shared" si="29"/>
        <v>0</v>
      </c>
      <c r="S38" s="430"/>
      <c r="T38" s="224">
        <f t="shared" si="30"/>
        <v>0</v>
      </c>
      <c r="U38" s="242">
        <f t="shared" si="30"/>
        <v>0</v>
      </c>
      <c r="V38" s="402"/>
      <c r="W38" s="79"/>
      <c r="X38" s="79"/>
      <c r="Y38" s="79"/>
      <c r="Z38" s="79"/>
      <c r="AA38" s="79"/>
      <c r="AB38" s="79"/>
      <c r="AL38" s="169">
        <f>IF(AU38=0,0,IFERROR(INDEX(RanglisteST3!K:K,MATCH(AU38,RanglisteST3!A:A,0)),0))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0</v>
      </c>
      <c r="BH38" s="169" t="str">
        <f t="shared" si="47"/>
        <v>Highroller Rosenheim 1</v>
      </c>
      <c r="BI38" s="168">
        <f t="shared" si="43"/>
        <v>2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0</v>
      </c>
      <c r="BM38" s="168">
        <f t="shared" si="46"/>
        <v>0</v>
      </c>
    </row>
    <row r="39" spans="1:65" ht="16.95" customHeight="1">
      <c r="A39" s="403" t="s">
        <v>3</v>
      </c>
      <c r="B39" s="58" t="str">
        <f>IF(C39=0,"",VLOOKUP(C39,Starter!$A$1:$D$196,2,FALSE))</f>
        <v>Stölzel, Celia</v>
      </c>
      <c r="C39" s="235">
        <v>38759</v>
      </c>
      <c r="D39" s="238">
        <f t="shared" si="24"/>
        <v>6</v>
      </c>
      <c r="E39" s="221">
        <v>185</v>
      </c>
      <c r="F39" s="240">
        <f t="shared" si="25"/>
        <v>191</v>
      </c>
      <c r="G39" s="428">
        <f>IF(SUM(F39:F41)+E50=0,0,IF(ABS(SUM(F39:F41))=E50,Spielorte!$A$30/2,IF(ABS(SUM(F39:F41))&gt;E50,Spielorte!$A$30,0)))</f>
        <v>1</v>
      </c>
      <c r="H39" s="221">
        <v>168</v>
      </c>
      <c r="I39" s="240">
        <f t="shared" si="26"/>
        <v>174</v>
      </c>
      <c r="J39" s="428">
        <f>IF(SUM(I39:I41)+H50=0,0,IF(ABS(SUM(I39:I41))=H50,Spielorte!$A$30/2,IF(ABS(SUM(I39:I41))&gt;H50,Spielorte!$A$30,0)))</f>
        <v>1</v>
      </c>
      <c r="K39" s="221">
        <v>154</v>
      </c>
      <c r="L39" s="240">
        <f t="shared" si="27"/>
        <v>160</v>
      </c>
      <c r="M39" s="428">
        <f>IF(SUM(L39:L41)+K50=0,0,IF(ABS(SUM(L39:L41))=K50,Spielorte!$A$30/2,IF(ABS(SUM(L39:L41))&gt;K50,Spielorte!$A$30,0)))</f>
        <v>1</v>
      </c>
      <c r="N39" s="221">
        <v>199</v>
      </c>
      <c r="O39" s="240">
        <f t="shared" si="28"/>
        <v>205</v>
      </c>
      <c r="P39" s="428">
        <f>IF(SUM(O39:O41)+N50=0,0,IF(ABS(SUM(O39:O41))=N50,Spielorte!$A$30/2,IF(ABS(SUM(O39:O41))&gt;N50,Spielorte!$A$30,0)))</f>
        <v>1</v>
      </c>
      <c r="Q39" s="221">
        <v>158</v>
      </c>
      <c r="R39" s="240">
        <f t="shared" si="29"/>
        <v>164</v>
      </c>
      <c r="S39" s="428">
        <f>IF(SUM(R39:R41)+Q50=0,0,IF(ABS(SUM(R39:R41))=Q50,Spielorte!$A$30/2,IF(ABS(SUM(R39:R41))&gt;Q50,Spielorte!$A$30,0)))</f>
        <v>1</v>
      </c>
      <c r="T39" s="221">
        <f t="shared" si="30"/>
        <v>864</v>
      </c>
      <c r="U39" s="240">
        <f t="shared" si="30"/>
        <v>894</v>
      </c>
      <c r="V39" s="400">
        <f>SUM(G39+J39+M39+P39+S39)</f>
        <v>5</v>
      </c>
      <c r="W39" s="79"/>
      <c r="X39" s="79"/>
      <c r="Y39" s="79"/>
      <c r="Z39" s="79"/>
      <c r="AA39" s="79"/>
      <c r="AB39" s="79"/>
      <c r="AL39" s="169">
        <f>IF(AU39=0,0,IFERROR(INDEX(RanglisteST3!K:K,MATCH(AU39,RanglisteST3!A:A,0)),0))</f>
        <v>152.06</v>
      </c>
      <c r="AM39" s="169">
        <f>IF(AU39=0,0,SUMIF(AU33:AU41,AU39,AV33:AV41))</f>
        <v>864</v>
      </c>
      <c r="AN39" s="169">
        <f>IF(AU39=0,0,SUMIF(AU33:AU41,AU39,AW33:AW41))</f>
        <v>5</v>
      </c>
      <c r="AO39" s="169">
        <f t="shared" si="31"/>
        <v>172.8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6</v>
      </c>
      <c r="AQ39" s="166"/>
      <c r="AR39" s="167"/>
      <c r="AS39" s="167"/>
      <c r="AT39" s="168"/>
      <c r="AU39" s="171">
        <f t="shared" si="32"/>
        <v>38759</v>
      </c>
      <c r="AV39" s="167">
        <f t="shared" si="33"/>
        <v>864</v>
      </c>
      <c r="AW39" s="169">
        <f t="shared" si="34"/>
        <v>5</v>
      </c>
      <c r="AX39" s="169">
        <f t="shared" si="35"/>
        <v>5</v>
      </c>
      <c r="AY39" s="169">
        <f t="shared" si="36"/>
        <v>185</v>
      </c>
      <c r="AZ39" s="169">
        <f t="shared" si="37"/>
        <v>168</v>
      </c>
      <c r="BA39" s="169">
        <f t="shared" si="38"/>
        <v>154</v>
      </c>
      <c r="BB39" s="169">
        <f t="shared" si="39"/>
        <v>199</v>
      </c>
      <c r="BC39" s="169">
        <f t="shared" si="40"/>
        <v>158</v>
      </c>
      <c r="BD39" s="170"/>
      <c r="BE39" s="168"/>
      <c r="BF39" s="169">
        <f t="shared" si="41"/>
        <v>199</v>
      </c>
      <c r="BG39" s="169">
        <f t="shared" si="42"/>
        <v>0</v>
      </c>
      <c r="BH39" s="169" t="str">
        <f t="shared" si="47"/>
        <v>Highroller Rosenheim 1</v>
      </c>
      <c r="BI39" s="168">
        <f t="shared" si="43"/>
        <v>2</v>
      </c>
      <c r="BJ39" s="169">
        <f t="shared" si="44"/>
        <v>864</v>
      </c>
      <c r="BK39" s="169">
        <f>IF(COUNTIF(AY39:BC39,"&gt;0")&lt;Spielorte!$A$23,0,AV39/Spielorte!$A$23)</f>
        <v>172.8</v>
      </c>
      <c r="BL39" s="169">
        <f t="shared" si="45"/>
        <v>0</v>
      </c>
      <c r="BM39" s="168">
        <f t="shared" si="46"/>
        <v>0</v>
      </c>
    </row>
    <row r="40" spans="1:65" ht="16.95" customHeight="1">
      <c r="A40" s="404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9"/>
      <c r="H40" s="222"/>
      <c r="I40" s="241">
        <f t="shared" si="26"/>
        <v>0</v>
      </c>
      <c r="J40" s="429"/>
      <c r="K40" s="222"/>
      <c r="L40" s="241">
        <f t="shared" si="27"/>
        <v>0</v>
      </c>
      <c r="M40" s="429"/>
      <c r="N40" s="222"/>
      <c r="O40" s="241">
        <f t="shared" si="28"/>
        <v>0</v>
      </c>
      <c r="P40" s="429"/>
      <c r="Q40" s="222"/>
      <c r="R40" s="241">
        <f t="shared" si="29"/>
        <v>0</v>
      </c>
      <c r="S40" s="429"/>
      <c r="T40" s="222">
        <f t="shared" si="30"/>
        <v>0</v>
      </c>
      <c r="U40" s="241">
        <f t="shared" si="30"/>
        <v>0</v>
      </c>
      <c r="V40" s="401"/>
      <c r="W40" s="79"/>
      <c r="X40" s="79"/>
      <c r="Y40" s="79"/>
      <c r="Z40" s="79"/>
      <c r="AA40" s="79"/>
      <c r="AB40" s="79"/>
      <c r="AL40" s="169">
        <f>IF(AU40=0,0,IFERROR(INDEX(RanglisteST3!K:K,MATCH(AU40,RanglisteST3!A:A,0)),0))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0</v>
      </c>
      <c r="BH40" s="169" t="str">
        <f t="shared" si="47"/>
        <v>Highroller Rosenheim 1</v>
      </c>
      <c r="BI40" s="168">
        <f t="shared" si="43"/>
        <v>2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0</v>
      </c>
      <c r="BM40" s="168">
        <f t="shared" si="46"/>
        <v>0</v>
      </c>
    </row>
    <row r="41" spans="1:65" ht="16.95" customHeight="1" thickBot="1">
      <c r="A41" s="405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30"/>
      <c r="H41" s="224"/>
      <c r="I41" s="242">
        <f t="shared" si="26"/>
        <v>0</v>
      </c>
      <c r="J41" s="430"/>
      <c r="K41" s="224"/>
      <c r="L41" s="242">
        <f t="shared" si="27"/>
        <v>0</v>
      </c>
      <c r="M41" s="430"/>
      <c r="N41" s="224"/>
      <c r="O41" s="242">
        <f t="shared" si="28"/>
        <v>0</v>
      </c>
      <c r="P41" s="430"/>
      <c r="Q41" s="224"/>
      <c r="R41" s="242">
        <f t="shared" si="29"/>
        <v>0</v>
      </c>
      <c r="S41" s="430"/>
      <c r="T41" s="224">
        <f t="shared" si="30"/>
        <v>0</v>
      </c>
      <c r="U41" s="242">
        <f t="shared" si="30"/>
        <v>0</v>
      </c>
      <c r="V41" s="402"/>
      <c r="W41" s="79"/>
      <c r="X41" s="79"/>
      <c r="Y41" s="79"/>
      <c r="Z41" s="79"/>
      <c r="AA41" s="79"/>
      <c r="AB41" s="79"/>
      <c r="AL41" s="169">
        <f>IF(AU41=0,0,IFERROR(INDEX(RanglisteST3!K:K,MATCH(AU41,RanglisteST3!A:A,0)),0))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0</v>
      </c>
      <c r="BH41" s="169" t="str">
        <f t="shared" si="47"/>
        <v>Highroller Rosenheim 1</v>
      </c>
      <c r="BI41" s="168">
        <f t="shared" si="43"/>
        <v>2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0</v>
      </c>
      <c r="BM41" s="168">
        <f t="shared" si="46"/>
        <v>0</v>
      </c>
    </row>
    <row r="42" spans="1:65" ht="27.75" customHeight="1" thickBot="1">
      <c r="B42" s="218" t="s">
        <v>1792</v>
      </c>
      <c r="C42" s="204"/>
      <c r="D42" s="219"/>
      <c r="E42" s="226">
        <f>ABS(SUM(E33:E35))+ABS(SUM(E36:E38))+ABS(SUM(E39:E41))</f>
        <v>526</v>
      </c>
      <c r="F42" s="225">
        <f>ABS(SUM(F33:F35))+ABS(SUM(F36:F38))+ABS(SUM(F39:F41))</f>
        <v>545</v>
      </c>
      <c r="G42" s="81">
        <f>IF(F42+E51=0,0,IF(F42=E51,Spielorte!$A$31/2,IF(F42&gt;E51,Spielorte!$A$31,0)))</f>
        <v>2</v>
      </c>
      <c r="H42" s="226">
        <f>ABS(SUM(H33:H35))+ABS(SUM(H36:H38))+ABS(SUM(H39:H41))</f>
        <v>486</v>
      </c>
      <c r="I42" s="225">
        <f>ABS(SUM(I33:I35))+ABS(SUM(I36:I38))+ABS(SUM(I39:I41))</f>
        <v>505</v>
      </c>
      <c r="J42" s="81">
        <f>IF(I42+H51=0,0,IF(I42=H51,Spielorte!$A$31/2,IF(I42&gt;H51,Spielorte!$A$31,0)))</f>
        <v>2</v>
      </c>
      <c r="K42" s="226">
        <f>ABS(SUM(K33:K35))+ABS(SUM(K36:K38))+ABS(SUM(K39:K41))</f>
        <v>473</v>
      </c>
      <c r="L42" s="225">
        <f>ABS(SUM(L33:L35))+ABS(SUM(L36:L38))+ABS(SUM(L39:L41))</f>
        <v>492</v>
      </c>
      <c r="M42" s="81">
        <f>IF(L42+K51=0,0,IF(L42=K51,Spielorte!$A$31/2,IF(L42&gt;K51,Spielorte!$A$31,0)))</f>
        <v>2</v>
      </c>
      <c r="N42" s="226">
        <f>ABS(SUM(N33:N35))+ABS(SUM(N36:N38))+ABS(SUM(N39:N41))</f>
        <v>508</v>
      </c>
      <c r="O42" s="225">
        <f>ABS(SUM(O33:O35))+ABS(SUM(O36:O38))+ABS(SUM(O39:O41))</f>
        <v>527</v>
      </c>
      <c r="P42" s="81">
        <f>IF(O42+N51=0,0,IF(O42=N51,Spielorte!$A$31/2,IF(O42&gt;N51,Spielorte!$A$31,0)))</f>
        <v>0</v>
      </c>
      <c r="Q42" s="226">
        <f>ABS(SUM(Q33:Q35))+ABS(SUM(Q36:Q38))+ABS(SUM(Q39:Q41))</f>
        <v>499</v>
      </c>
      <c r="R42" s="225">
        <f>ABS(SUM(R33:R35))+ABS(SUM(R36:R38))+ABS(SUM(R39:R41))</f>
        <v>518</v>
      </c>
      <c r="S42" s="81">
        <f>IF(R42+Q51=0,0,IF(R42=Q51,Spielorte!$A$31/2,IF(R42&gt;Q51,Spielorte!$A$31,0)))</f>
        <v>2</v>
      </c>
      <c r="T42" s="228">
        <f>SUM(E42+H42+K42+N42+Q42)</f>
        <v>2492</v>
      </c>
      <c r="U42" s="229">
        <f>SUM(F42+I42+L42+O42+R42)</f>
        <v>2587</v>
      </c>
      <c r="V42" s="12">
        <f>SUM(G42+J42+M42+P42+S42)</f>
        <v>8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>
      <c r="B43" s="230" t="s">
        <v>1803</v>
      </c>
      <c r="C43" s="1"/>
      <c r="D43" s="1"/>
      <c r="E43" s="1"/>
      <c r="F43" s="1"/>
      <c r="G43" s="61">
        <f>SUM(G33:G42)</f>
        <v>5</v>
      </c>
      <c r="H43" s="1"/>
      <c r="I43" s="1"/>
      <c r="J43" s="61">
        <f>SUM(J33:J42)</f>
        <v>4</v>
      </c>
      <c r="K43" s="1"/>
      <c r="L43" s="1"/>
      <c r="M43" s="61">
        <f>SUM(M33:M42)</f>
        <v>4</v>
      </c>
      <c r="N43" s="1"/>
      <c r="O43" s="1"/>
      <c r="P43" s="61">
        <f>SUM(P33:P42)</f>
        <v>2</v>
      </c>
      <c r="Q43" s="1"/>
      <c r="R43" s="1"/>
      <c r="S43" s="61">
        <f>SUM(S33:S42)</f>
        <v>4</v>
      </c>
      <c r="T43" s="1"/>
      <c r="U43" s="1"/>
      <c r="V43" s="61">
        <f>SUM(V33:V42)</f>
        <v>19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19</v>
      </c>
      <c r="AR43" s="167">
        <f>+T42</f>
        <v>2492</v>
      </c>
      <c r="AS43" s="167">
        <f>+U42</f>
        <v>2587</v>
      </c>
      <c r="AT43" s="168">
        <f>+B28</f>
        <v>2</v>
      </c>
      <c r="AW43" s="169">
        <f>SUM(AW27:AW42)</f>
        <v>15</v>
      </c>
      <c r="BD43" s="166">
        <f>+AS43/1000000+AQ43+AR43/1000000000000</f>
        <v>19.002587002492</v>
      </c>
      <c r="BE43" s="168">
        <f>RANK(BD43,BD:BD)</f>
        <v>2</v>
      </c>
      <c r="BI43" s="168"/>
      <c r="BM43" s="168"/>
    </row>
    <row r="44" spans="1:65" ht="11.25" customHeight="1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>
      <c r="B45" s="231" t="s">
        <v>1790</v>
      </c>
      <c r="C45" s="210"/>
      <c r="D45" s="42"/>
      <c r="E45" s="434">
        <f>VLOOKUP($B28,Schlüssel!$A$5:$EK$12,43)</f>
        <v>5</v>
      </c>
      <c r="F45" s="435"/>
      <c r="G45" s="436"/>
      <c r="H45" s="434">
        <f>VLOOKUP($B28,Schlüssel!$A$5:$EK$12,44)</f>
        <v>3</v>
      </c>
      <c r="I45" s="435"/>
      <c r="J45" s="436"/>
      <c r="K45" s="434">
        <f>VLOOKUP($B28,Schlüssel!$A$5:$EK$12,45)</f>
        <v>8</v>
      </c>
      <c r="L45" s="435"/>
      <c r="M45" s="436"/>
      <c r="N45" s="434">
        <f>VLOOKUP($B28,Schlüssel!$A$5:$EK$12,46)</f>
        <v>1</v>
      </c>
      <c r="O45" s="435"/>
      <c r="P45" s="436"/>
      <c r="Q45" s="434">
        <f>VLOOKUP($B28,Schlüssel!$A$5:$EK$12,47)</f>
        <v>6</v>
      </c>
      <c r="R45" s="435"/>
      <c r="S45" s="436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>
      <c r="B46" s="3" t="s">
        <v>9</v>
      </c>
      <c r="C46" s="1"/>
      <c r="D46" s="1"/>
      <c r="E46" s="395" t="str">
        <f>VLOOKUP(E45,Schlüssel!$A$5:$K$12,2)</f>
        <v>Berchtesgaden 1</v>
      </c>
      <c r="F46" s="438"/>
      <c r="G46" s="396"/>
      <c r="H46" s="395" t="str">
        <f>VLOOKUP(H45,Schlüssel!$A$5:$K$12,2)</f>
        <v>Highroller Rosenheim 2</v>
      </c>
      <c r="I46" s="438"/>
      <c r="J46" s="396"/>
      <c r="K46" s="395" t="str">
        <f>VLOOKUP(K45,Schlüssel!$A$5:$K$12,2)</f>
        <v>EMAX 1</v>
      </c>
      <c r="L46" s="438"/>
      <c r="M46" s="396"/>
      <c r="N46" s="395" t="str">
        <f>VLOOKUP(N45,Schlüssel!$A$5:$K$12,2)</f>
        <v>Bad Tölz 1</v>
      </c>
      <c r="O46" s="438"/>
      <c r="P46" s="396"/>
      <c r="Q46" s="395" t="str">
        <f>VLOOKUP(Q45,Schlüssel!$A$5:$K$12,2)</f>
        <v>Bowling Jugend Bayern 1</v>
      </c>
      <c r="R46" s="438"/>
      <c r="S46" s="396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" customHeight="1">
      <c r="B48" s="417" t="s">
        <v>2275</v>
      </c>
      <c r="C48" s="418"/>
      <c r="D48" s="419"/>
      <c r="E48" s="431">
        <f>ABS(INDEX(F:F,MATCH(E45,$B:$B,0)+5)+INDEX(F:F,MATCH(E45,$B:$B,0)+6)+INDEX(F:F,MATCH(E45,$B:$B,0)+7))</f>
        <v>140</v>
      </c>
      <c r="F48" s="432"/>
      <c r="G48" s="433"/>
      <c r="H48" s="431">
        <f>ABS(INDEX(I:I,MATCH(H45,$B:$B,0)+5)+INDEX(I:I,MATCH(H45,$B:$B,0)+6)+INDEX(I:I,MATCH(H45,$B:$B,0)+7))</f>
        <v>180</v>
      </c>
      <c r="I48" s="432"/>
      <c r="J48" s="433"/>
      <c r="K48" s="431">
        <f>ABS(INDEX(L:L,MATCH(K45,$B:$B,0)+5)+INDEX(L:L,MATCH(K45,$B:$B,0)+6)+INDEX(L:L,MATCH(K45,$B:$B,0)+7))</f>
        <v>175</v>
      </c>
      <c r="L48" s="432"/>
      <c r="M48" s="433"/>
      <c r="N48" s="431">
        <f>ABS(INDEX(O:O,MATCH(N45,$B:$B,0)+5)+INDEX(O:O,MATCH(N45,$B:$B,0)+6)+INDEX(O:O,MATCH(N45,$B:$B,0)+7))</f>
        <v>188</v>
      </c>
      <c r="O48" s="432"/>
      <c r="P48" s="433"/>
      <c r="Q48" s="431">
        <f>ABS(INDEX(R:R,MATCH(Q45,$B:$B,0)+5)+INDEX(R:R,MATCH(Q45,$B:$B,0)+6)+INDEX(R:R,MATCH(Q45,$B:$B,0)+7))</f>
        <v>147</v>
      </c>
      <c r="R48" s="432"/>
      <c r="S48" s="433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" customHeight="1">
      <c r="B49" s="417" t="s">
        <v>2276</v>
      </c>
      <c r="C49" s="418"/>
      <c r="D49" s="419"/>
      <c r="E49" s="424">
        <f>ABS(INDEX(F:F,MATCH(E45,$B:$B,0)+8)+INDEX(F:F,MATCH(E45,$B:$B,0)+9)+INDEX(F:F,MATCH(E45,$B:$B,0)+10))</f>
        <v>146</v>
      </c>
      <c r="F49" s="425"/>
      <c r="G49" s="426"/>
      <c r="H49" s="424">
        <f>ABS(INDEX(I:I,MATCH(H45,$B:$B,0)+8)+INDEX(I:I,MATCH(H45,$B:$B,0)+9)+INDEX(I:I,MATCH(H45,$B:$B,0)+10))</f>
        <v>137</v>
      </c>
      <c r="I49" s="425"/>
      <c r="J49" s="426"/>
      <c r="K49" s="424">
        <f>ABS(INDEX(L:L,MATCH(K45,$B:$B,0)+8)+INDEX(L:L,MATCH(K45,$B:$B,0)+9)+INDEX(L:L,MATCH(K45,$B:$B,0)+10))</f>
        <v>103</v>
      </c>
      <c r="L49" s="425"/>
      <c r="M49" s="426"/>
      <c r="N49" s="424">
        <f>ABS(INDEX(O:O,MATCH(N45,$B:$B,0)+8)+INDEX(O:O,MATCH(N45,$B:$B,0)+9)+INDEX(O:O,MATCH(N45,$B:$B,0)+10))</f>
        <v>148</v>
      </c>
      <c r="O49" s="425"/>
      <c r="P49" s="426"/>
      <c r="Q49" s="424">
        <f>ABS(INDEX(R:R,MATCH(Q45,$B:$B,0)+8)+INDEX(R:R,MATCH(Q45,$B:$B,0)+9)+INDEX(R:R,MATCH(Q45,$B:$B,0)+10))</f>
        <v>161</v>
      </c>
      <c r="R49" s="425"/>
      <c r="S49" s="426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" customHeight="1">
      <c r="B50" s="417" t="s">
        <v>2277</v>
      </c>
      <c r="C50" s="418"/>
      <c r="D50" s="419"/>
      <c r="E50" s="424">
        <f>ABS(INDEX(F:F,MATCH(E45,$B:$B,0)+11)+INDEX(F:F,MATCH(E45,$B:$B,0)+12)+INDEX(F:F,MATCH(E45,$B:$B,0)+13))</f>
        <v>143</v>
      </c>
      <c r="F50" s="425"/>
      <c r="G50" s="426"/>
      <c r="H50" s="424">
        <f>ABS(INDEX(I:I,MATCH(H45,$B:$B,0)+11)+INDEX(I:I,MATCH(H45,$B:$B,0)+12)+INDEX(I:I,MATCH(H45,$B:$B,0)+13))</f>
        <v>145</v>
      </c>
      <c r="I50" s="425"/>
      <c r="J50" s="426"/>
      <c r="K50" s="424">
        <f>ABS(INDEX(L:L,MATCH(K45,$B:$B,0)+11)+INDEX(L:L,MATCH(K45,$B:$B,0)+12)+INDEX(L:L,MATCH(K45,$B:$B,0)+13))</f>
        <v>148</v>
      </c>
      <c r="L50" s="425"/>
      <c r="M50" s="426"/>
      <c r="N50" s="424">
        <f>ABS(INDEX(O:O,MATCH(N45,$B:$B,0)+11)+INDEX(O:O,MATCH(N45,$B:$B,0)+12)+INDEX(O:O,MATCH(N45,$B:$B,0)+13))</f>
        <v>201</v>
      </c>
      <c r="O50" s="425"/>
      <c r="P50" s="426"/>
      <c r="Q50" s="424">
        <f>ABS(INDEX(R:R,MATCH(Q45,$B:$B,0)+11)+INDEX(R:R,MATCH(Q45,$B:$B,0)+12)+INDEX(R:R,MATCH(Q45,$B:$B,0)+13))</f>
        <v>162</v>
      </c>
      <c r="R50" s="425"/>
      <c r="S50" s="426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" customHeight="1">
      <c r="B51" s="420" t="s">
        <v>2278</v>
      </c>
      <c r="C51" s="421"/>
      <c r="D51" s="422"/>
      <c r="E51" s="407">
        <f>SUM(E48:E50)</f>
        <v>429</v>
      </c>
      <c r="F51" s="423"/>
      <c r="G51" s="408"/>
      <c r="H51" s="407">
        <f>SUM(H48:H50)</f>
        <v>462</v>
      </c>
      <c r="I51" s="423"/>
      <c r="J51" s="408"/>
      <c r="K51" s="407">
        <f>SUM(K48:K50)</f>
        <v>426</v>
      </c>
      <c r="L51" s="423"/>
      <c r="M51" s="408"/>
      <c r="N51" s="407">
        <f>SUM(N48:N50)</f>
        <v>537</v>
      </c>
      <c r="O51" s="423"/>
      <c r="P51" s="408"/>
      <c r="Q51" s="407">
        <f>SUM(Q48:Q50)</f>
        <v>470</v>
      </c>
      <c r="R51" s="423"/>
      <c r="S51" s="408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>
      <c r="A53" s="255"/>
      <c r="B53" s="7" t="s">
        <v>1802</v>
      </c>
      <c r="C53" s="24"/>
      <c r="D53" s="24"/>
      <c r="E53" s="35" t="s">
        <v>1786</v>
      </c>
      <c r="F53" s="35"/>
      <c r="G53" s="427" t="str">
        <f>Schlüssel!$C$1</f>
        <v>Landesliga Jugend</v>
      </c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  <c r="S53" s="406">
        <f>Schlüssel!$BA$1</f>
        <v>45752</v>
      </c>
      <c r="T53" s="406"/>
      <c r="U53" s="406"/>
      <c r="V53" s="406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>
      <c r="A54" s="53"/>
      <c r="B54" s="54">
        <v>3</v>
      </c>
      <c r="E54" s="35" t="s">
        <v>1787</v>
      </c>
      <c r="F54" s="35"/>
      <c r="G54" s="413" t="str">
        <f>Schlüssel!$AQ$2</f>
        <v>München Hollywood Super Bowling</v>
      </c>
      <c r="H54" s="413"/>
      <c r="I54" s="413"/>
      <c r="J54" s="413"/>
      <c r="K54" s="413"/>
      <c r="L54" s="413"/>
      <c r="M54" s="413"/>
      <c r="N54" s="413"/>
      <c r="O54" s="413"/>
      <c r="P54" s="66"/>
      <c r="Q54" s="411" t="s">
        <v>1785</v>
      </c>
      <c r="R54" s="412"/>
      <c r="S54" s="38">
        <v>3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>
      <c r="B55" s="414" t="str">
        <f>VLOOKUP(B54,Schlüssel!$A$5:$B$12,2)</f>
        <v>Highroller Rosenheim 2</v>
      </c>
      <c r="C55" s="415"/>
      <c r="D55" s="415"/>
      <c r="E55" s="415"/>
      <c r="F55" s="415"/>
      <c r="G55" s="416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3.8" hidden="1" thickBot="1">
      <c r="A56" s="6"/>
      <c r="B56" s="7"/>
      <c r="C56" s="43"/>
      <c r="D56" s="43"/>
      <c r="E56" s="162" t="s">
        <v>10</v>
      </c>
      <c r="F56" s="220"/>
      <c r="G56" s="159">
        <f>VLOOKUP(B54,Schlüssel!$A$5:$EK$12,53)</f>
        <v>13</v>
      </c>
      <c r="H56" s="161" t="s">
        <v>10</v>
      </c>
      <c r="I56" s="220"/>
      <c r="J56" s="159">
        <f>VLOOKUP(B54,Schlüssel!$A$5:$EK$12,54)</f>
        <v>20</v>
      </c>
      <c r="K56" s="161" t="s">
        <v>10</v>
      </c>
      <c r="L56" s="220"/>
      <c r="M56" s="159">
        <f>VLOOKUP(B54,Schlüssel!$A$5:$EK$12,55)</f>
        <v>15</v>
      </c>
      <c r="N56" s="161" t="s">
        <v>10</v>
      </c>
      <c r="O56" s="220"/>
      <c r="P56" s="159">
        <f>VLOOKUP(B54,Schlüssel!$A$5:$EK$12,56)</f>
        <v>17</v>
      </c>
      <c r="Q56" s="161" t="s">
        <v>10</v>
      </c>
      <c r="R56" s="220"/>
      <c r="S56" s="160">
        <f>VLOOKUP(B54,Schlüssel!$A$5:$EK$12,57)</f>
        <v>19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>
      <c r="B57" s="44" t="s">
        <v>1</v>
      </c>
      <c r="C57" s="208"/>
      <c r="D57" s="217"/>
      <c r="E57" s="423" t="s">
        <v>1793</v>
      </c>
      <c r="F57" s="423"/>
      <c r="G57" s="408"/>
      <c r="H57" s="407" t="s">
        <v>1794</v>
      </c>
      <c r="I57" s="423"/>
      <c r="J57" s="408"/>
      <c r="K57" s="407" t="s">
        <v>1795</v>
      </c>
      <c r="L57" s="423"/>
      <c r="M57" s="408"/>
      <c r="N57" s="407" t="s">
        <v>1796</v>
      </c>
      <c r="O57" s="423"/>
      <c r="P57" s="408"/>
      <c r="Q57" s="407" t="s">
        <v>1797</v>
      </c>
      <c r="R57" s="423"/>
      <c r="S57" s="437"/>
      <c r="T57" s="439" t="s">
        <v>1792</v>
      </c>
      <c r="U57" s="440"/>
      <c r="V57" s="410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6.95" customHeight="1">
      <c r="A59" s="403" t="s">
        <v>0</v>
      </c>
      <c r="B59" s="58" t="str">
        <f>IF(C59=0,"",VLOOKUP(C59,Starter!$A$1:$D$196,2,FALSE))</f>
        <v>Weinrich, Lena</v>
      </c>
      <c r="C59" s="232">
        <v>38923</v>
      </c>
      <c r="D59" s="238">
        <f t="shared" ref="D59:D67" si="48">+AP59</f>
        <v>39</v>
      </c>
      <c r="E59" s="221">
        <v>133</v>
      </c>
      <c r="F59" s="240">
        <f t="shared" ref="F59:F67" si="49">IF(E59&gt;0,E59+$D59,0)</f>
        <v>172</v>
      </c>
      <c r="G59" s="428">
        <f>IF(SUM(F59:F61)+E74=0,0,IF(ABS(SUM(F59:F61))=E74,Spielorte!$A$30/2,IF(ABS(SUM(F59:F61))&gt;E74,Spielorte!$A$30,0)))</f>
        <v>0.5</v>
      </c>
      <c r="H59" s="221">
        <v>141</v>
      </c>
      <c r="I59" s="240">
        <f t="shared" ref="I59:I67" si="50">IF(H59&gt;0,H59+$D59,0)</f>
        <v>180</v>
      </c>
      <c r="J59" s="428">
        <f>IF(SUM(I59:I61)+H74=0,0,IF(ABS(SUM(I59:I61))=H74,Spielorte!$A$30/2,IF(ABS(SUM(I59:I61))&gt;H74,Spielorte!$A$30,0)))</f>
        <v>1</v>
      </c>
      <c r="K59" s="221"/>
      <c r="L59" s="240">
        <f t="shared" ref="L59:L67" si="51">IF(K59&gt;0,K59+$D59,0)</f>
        <v>0</v>
      </c>
      <c r="M59" s="428">
        <f>IF(SUM(L59:L61)+K74=0,0,IF(ABS(SUM(L59:L61))=K74,Spielorte!$A$30/2,IF(ABS(SUM(L59:L61))&gt;K74,Spielorte!$A$30,0)))</f>
        <v>0.5</v>
      </c>
      <c r="N59" s="221"/>
      <c r="O59" s="240">
        <f t="shared" ref="O59:O67" si="52">IF(N59&gt;0,N59+$D59,0)</f>
        <v>0</v>
      </c>
      <c r="P59" s="428">
        <f>IF(SUM(O59:O61)+N74=0,0,IF(ABS(SUM(O59:O61))=N74,Spielorte!$A$30/2,IF(ABS(SUM(O59:O61))&gt;N74,Spielorte!$A$30,0)))</f>
        <v>1</v>
      </c>
      <c r="Q59" s="221"/>
      <c r="R59" s="240">
        <f t="shared" ref="R59:R67" si="53">IF(Q59&gt;0,Q59+$D59,0)</f>
        <v>0</v>
      </c>
      <c r="S59" s="428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274</v>
      </c>
      <c r="U59" s="240">
        <f t="shared" si="54"/>
        <v>352</v>
      </c>
      <c r="V59" s="400">
        <f>SUM(G59+J59+M59+P59+S59)</f>
        <v>3</v>
      </c>
      <c r="W59" s="79"/>
      <c r="X59" s="79"/>
      <c r="Y59" s="79"/>
      <c r="Z59" s="79"/>
      <c r="AA59" s="79"/>
      <c r="AB59" s="79"/>
      <c r="AL59" s="169">
        <f>IF(AU59=0,0,IFERROR(INDEX(RanglisteST3!K:K,MATCH(AU59,RanglisteST3!A:A,0)),0))</f>
        <v>111.37</v>
      </c>
      <c r="AM59" s="169">
        <f>IF(AU59=0,0,SUMIF(AU59:AU67,AU59,AV59:AV67))</f>
        <v>491</v>
      </c>
      <c r="AN59" s="169">
        <f>IF(AU59=0,0,SUMIF(AU59:AU67,AU59,AW59:AW67))</f>
        <v>4</v>
      </c>
      <c r="AO59" s="169">
        <f t="shared" ref="AO59:AO67" si="55">IFERROR(AM59/AN59,0)</f>
        <v>122.75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39</v>
      </c>
      <c r="AQ59" s="166"/>
      <c r="AR59" s="167"/>
      <c r="AS59" s="167"/>
      <c r="AT59" s="168"/>
      <c r="AU59" s="171">
        <f t="shared" ref="AU59:AU67" si="56">C59</f>
        <v>38923</v>
      </c>
      <c r="AV59" s="167">
        <f t="shared" ref="AV59:AV67" si="57">T59</f>
        <v>274</v>
      </c>
      <c r="AW59" s="169">
        <f t="shared" ref="AW59:AW67" si="58">COUNT(AY59:BC59)</f>
        <v>2</v>
      </c>
      <c r="AX59" s="169">
        <f t="shared" ref="AX59:AX67" si="59">COUNTIF(AY59:BC59,"&gt;0")</f>
        <v>2</v>
      </c>
      <c r="AY59" s="169">
        <f t="shared" ref="AY59:AY67" si="60">IF(E59=0,"",E59)</f>
        <v>133</v>
      </c>
      <c r="AZ59" s="169">
        <f t="shared" ref="AZ59:AZ67" si="61">IF(H59=0,"",H59)</f>
        <v>141</v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141</v>
      </c>
      <c r="BG59" s="169">
        <f t="shared" ref="BG59:BG67" si="66">IF(BF59&lt;MAX(BF:BF),0,BF59+ROW()/1000000000)</f>
        <v>0</v>
      </c>
      <c r="BH59" s="169" t="str">
        <f>+B55</f>
        <v>Highroller Rosenheim 2</v>
      </c>
      <c r="BI59" s="168">
        <f t="shared" ref="BI59:BI67" si="67">RANK(BG59,BG:BG)</f>
        <v>2</v>
      </c>
      <c r="BJ59" s="169">
        <f t="shared" ref="BJ59:BJ67" si="68">SUMIF(AY59:BC59,"&gt;0")</f>
        <v>274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0</v>
      </c>
      <c r="BM59" s="168">
        <f t="shared" ref="BM59:BM67" si="70">IF(BL59=0,0,RANK(BL59,BL:BL))</f>
        <v>0</v>
      </c>
    </row>
    <row r="60" spans="1:65" ht="16.95" customHeight="1">
      <c r="A60" s="404"/>
      <c r="B60" s="58" t="str">
        <f>IF(C60=0,"",VLOOKUP(C60,Starter!$A$1:$D$196,2,FALSE))</f>
        <v>Schwarzfischer, Leon</v>
      </c>
      <c r="C60" s="233">
        <v>38920</v>
      </c>
      <c r="D60" s="239">
        <f t="shared" si="48"/>
        <v>45</v>
      </c>
      <c r="E60" s="222"/>
      <c r="F60" s="241">
        <f t="shared" si="49"/>
        <v>0</v>
      </c>
      <c r="G60" s="429"/>
      <c r="H60" s="222"/>
      <c r="I60" s="241">
        <f t="shared" si="50"/>
        <v>0</v>
      </c>
      <c r="J60" s="429"/>
      <c r="K60" s="222">
        <v>101</v>
      </c>
      <c r="L60" s="241">
        <f t="shared" si="51"/>
        <v>146</v>
      </c>
      <c r="M60" s="429"/>
      <c r="N60" s="222">
        <v>124</v>
      </c>
      <c r="O60" s="241">
        <f t="shared" si="52"/>
        <v>169</v>
      </c>
      <c r="P60" s="429"/>
      <c r="Q60" s="222">
        <v>83</v>
      </c>
      <c r="R60" s="241">
        <f t="shared" si="53"/>
        <v>128</v>
      </c>
      <c r="S60" s="429"/>
      <c r="T60" s="222">
        <f t="shared" si="54"/>
        <v>308</v>
      </c>
      <c r="U60" s="241">
        <f t="shared" si="54"/>
        <v>443</v>
      </c>
      <c r="V60" s="401"/>
      <c r="W60" s="79"/>
      <c r="X60" s="79"/>
      <c r="Y60" s="79"/>
      <c r="Z60" s="79"/>
      <c r="AA60" s="79"/>
      <c r="AB60" s="79"/>
      <c r="AL60" s="169">
        <f>IF(AU60=0,0,IFERROR(INDEX(RanglisteST3!K:K,MATCH(AU60,RanglisteST3!A:A,0)),0))</f>
        <v>103.84</v>
      </c>
      <c r="AM60" s="169">
        <f>IF(AU60=0,0,SUMIF(AU59:AU67,AU60,AV59:AV67))</f>
        <v>416</v>
      </c>
      <c r="AN60" s="169">
        <f>IF(AU60=0,0,SUMIF(AU59:AU67,AU60,AW59:AW67))</f>
        <v>4</v>
      </c>
      <c r="AO60" s="169">
        <f t="shared" si="55"/>
        <v>104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45</v>
      </c>
      <c r="AQ60" s="166"/>
      <c r="AR60" s="167"/>
      <c r="AS60" s="167"/>
      <c r="AT60" s="168"/>
      <c r="AU60" s="171">
        <f t="shared" si="56"/>
        <v>38920</v>
      </c>
      <c r="AV60" s="167">
        <f t="shared" si="57"/>
        <v>308</v>
      </c>
      <c r="AW60" s="169">
        <f t="shared" si="58"/>
        <v>3</v>
      </c>
      <c r="AX60" s="169">
        <f t="shared" si="59"/>
        <v>3</v>
      </c>
      <c r="AY60" s="169" t="str">
        <f t="shared" si="60"/>
        <v/>
      </c>
      <c r="AZ60" s="169" t="str">
        <f t="shared" si="61"/>
        <v/>
      </c>
      <c r="BA60" s="169">
        <f t="shared" si="62"/>
        <v>101</v>
      </c>
      <c r="BB60" s="169">
        <f t="shared" si="63"/>
        <v>124</v>
      </c>
      <c r="BC60" s="169">
        <f t="shared" si="64"/>
        <v>83</v>
      </c>
      <c r="BD60" s="170"/>
      <c r="BE60" s="168"/>
      <c r="BF60" s="169">
        <f t="shared" si="65"/>
        <v>124</v>
      </c>
      <c r="BG60" s="169">
        <f t="shared" si="66"/>
        <v>0</v>
      </c>
      <c r="BH60" s="169" t="str">
        <f t="shared" ref="BH60:BH67" si="71">+BH59</f>
        <v>Highroller Rosenheim 2</v>
      </c>
      <c r="BI60" s="168">
        <f t="shared" si="67"/>
        <v>2</v>
      </c>
      <c r="BJ60" s="169">
        <f t="shared" si="68"/>
        <v>308</v>
      </c>
      <c r="BK60" s="169">
        <f>IF(COUNTIF(AY60:BC60,"&gt;0")&lt;Spielorte!$A$23,0,AV60/Spielorte!$A$23)</f>
        <v>0</v>
      </c>
      <c r="BL60" s="169">
        <f t="shared" si="69"/>
        <v>0</v>
      </c>
      <c r="BM60" s="168">
        <f t="shared" si="70"/>
        <v>0</v>
      </c>
    </row>
    <row r="61" spans="1:65" ht="16.95" customHeight="1" thickBot="1">
      <c r="A61" s="405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30"/>
      <c r="H61" s="224"/>
      <c r="I61" s="242">
        <f t="shared" si="50"/>
        <v>0</v>
      </c>
      <c r="J61" s="430"/>
      <c r="K61" s="224"/>
      <c r="L61" s="242">
        <f t="shared" si="51"/>
        <v>0</v>
      </c>
      <c r="M61" s="430"/>
      <c r="N61" s="224"/>
      <c r="O61" s="242">
        <f t="shared" si="52"/>
        <v>0</v>
      </c>
      <c r="P61" s="430"/>
      <c r="Q61" s="224"/>
      <c r="R61" s="242">
        <f t="shared" si="53"/>
        <v>0</v>
      </c>
      <c r="S61" s="430"/>
      <c r="T61" s="224">
        <f t="shared" si="54"/>
        <v>0</v>
      </c>
      <c r="U61" s="242">
        <f t="shared" si="54"/>
        <v>0</v>
      </c>
      <c r="V61" s="402"/>
      <c r="W61" s="79"/>
      <c r="X61" s="79"/>
      <c r="Y61" s="79"/>
      <c r="Z61" s="79"/>
      <c r="AA61" s="79"/>
      <c r="AB61" s="79"/>
      <c r="AL61" s="169">
        <f>IF(AU61=0,0,IFERROR(INDEX(RanglisteST3!K:K,MATCH(AU61,RanglisteST3!A:A,0)),0))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0</v>
      </c>
      <c r="BH61" s="169" t="str">
        <f t="shared" si="71"/>
        <v>Highroller Rosenheim 2</v>
      </c>
      <c r="BI61" s="168">
        <f t="shared" si="67"/>
        <v>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0</v>
      </c>
      <c r="BM61" s="168">
        <f t="shared" si="70"/>
        <v>0</v>
      </c>
    </row>
    <row r="62" spans="1:65" ht="16.95" customHeight="1">
      <c r="A62" s="403" t="s">
        <v>2</v>
      </c>
      <c r="B62" s="58" t="str">
        <f>IF(C62=0,"",VLOOKUP(C62,Starter!$A$1:$D$196,2,FALSE))</f>
        <v>Schwarzfischer, Leon</v>
      </c>
      <c r="C62" s="235">
        <v>38920</v>
      </c>
      <c r="D62" s="238">
        <f t="shared" si="48"/>
        <v>45</v>
      </c>
      <c r="E62" s="221">
        <v>108</v>
      </c>
      <c r="F62" s="240">
        <f t="shared" si="49"/>
        <v>153</v>
      </c>
      <c r="G62" s="428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8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8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8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8">
        <f>IF(SUM(R62:R64)+Q75=0,0,IF(ABS(SUM(R62:R64))=Q75,Spielorte!$A$30/2,IF(ABS(SUM(R62:R64))&gt;Q75,Spielorte!$A$30,0)))</f>
        <v>0</v>
      </c>
      <c r="T62" s="221">
        <f t="shared" si="54"/>
        <v>108</v>
      </c>
      <c r="U62" s="240">
        <f t="shared" si="54"/>
        <v>153</v>
      </c>
      <c r="V62" s="400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IF(AU62=0,0,IFERROR(INDEX(RanglisteST3!K:K,MATCH(AU62,RanglisteST3!A:A,0)),0))</f>
        <v>103.84</v>
      </c>
      <c r="AM62" s="169">
        <f>IF(AU62=0,0,SUMIF(AU59:AU67,AU62,AV59:AV67))</f>
        <v>416</v>
      </c>
      <c r="AN62" s="169">
        <f>IF(AU62=0,0,SUMIF(AU59:AU67,AU62,AW59:AW67))</f>
        <v>4</v>
      </c>
      <c r="AO62" s="169">
        <f t="shared" si="55"/>
        <v>104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45</v>
      </c>
      <c r="AQ62" s="166"/>
      <c r="AR62" s="167"/>
      <c r="AS62" s="167"/>
      <c r="AT62" s="168"/>
      <c r="AU62" s="171">
        <f t="shared" si="56"/>
        <v>38920</v>
      </c>
      <c r="AV62" s="167">
        <f t="shared" si="57"/>
        <v>108</v>
      </c>
      <c r="AW62" s="169">
        <f t="shared" si="58"/>
        <v>1</v>
      </c>
      <c r="AX62" s="169">
        <f t="shared" si="59"/>
        <v>1</v>
      </c>
      <c r="AY62" s="169">
        <f t="shared" si="60"/>
        <v>108</v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108</v>
      </c>
      <c r="BG62" s="169">
        <f t="shared" si="66"/>
        <v>0</v>
      </c>
      <c r="BH62" s="169" t="str">
        <f t="shared" si="71"/>
        <v>Highroller Rosenheim 2</v>
      </c>
      <c r="BI62" s="168">
        <f t="shared" si="67"/>
        <v>2</v>
      </c>
      <c r="BJ62" s="169">
        <f t="shared" si="68"/>
        <v>108</v>
      </c>
      <c r="BK62" s="169">
        <f>IF(COUNTIF(AY62:BC62,"&gt;0")&lt;Spielorte!$A$23,0,AV62/Spielorte!$A$23)</f>
        <v>0</v>
      </c>
      <c r="BL62" s="169">
        <f t="shared" si="69"/>
        <v>0</v>
      </c>
      <c r="BM62" s="168">
        <f t="shared" si="70"/>
        <v>0</v>
      </c>
    </row>
    <row r="63" spans="1:65" ht="16.95" customHeight="1">
      <c r="A63" s="404"/>
      <c r="B63" s="58" t="str">
        <f>IF(C63=0,"",VLOOKUP(C63,Starter!$A$1:$D$196,2,FALSE))</f>
        <v>Schimanski, Theodor</v>
      </c>
      <c r="C63" s="233">
        <v>38922</v>
      </c>
      <c r="D63" s="239">
        <f t="shared" si="48"/>
        <v>49</v>
      </c>
      <c r="E63" s="222"/>
      <c r="F63" s="241">
        <f t="shared" si="49"/>
        <v>0</v>
      </c>
      <c r="G63" s="429"/>
      <c r="H63" s="222">
        <v>88</v>
      </c>
      <c r="I63" s="241">
        <f t="shared" si="50"/>
        <v>137</v>
      </c>
      <c r="J63" s="429"/>
      <c r="K63" s="222">
        <v>85</v>
      </c>
      <c r="L63" s="241">
        <f t="shared" si="51"/>
        <v>134</v>
      </c>
      <c r="M63" s="429"/>
      <c r="N63" s="222">
        <v>80</v>
      </c>
      <c r="O63" s="241">
        <f t="shared" si="52"/>
        <v>129</v>
      </c>
      <c r="P63" s="429"/>
      <c r="Q63" s="222">
        <v>86</v>
      </c>
      <c r="R63" s="241">
        <f t="shared" si="53"/>
        <v>135</v>
      </c>
      <c r="S63" s="429"/>
      <c r="T63" s="222">
        <f t="shared" si="54"/>
        <v>339</v>
      </c>
      <c r="U63" s="241">
        <f t="shared" si="54"/>
        <v>535</v>
      </c>
      <c r="V63" s="401"/>
      <c r="W63" s="79"/>
      <c r="X63" s="79"/>
      <c r="Y63" s="79"/>
      <c r="Z63" s="79"/>
      <c r="AA63" s="79"/>
      <c r="AB63" s="79"/>
      <c r="AL63" s="169">
        <f>IF(AU63=0,0,IFERROR(INDEX(RanglisteST3!K:K,MATCH(AU63,RanglisteST3!A:A,0)),0))</f>
        <v>99.28</v>
      </c>
      <c r="AM63" s="169">
        <f>IF(AU63=0,0,SUMIF(AU59:AU67,AU63,AV59:AV67))</f>
        <v>339</v>
      </c>
      <c r="AN63" s="169">
        <f>IF(AU63=0,0,SUMIF(AU59:AU67,AU63,AW59:AW67))</f>
        <v>4</v>
      </c>
      <c r="AO63" s="169">
        <f t="shared" si="55"/>
        <v>84.75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49</v>
      </c>
      <c r="AQ63" s="166"/>
      <c r="AR63" s="167"/>
      <c r="AS63" s="167"/>
      <c r="AT63" s="168"/>
      <c r="AU63" s="171">
        <f t="shared" si="56"/>
        <v>38922</v>
      </c>
      <c r="AV63" s="167">
        <f t="shared" si="57"/>
        <v>339</v>
      </c>
      <c r="AW63" s="169">
        <f t="shared" si="58"/>
        <v>4</v>
      </c>
      <c r="AX63" s="169">
        <f t="shared" si="59"/>
        <v>4</v>
      </c>
      <c r="AY63" s="169" t="str">
        <f t="shared" si="60"/>
        <v/>
      </c>
      <c r="AZ63" s="169">
        <f t="shared" si="61"/>
        <v>88</v>
      </c>
      <c r="BA63" s="169">
        <f t="shared" si="62"/>
        <v>85</v>
      </c>
      <c r="BB63" s="169">
        <f t="shared" si="63"/>
        <v>80</v>
      </c>
      <c r="BC63" s="169">
        <f t="shared" si="64"/>
        <v>86</v>
      </c>
      <c r="BD63" s="170"/>
      <c r="BE63" s="168"/>
      <c r="BF63" s="169">
        <f t="shared" si="65"/>
        <v>88</v>
      </c>
      <c r="BG63" s="169">
        <f t="shared" si="66"/>
        <v>0</v>
      </c>
      <c r="BH63" s="169" t="str">
        <f t="shared" si="71"/>
        <v>Highroller Rosenheim 2</v>
      </c>
      <c r="BI63" s="168">
        <f t="shared" si="67"/>
        <v>2</v>
      </c>
      <c r="BJ63" s="169">
        <f t="shared" si="68"/>
        <v>339</v>
      </c>
      <c r="BK63" s="169">
        <f>IF(COUNTIF(AY63:BC63,"&gt;0")&lt;Spielorte!$A$23,0,AV63/Spielorte!$A$23)</f>
        <v>0</v>
      </c>
      <c r="BL63" s="169">
        <f t="shared" si="69"/>
        <v>0</v>
      </c>
      <c r="BM63" s="168">
        <f t="shared" si="70"/>
        <v>0</v>
      </c>
    </row>
    <row r="64" spans="1:65" ht="16.95" customHeight="1" thickBot="1">
      <c r="A64" s="405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30"/>
      <c r="H64" s="224"/>
      <c r="I64" s="242">
        <f t="shared" si="50"/>
        <v>0</v>
      </c>
      <c r="J64" s="430"/>
      <c r="K64" s="224"/>
      <c r="L64" s="242">
        <f t="shared" si="51"/>
        <v>0</v>
      </c>
      <c r="M64" s="430"/>
      <c r="N64" s="224"/>
      <c r="O64" s="242">
        <f t="shared" si="52"/>
        <v>0</v>
      </c>
      <c r="P64" s="430"/>
      <c r="Q64" s="224"/>
      <c r="R64" s="242">
        <f t="shared" si="53"/>
        <v>0</v>
      </c>
      <c r="S64" s="430"/>
      <c r="T64" s="224">
        <f t="shared" si="54"/>
        <v>0</v>
      </c>
      <c r="U64" s="242">
        <f t="shared" si="54"/>
        <v>0</v>
      </c>
      <c r="V64" s="402"/>
      <c r="W64" s="79"/>
      <c r="X64" s="79"/>
      <c r="Y64" s="79"/>
      <c r="Z64" s="79"/>
      <c r="AA64" s="79"/>
      <c r="AB64" s="79"/>
      <c r="AL64" s="169">
        <f>IF(AU64=0,0,IFERROR(INDEX(RanglisteST3!K:K,MATCH(AU64,RanglisteST3!A:A,0)),0))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0</v>
      </c>
      <c r="BH64" s="169" t="str">
        <f t="shared" si="71"/>
        <v>Highroller Rosenheim 2</v>
      </c>
      <c r="BI64" s="168">
        <f t="shared" si="67"/>
        <v>2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0</v>
      </c>
      <c r="BM64" s="168">
        <f t="shared" si="70"/>
        <v>0</v>
      </c>
    </row>
    <row r="65" spans="1:65" ht="16.95" customHeight="1">
      <c r="A65" s="403" t="s">
        <v>3</v>
      </c>
      <c r="B65" s="58" t="str">
        <f>IF(C65=0,"",VLOOKUP(C65,Starter!$A$1:$D$196,2,FALSE))</f>
        <v>Schimanski, Johanna</v>
      </c>
      <c r="C65" s="235">
        <v>38921</v>
      </c>
      <c r="D65" s="238">
        <f t="shared" si="48"/>
        <v>69</v>
      </c>
      <c r="E65" s="221">
        <v>85</v>
      </c>
      <c r="F65" s="240">
        <f t="shared" si="49"/>
        <v>154</v>
      </c>
      <c r="G65" s="428">
        <f>IF(SUM(F65:F67)+E76=0,0,IF(ABS(SUM(F65:F67))=E76,Spielorte!$A$30/2,IF(ABS(SUM(F65:F67))&gt;E76,Spielorte!$A$30,0)))</f>
        <v>0</v>
      </c>
      <c r="H65" s="221">
        <v>76</v>
      </c>
      <c r="I65" s="240">
        <f t="shared" si="50"/>
        <v>145</v>
      </c>
      <c r="J65" s="428">
        <f>IF(SUM(I65:I67)+H76=0,0,IF(ABS(SUM(I65:I67))=H76,Spielorte!$A$30/2,IF(ABS(SUM(I65:I67))&gt;H76,Spielorte!$A$30,0)))</f>
        <v>0</v>
      </c>
      <c r="K65" s="221">
        <v>60</v>
      </c>
      <c r="L65" s="240">
        <f t="shared" si="51"/>
        <v>129</v>
      </c>
      <c r="M65" s="428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8">
        <f>IF(SUM(O65:O67)+N76=0,0,IF(ABS(SUM(O65:O67))=N76,Spielorte!$A$30/2,IF(ABS(SUM(O65:O67))&gt;N76,Spielorte!$A$30,0)))</f>
        <v>1</v>
      </c>
      <c r="Q65" s="221"/>
      <c r="R65" s="240">
        <f t="shared" si="53"/>
        <v>0</v>
      </c>
      <c r="S65" s="428">
        <f>IF(SUM(R65:R67)+Q76=0,0,IF(ABS(SUM(R65:R67))=Q76,Spielorte!$A$30/2,IF(ABS(SUM(R65:R67))&gt;Q76,Spielorte!$A$30,0)))</f>
        <v>0</v>
      </c>
      <c r="T65" s="221">
        <f t="shared" si="54"/>
        <v>221</v>
      </c>
      <c r="U65" s="240">
        <f t="shared" si="54"/>
        <v>428</v>
      </c>
      <c r="V65" s="400">
        <f>SUM(G65+J65+M65+P65+S65)</f>
        <v>1</v>
      </c>
      <c r="W65" s="79"/>
      <c r="X65" s="79"/>
      <c r="Y65" s="79"/>
      <c r="Z65" s="79"/>
      <c r="AA65" s="79"/>
      <c r="AB65" s="79"/>
      <c r="AL65" s="169">
        <f>IF(AU65=0,0,IFERROR(INDEX(RanglisteST3!K:K,MATCH(AU65,RanglisteST3!A:A,0)),0))</f>
        <v>73.430000000000007</v>
      </c>
      <c r="AM65" s="169">
        <f>IF(AU65=0,0,SUMIF(AU59:AU67,AU65,AV59:AV67))</f>
        <v>221</v>
      </c>
      <c r="AN65" s="169">
        <f>IF(AU65=0,0,SUMIF(AU59:AU67,AU65,AW59:AW67))</f>
        <v>3</v>
      </c>
      <c r="AO65" s="169">
        <f t="shared" si="55"/>
        <v>73.666666666666671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69</v>
      </c>
      <c r="AQ65" s="166"/>
      <c r="AR65" s="167"/>
      <c r="AS65" s="167"/>
      <c r="AT65" s="168"/>
      <c r="AU65" s="171">
        <f t="shared" si="56"/>
        <v>38921</v>
      </c>
      <c r="AV65" s="167">
        <f t="shared" si="57"/>
        <v>221</v>
      </c>
      <c r="AW65" s="169">
        <f t="shared" si="58"/>
        <v>3</v>
      </c>
      <c r="AX65" s="169">
        <f t="shared" si="59"/>
        <v>3</v>
      </c>
      <c r="AY65" s="169">
        <f t="shared" si="60"/>
        <v>85</v>
      </c>
      <c r="AZ65" s="169">
        <f t="shared" si="61"/>
        <v>76</v>
      </c>
      <c r="BA65" s="169">
        <f t="shared" si="62"/>
        <v>60</v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85</v>
      </c>
      <c r="BG65" s="169">
        <f t="shared" si="66"/>
        <v>0</v>
      </c>
      <c r="BH65" s="169" t="str">
        <f t="shared" si="71"/>
        <v>Highroller Rosenheim 2</v>
      </c>
      <c r="BI65" s="168">
        <f t="shared" si="67"/>
        <v>2</v>
      </c>
      <c r="BJ65" s="169">
        <f t="shared" si="68"/>
        <v>221</v>
      </c>
      <c r="BK65" s="169">
        <f>IF(COUNTIF(AY65:BC65,"&gt;0")&lt;Spielorte!$A$23,0,AV65/Spielorte!$A$23)</f>
        <v>0</v>
      </c>
      <c r="BL65" s="169">
        <f t="shared" si="69"/>
        <v>0</v>
      </c>
      <c r="BM65" s="168">
        <f t="shared" si="70"/>
        <v>0</v>
      </c>
    </row>
    <row r="66" spans="1:65" ht="16.95" customHeight="1">
      <c r="A66" s="404"/>
      <c r="B66" s="58" t="str">
        <f>IF(C66=0,"",VLOOKUP(C66,Starter!$A$1:$D$196,2,FALSE))</f>
        <v>Weinrich, Lena</v>
      </c>
      <c r="C66" s="233">
        <v>38923</v>
      </c>
      <c r="D66" s="239">
        <f t="shared" si="48"/>
        <v>39</v>
      </c>
      <c r="E66" s="222"/>
      <c r="F66" s="241">
        <f t="shared" si="49"/>
        <v>0</v>
      </c>
      <c r="G66" s="429"/>
      <c r="H66" s="222"/>
      <c r="I66" s="241">
        <f t="shared" si="50"/>
        <v>0</v>
      </c>
      <c r="J66" s="429"/>
      <c r="K66" s="222"/>
      <c r="L66" s="241">
        <f t="shared" si="51"/>
        <v>0</v>
      </c>
      <c r="M66" s="429"/>
      <c r="N66" s="222">
        <v>112</v>
      </c>
      <c r="O66" s="241">
        <f t="shared" si="52"/>
        <v>151</v>
      </c>
      <c r="P66" s="429"/>
      <c r="Q66" s="222">
        <v>105</v>
      </c>
      <c r="R66" s="241">
        <f t="shared" si="53"/>
        <v>144</v>
      </c>
      <c r="S66" s="429"/>
      <c r="T66" s="222">
        <f t="shared" si="54"/>
        <v>217</v>
      </c>
      <c r="U66" s="241">
        <f t="shared" si="54"/>
        <v>295</v>
      </c>
      <c r="V66" s="401"/>
      <c r="W66" s="79"/>
      <c r="X66" s="79"/>
      <c r="Y66" s="79"/>
      <c r="Z66" s="79"/>
      <c r="AA66" s="79"/>
      <c r="AB66" s="79"/>
      <c r="AL66" s="169">
        <f>IF(AU66=0,0,IFERROR(INDEX(RanglisteST3!K:K,MATCH(AU66,RanglisteST3!A:A,0)),0))</f>
        <v>111.37</v>
      </c>
      <c r="AM66" s="169">
        <f>IF(AU66=0,0,SUMIF(AU59:AU67,AU66,AV59:AV67))</f>
        <v>491</v>
      </c>
      <c r="AN66" s="169">
        <f>IF(AU66=0,0,SUMIF(AU59:AU67,AU66,AW59:AW67))</f>
        <v>4</v>
      </c>
      <c r="AO66" s="169">
        <f t="shared" si="55"/>
        <v>122.75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39</v>
      </c>
      <c r="AQ66" s="166"/>
      <c r="AR66" s="167"/>
      <c r="AS66" s="167"/>
      <c r="AT66" s="168"/>
      <c r="AU66" s="171">
        <f t="shared" si="56"/>
        <v>38923</v>
      </c>
      <c r="AV66" s="167">
        <f t="shared" si="57"/>
        <v>217</v>
      </c>
      <c r="AW66" s="169">
        <f t="shared" si="58"/>
        <v>2</v>
      </c>
      <c r="AX66" s="169">
        <f t="shared" si="59"/>
        <v>2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>
        <f t="shared" si="63"/>
        <v>112</v>
      </c>
      <c r="BC66" s="169">
        <f t="shared" si="64"/>
        <v>105</v>
      </c>
      <c r="BD66" s="170"/>
      <c r="BE66" s="168"/>
      <c r="BF66" s="169">
        <f t="shared" si="65"/>
        <v>112</v>
      </c>
      <c r="BG66" s="169">
        <f t="shared" si="66"/>
        <v>0</v>
      </c>
      <c r="BH66" s="169" t="str">
        <f t="shared" si="71"/>
        <v>Highroller Rosenheim 2</v>
      </c>
      <c r="BI66" s="168">
        <f t="shared" si="67"/>
        <v>2</v>
      </c>
      <c r="BJ66" s="169">
        <f t="shared" si="68"/>
        <v>217</v>
      </c>
      <c r="BK66" s="169">
        <f>IF(COUNTIF(AY66:BC66,"&gt;0")&lt;Spielorte!$A$23,0,AV66/Spielorte!$A$23)</f>
        <v>0</v>
      </c>
      <c r="BL66" s="169">
        <f t="shared" si="69"/>
        <v>0</v>
      </c>
      <c r="BM66" s="168">
        <f t="shared" si="70"/>
        <v>0</v>
      </c>
    </row>
    <row r="67" spans="1:65" ht="16.95" customHeight="1" thickBot="1">
      <c r="A67" s="405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30"/>
      <c r="H67" s="224"/>
      <c r="I67" s="242">
        <f t="shared" si="50"/>
        <v>0</v>
      </c>
      <c r="J67" s="430"/>
      <c r="K67" s="224"/>
      <c r="L67" s="242">
        <f t="shared" si="51"/>
        <v>0</v>
      </c>
      <c r="M67" s="430"/>
      <c r="N67" s="224"/>
      <c r="O67" s="242">
        <f t="shared" si="52"/>
        <v>0</v>
      </c>
      <c r="P67" s="430"/>
      <c r="Q67" s="224"/>
      <c r="R67" s="242">
        <f t="shared" si="53"/>
        <v>0</v>
      </c>
      <c r="S67" s="430"/>
      <c r="T67" s="224">
        <f t="shared" si="54"/>
        <v>0</v>
      </c>
      <c r="U67" s="242">
        <f t="shared" si="54"/>
        <v>0</v>
      </c>
      <c r="V67" s="402"/>
      <c r="W67" s="79"/>
      <c r="X67" s="79"/>
      <c r="Y67" s="79"/>
      <c r="Z67" s="79"/>
      <c r="AA67" s="79"/>
      <c r="AB67" s="79"/>
      <c r="AL67" s="169">
        <f>IF(AU67=0,0,IFERROR(INDEX(RanglisteST3!K:K,MATCH(AU67,RanglisteST3!A:A,0)),0))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0</v>
      </c>
      <c r="BH67" s="169" t="str">
        <f t="shared" si="71"/>
        <v>Highroller Rosenheim 2</v>
      </c>
      <c r="BI67" s="168">
        <f t="shared" si="67"/>
        <v>2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0</v>
      </c>
      <c r="BM67" s="168">
        <f t="shared" si="70"/>
        <v>0</v>
      </c>
    </row>
    <row r="68" spans="1:65" ht="27.75" customHeight="1" thickBot="1">
      <c r="B68" s="218" t="s">
        <v>1792</v>
      </c>
      <c r="C68" s="204"/>
      <c r="D68" s="219"/>
      <c r="E68" s="226">
        <f>ABS(SUM(E59:E61))+ABS(SUM(E62:E64))+ABS(SUM(E65:E67))</f>
        <v>326</v>
      </c>
      <c r="F68" s="225">
        <f>ABS(SUM(F59:F61))+ABS(SUM(F62:F64))+ABS(SUM(F65:F67))</f>
        <v>479</v>
      </c>
      <c r="G68" s="81">
        <f>IF(F68+E77=0,0,IF(F68=E77,Spielorte!$A$31/2,IF(F68&gt;E77,Spielorte!$A$31,0)))</f>
        <v>0</v>
      </c>
      <c r="H68" s="226">
        <f>ABS(SUM(H59:H61))+ABS(SUM(H62:H64))+ABS(SUM(H65:H67))</f>
        <v>305</v>
      </c>
      <c r="I68" s="225">
        <f>ABS(SUM(I59:I61))+ABS(SUM(I62:I64))+ABS(SUM(I65:I67))</f>
        <v>462</v>
      </c>
      <c r="J68" s="81">
        <f>IF(I68+H77=0,0,IF(I68=H77,Spielorte!$A$31/2,IF(I68&gt;H77,Spielorte!$A$31,0)))</f>
        <v>0</v>
      </c>
      <c r="K68" s="226">
        <f>ABS(SUM(K59:K61))+ABS(SUM(K62:K64))+ABS(SUM(K65:K67))</f>
        <v>246</v>
      </c>
      <c r="L68" s="225">
        <f>ABS(SUM(L59:L61))+ABS(SUM(L62:L64))+ABS(SUM(L65:L67))</f>
        <v>409</v>
      </c>
      <c r="M68" s="81">
        <f>IF(L68+K77=0,0,IF(L68=K77,Spielorte!$A$31/2,IF(L68&gt;K77,Spielorte!$A$31,0)))</f>
        <v>0</v>
      </c>
      <c r="N68" s="226">
        <f>ABS(SUM(N59:N61))+ABS(SUM(N62:N64))+ABS(SUM(N65:N67))</f>
        <v>316</v>
      </c>
      <c r="O68" s="225">
        <f>ABS(SUM(O59:O61))+ABS(SUM(O62:O64))+ABS(SUM(O65:O67))</f>
        <v>449</v>
      </c>
      <c r="P68" s="81">
        <f>IF(O68+N77=0,0,IF(O68=N77,Spielorte!$A$31/2,IF(O68&gt;N77,Spielorte!$A$31,0)))</f>
        <v>2</v>
      </c>
      <c r="Q68" s="226">
        <f>ABS(SUM(Q59:Q61))+ABS(SUM(Q62:Q64))+ABS(SUM(Q65:Q67))</f>
        <v>274</v>
      </c>
      <c r="R68" s="225">
        <f>ABS(SUM(R59:R61))+ABS(SUM(R62:R64))+ABS(SUM(R65:R67))</f>
        <v>407</v>
      </c>
      <c r="S68" s="81">
        <f>IF(R68+Q77=0,0,IF(R68=Q77,Spielorte!$A$31/2,IF(R68&gt;Q77,Spielorte!$A$31,0)))</f>
        <v>0</v>
      </c>
      <c r="T68" s="228">
        <f>SUM(E68+H68+K68+N68+Q68)</f>
        <v>1467</v>
      </c>
      <c r="U68" s="229">
        <f>SUM(F68+I68+L68+O68+R68)</f>
        <v>2206</v>
      </c>
      <c r="V68" s="12">
        <f>SUM(G68+J68+M68+P68+S68)</f>
        <v>2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>
      <c r="B69" s="230" t="s">
        <v>1803</v>
      </c>
      <c r="C69" s="1"/>
      <c r="D69" s="1"/>
      <c r="E69" s="1"/>
      <c r="F69" s="1"/>
      <c r="G69" s="61">
        <f>SUM(G59:G68)</f>
        <v>0.5</v>
      </c>
      <c r="H69" s="1"/>
      <c r="I69" s="1"/>
      <c r="J69" s="61">
        <f>SUM(J59:J68)</f>
        <v>1</v>
      </c>
      <c r="K69" s="1"/>
      <c r="L69" s="1"/>
      <c r="M69" s="61">
        <f>SUM(M59:M68)</f>
        <v>0.5</v>
      </c>
      <c r="N69" s="1"/>
      <c r="O69" s="1"/>
      <c r="P69" s="61">
        <f>SUM(P59:P68)</f>
        <v>4</v>
      </c>
      <c r="Q69" s="1"/>
      <c r="R69" s="1"/>
      <c r="S69" s="61">
        <f>SUM(S59:S68)</f>
        <v>0</v>
      </c>
      <c r="T69" s="1"/>
      <c r="U69" s="1"/>
      <c r="V69" s="61">
        <f>SUM(V59:V68)</f>
        <v>6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6</v>
      </c>
      <c r="AR69" s="167">
        <f>+T68</f>
        <v>1467</v>
      </c>
      <c r="AS69" s="167">
        <f>+U68</f>
        <v>2206</v>
      </c>
      <c r="AT69" s="168">
        <f>+B54</f>
        <v>3</v>
      </c>
      <c r="AW69" s="169">
        <f>SUM(AW53:AW68)</f>
        <v>15</v>
      </c>
      <c r="BD69" s="166">
        <f>+AS69/1000000+AQ69+AR69/1000000000000</f>
        <v>6.002206001467</v>
      </c>
      <c r="BE69" s="168">
        <f>RANK(BD69,BD:BD)</f>
        <v>8</v>
      </c>
      <c r="BI69" s="168"/>
      <c r="BM69" s="168"/>
    </row>
    <row r="70" spans="1:65" ht="11.25" customHeight="1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>
      <c r="B71" s="231" t="s">
        <v>1790</v>
      </c>
      <c r="C71" s="210"/>
      <c r="D71" s="42"/>
      <c r="E71" s="434">
        <f>VLOOKUP($B54,Schlüssel!$A$5:$EK$12,43)</f>
        <v>8</v>
      </c>
      <c r="F71" s="435"/>
      <c r="G71" s="436"/>
      <c r="H71" s="434">
        <f>VLOOKUP($B54,Schlüssel!$A$5:$EK$12,44)</f>
        <v>2</v>
      </c>
      <c r="I71" s="435"/>
      <c r="J71" s="436"/>
      <c r="K71" s="434">
        <f>VLOOKUP($B54,Schlüssel!$A$5:$EK$12,45)</f>
        <v>5</v>
      </c>
      <c r="L71" s="435"/>
      <c r="M71" s="436"/>
      <c r="N71" s="434">
        <f>VLOOKUP($B54,Schlüssel!$A$5:$EK$12,46)</f>
        <v>4</v>
      </c>
      <c r="O71" s="435"/>
      <c r="P71" s="436"/>
      <c r="Q71" s="434">
        <f>VLOOKUP($B54,Schlüssel!$A$5:$EK$12,47)</f>
        <v>7</v>
      </c>
      <c r="R71" s="435"/>
      <c r="S71" s="436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>
      <c r="B72" s="3" t="s">
        <v>9</v>
      </c>
      <c r="C72" s="1"/>
      <c r="D72" s="1"/>
      <c r="E72" s="395" t="str">
        <f>VLOOKUP(E71,Schlüssel!$A$5:$K$12,2)</f>
        <v>EMAX 1</v>
      </c>
      <c r="F72" s="438"/>
      <c r="G72" s="396"/>
      <c r="H72" s="395" t="str">
        <f>VLOOKUP(H71,Schlüssel!$A$5:$K$12,2)</f>
        <v>Highroller Rosenheim 1</v>
      </c>
      <c r="I72" s="438"/>
      <c r="J72" s="396"/>
      <c r="K72" s="395" t="str">
        <f>VLOOKUP(K71,Schlüssel!$A$5:$K$12,2)</f>
        <v>Berchtesgaden 1</v>
      </c>
      <c r="L72" s="438"/>
      <c r="M72" s="396"/>
      <c r="N72" s="395" t="str">
        <f>VLOOKUP(N71,Schlüssel!$A$5:$K$12,2)</f>
        <v>Highroller Rosenheim 3</v>
      </c>
      <c r="O72" s="438"/>
      <c r="P72" s="396"/>
      <c r="Q72" s="395" t="str">
        <f>VLOOKUP(Q71,Schlüssel!$A$5:$K$12,2)</f>
        <v>BK München 1</v>
      </c>
      <c r="R72" s="438"/>
      <c r="S72" s="396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" customHeight="1">
      <c r="B74" s="417" t="s">
        <v>2275</v>
      </c>
      <c r="C74" s="418"/>
      <c r="D74" s="419"/>
      <c r="E74" s="431">
        <f>ABS(INDEX(F:F,MATCH(E71,$B:$B,0)+5)+INDEX(F:F,MATCH(E71,$B:$B,0)+6)+INDEX(F:F,MATCH(E71,$B:$B,0)+7))</f>
        <v>172</v>
      </c>
      <c r="F74" s="432"/>
      <c r="G74" s="433"/>
      <c r="H74" s="431">
        <f>ABS(INDEX(I:I,MATCH(H71,$B:$B,0)+5)+INDEX(I:I,MATCH(H71,$B:$B,0)+6)+INDEX(I:I,MATCH(H71,$B:$B,0)+7))</f>
        <v>165</v>
      </c>
      <c r="I74" s="432"/>
      <c r="J74" s="433"/>
      <c r="K74" s="431">
        <f>ABS(INDEX(L:L,MATCH(K71,$B:$B,0)+5)+INDEX(L:L,MATCH(K71,$B:$B,0)+6)+INDEX(L:L,MATCH(K71,$B:$B,0)+7))</f>
        <v>146</v>
      </c>
      <c r="L74" s="432"/>
      <c r="M74" s="433"/>
      <c r="N74" s="431">
        <f>ABS(INDEX(O:O,MATCH(N71,$B:$B,0)+5)+INDEX(O:O,MATCH(N71,$B:$B,0)+6)+INDEX(O:O,MATCH(N71,$B:$B,0)+7))</f>
        <v>140</v>
      </c>
      <c r="O74" s="432"/>
      <c r="P74" s="433"/>
      <c r="Q74" s="431">
        <f>ABS(INDEX(R:R,MATCH(Q71,$B:$B,0)+5)+INDEX(R:R,MATCH(Q71,$B:$B,0)+6)+INDEX(R:R,MATCH(Q71,$B:$B,0)+7))</f>
        <v>257</v>
      </c>
      <c r="R74" s="432"/>
      <c r="S74" s="433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" customHeight="1">
      <c r="B75" s="417" t="s">
        <v>2276</v>
      </c>
      <c r="C75" s="418"/>
      <c r="D75" s="419"/>
      <c r="E75" s="424">
        <f>ABS(INDEX(F:F,MATCH(E71,$B:$B,0)+8)+INDEX(F:F,MATCH(E71,$B:$B,0)+9)+INDEX(F:F,MATCH(E71,$B:$B,0)+10))</f>
        <v>167</v>
      </c>
      <c r="F75" s="425"/>
      <c r="G75" s="426"/>
      <c r="H75" s="424">
        <f>ABS(INDEX(I:I,MATCH(H71,$B:$B,0)+8)+INDEX(I:I,MATCH(H71,$B:$B,0)+9)+INDEX(I:I,MATCH(H71,$B:$B,0)+10))</f>
        <v>166</v>
      </c>
      <c r="I75" s="425"/>
      <c r="J75" s="426"/>
      <c r="K75" s="424">
        <f>ABS(INDEX(L:L,MATCH(K71,$B:$B,0)+8)+INDEX(L:L,MATCH(K71,$B:$B,0)+9)+INDEX(L:L,MATCH(K71,$B:$B,0)+10))</f>
        <v>140</v>
      </c>
      <c r="L75" s="425"/>
      <c r="M75" s="426"/>
      <c r="N75" s="424">
        <f>ABS(INDEX(O:O,MATCH(N71,$B:$B,0)+8)+INDEX(O:O,MATCH(N71,$B:$B,0)+9)+INDEX(O:O,MATCH(N71,$B:$B,0)+10))</f>
        <v>147</v>
      </c>
      <c r="O75" s="425"/>
      <c r="P75" s="426"/>
      <c r="Q75" s="424">
        <f>ABS(INDEX(R:R,MATCH(Q71,$B:$B,0)+8)+INDEX(R:R,MATCH(Q71,$B:$B,0)+9)+INDEX(R:R,MATCH(Q71,$B:$B,0)+10))</f>
        <v>215</v>
      </c>
      <c r="R75" s="425"/>
      <c r="S75" s="426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" customHeight="1">
      <c r="B76" s="417" t="s">
        <v>2277</v>
      </c>
      <c r="C76" s="418"/>
      <c r="D76" s="419"/>
      <c r="E76" s="424">
        <f>ABS(INDEX(F:F,MATCH(E71,$B:$B,0)+11)+INDEX(F:F,MATCH(E71,$B:$B,0)+12)+INDEX(F:F,MATCH(E71,$B:$B,0)+13))</f>
        <v>163</v>
      </c>
      <c r="F76" s="425"/>
      <c r="G76" s="426"/>
      <c r="H76" s="424">
        <f>ABS(INDEX(I:I,MATCH(H71,$B:$B,0)+11)+INDEX(I:I,MATCH(H71,$B:$B,0)+12)+INDEX(I:I,MATCH(H71,$B:$B,0)+13))</f>
        <v>174</v>
      </c>
      <c r="I76" s="425"/>
      <c r="J76" s="426"/>
      <c r="K76" s="424">
        <f>ABS(INDEX(L:L,MATCH(K71,$B:$B,0)+11)+INDEX(L:L,MATCH(K71,$B:$B,0)+12)+INDEX(L:L,MATCH(K71,$B:$B,0)+13))</f>
        <v>208</v>
      </c>
      <c r="L76" s="425"/>
      <c r="M76" s="426"/>
      <c r="N76" s="424">
        <f>ABS(INDEX(O:O,MATCH(N71,$B:$B,0)+11)+INDEX(O:O,MATCH(N71,$B:$B,0)+12)+INDEX(O:O,MATCH(N71,$B:$B,0)+13))</f>
        <v>137</v>
      </c>
      <c r="O76" s="425"/>
      <c r="P76" s="426"/>
      <c r="Q76" s="424">
        <f>ABS(INDEX(R:R,MATCH(Q71,$B:$B,0)+11)+INDEX(R:R,MATCH(Q71,$B:$B,0)+12)+INDEX(R:R,MATCH(Q71,$B:$B,0)+13))</f>
        <v>214</v>
      </c>
      <c r="R76" s="425"/>
      <c r="S76" s="426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" customHeight="1">
      <c r="B77" s="420" t="s">
        <v>2278</v>
      </c>
      <c r="C77" s="421"/>
      <c r="D77" s="422"/>
      <c r="E77" s="407">
        <f>SUM(E74:E76)</f>
        <v>502</v>
      </c>
      <c r="F77" s="423"/>
      <c r="G77" s="408"/>
      <c r="H77" s="407">
        <f>SUM(H74:H76)</f>
        <v>505</v>
      </c>
      <c r="I77" s="423"/>
      <c r="J77" s="408"/>
      <c r="K77" s="407">
        <f>SUM(K74:K76)</f>
        <v>494</v>
      </c>
      <c r="L77" s="423"/>
      <c r="M77" s="408"/>
      <c r="N77" s="407">
        <f>SUM(N74:N76)</f>
        <v>424</v>
      </c>
      <c r="O77" s="423"/>
      <c r="P77" s="408"/>
      <c r="Q77" s="407">
        <f>SUM(Q74:Q76)</f>
        <v>686</v>
      </c>
      <c r="R77" s="423"/>
      <c r="S77" s="408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>
      <c r="A79" s="255"/>
      <c r="B79" s="7" t="s">
        <v>1802</v>
      </c>
      <c r="C79" s="24"/>
      <c r="D79" s="24"/>
      <c r="E79" s="35" t="s">
        <v>1786</v>
      </c>
      <c r="F79" s="35"/>
      <c r="G79" s="427" t="str">
        <f>Schlüssel!$C$1</f>
        <v>Landesliga Jugend</v>
      </c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  <c r="S79" s="406">
        <f>Schlüssel!$BA$1</f>
        <v>45752</v>
      </c>
      <c r="T79" s="406"/>
      <c r="U79" s="406"/>
      <c r="V79" s="406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>
      <c r="A80" s="53"/>
      <c r="B80" s="54">
        <v>4</v>
      </c>
      <c r="E80" s="35" t="s">
        <v>1787</v>
      </c>
      <c r="F80" s="35"/>
      <c r="G80" s="413" t="str">
        <f>Schlüssel!$AQ$2</f>
        <v>München Hollywood Super Bowling</v>
      </c>
      <c r="H80" s="413"/>
      <c r="I80" s="413"/>
      <c r="J80" s="413"/>
      <c r="K80" s="413"/>
      <c r="L80" s="413"/>
      <c r="M80" s="413"/>
      <c r="N80" s="413"/>
      <c r="O80" s="413"/>
      <c r="P80" s="66"/>
      <c r="Q80" s="411" t="s">
        <v>1785</v>
      </c>
      <c r="R80" s="412"/>
      <c r="S80" s="38">
        <v>3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>
      <c r="B81" s="414" t="str">
        <f>VLOOKUP(B80,Schlüssel!$A$5:$B$12,2)</f>
        <v>Highroller Rosenheim 3</v>
      </c>
      <c r="C81" s="415"/>
      <c r="D81" s="415"/>
      <c r="E81" s="415"/>
      <c r="F81" s="415"/>
      <c r="G81" s="416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3.8" hidden="1" thickBot="1">
      <c r="A82" s="6"/>
      <c r="B82" s="7"/>
      <c r="C82" s="43"/>
      <c r="D82" s="43"/>
      <c r="E82" s="162" t="s">
        <v>10</v>
      </c>
      <c r="F82" s="220"/>
      <c r="G82" s="159">
        <f>VLOOKUP(B80,Schlüssel!$A$5:$EK$12,53)</f>
        <v>17</v>
      </c>
      <c r="H82" s="161" t="s">
        <v>10</v>
      </c>
      <c r="I82" s="220"/>
      <c r="J82" s="159">
        <f>VLOOKUP(B80,Schlüssel!$A$5:$EK$12,54)</f>
        <v>13</v>
      </c>
      <c r="K82" s="161" t="s">
        <v>10</v>
      </c>
      <c r="L82" s="220"/>
      <c r="M82" s="159">
        <f>VLOOKUP(B80,Schlüssel!$A$5:$EK$12,55)</f>
        <v>19</v>
      </c>
      <c r="N82" s="161" t="s">
        <v>10</v>
      </c>
      <c r="O82" s="220"/>
      <c r="P82" s="159">
        <f>VLOOKUP(B80,Schlüssel!$A$5:$EK$12,56)</f>
        <v>18</v>
      </c>
      <c r="Q82" s="161" t="s">
        <v>10</v>
      </c>
      <c r="R82" s="220"/>
      <c r="S82" s="160">
        <f>VLOOKUP(B80,Schlüssel!$A$5:$EK$12,57)</f>
        <v>15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>
      <c r="B83" s="44" t="s">
        <v>1</v>
      </c>
      <c r="C83" s="208"/>
      <c r="D83" s="217"/>
      <c r="E83" s="423" t="s">
        <v>1793</v>
      </c>
      <c r="F83" s="423"/>
      <c r="G83" s="408"/>
      <c r="H83" s="407" t="s">
        <v>1794</v>
      </c>
      <c r="I83" s="423"/>
      <c r="J83" s="408"/>
      <c r="K83" s="407" t="s">
        <v>1795</v>
      </c>
      <c r="L83" s="423"/>
      <c r="M83" s="408"/>
      <c r="N83" s="407" t="s">
        <v>1796</v>
      </c>
      <c r="O83" s="423"/>
      <c r="P83" s="408"/>
      <c r="Q83" s="407" t="s">
        <v>1797</v>
      </c>
      <c r="R83" s="423"/>
      <c r="S83" s="437"/>
      <c r="T83" s="439" t="s">
        <v>1792</v>
      </c>
      <c r="U83" s="440"/>
      <c r="V83" s="410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6.95" customHeight="1">
      <c r="A85" s="403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2">+AP85</f>
        <v>40</v>
      </c>
      <c r="E85" s="221">
        <v>105</v>
      </c>
      <c r="F85" s="240">
        <f t="shared" ref="F85:F93" si="73">IF(E85&gt;0,E85+$D85,0)</f>
        <v>145</v>
      </c>
      <c r="G85" s="428">
        <f>IF(SUM(F85:F87)+E100=0,0,IF(ABS(SUM(F85:F87))=E100,Spielorte!$A$30/2,IF(ABS(SUM(F85:F87))&gt;E100,Spielorte!$A$30,0)))</f>
        <v>0</v>
      </c>
      <c r="H85" s="221">
        <v>134</v>
      </c>
      <c r="I85" s="240">
        <f t="shared" ref="I85:I93" si="74">IF(H85&gt;0,H85+$D85,0)</f>
        <v>174</v>
      </c>
      <c r="J85" s="428">
        <f>IF(SUM(I85:I87)+H100=0,0,IF(ABS(SUM(I85:I87))=H100,Spielorte!$A$30/2,IF(ABS(SUM(I85:I87))&gt;H100,Spielorte!$A$30,0)))</f>
        <v>0</v>
      </c>
      <c r="K85" s="221">
        <v>169</v>
      </c>
      <c r="L85" s="240">
        <f t="shared" ref="L85:L93" si="75">IF(K85&gt;0,K85+$D85,0)</f>
        <v>209</v>
      </c>
      <c r="M85" s="428">
        <f>IF(SUM(L85:L87)+K100=0,0,IF(ABS(SUM(L85:L87))=K100,Spielorte!$A$30/2,IF(ABS(SUM(L85:L87))&gt;K100,Spielorte!$A$30,0)))</f>
        <v>1</v>
      </c>
      <c r="N85" s="221">
        <v>100</v>
      </c>
      <c r="O85" s="240">
        <f t="shared" ref="O85:O93" si="76">IF(N85&gt;0,N85+$D85,0)</f>
        <v>140</v>
      </c>
      <c r="P85" s="428">
        <f>IF(SUM(O85:O87)+N100=0,0,IF(ABS(SUM(O85:O87))=N100,Spielorte!$A$30/2,IF(ABS(SUM(O85:O87))&gt;N100,Spielorte!$A$30,0)))</f>
        <v>0</v>
      </c>
      <c r="Q85" s="221">
        <v>136</v>
      </c>
      <c r="R85" s="240">
        <f t="shared" ref="R85:R93" si="77">IF(Q85&gt;0,Q85+$D85,0)</f>
        <v>176</v>
      </c>
      <c r="S85" s="428">
        <f>IF(SUM(R85:R87)+Q100=0,0,IF(ABS(SUM(R85:R87))=Q100,Spielorte!$A$30/2,IF(ABS(SUM(R85:R87))&gt;Q100,Spielorte!$A$30,0)))</f>
        <v>1</v>
      </c>
      <c r="T85" s="221">
        <f t="shared" ref="T85:U93" si="78">ABS(SUM(E85:E85))+ABS(SUM(H85:H85))+ABS(SUM(K85:K85))+ABS(SUM(N85:N85))+ABS(SUM(Q85:Q85))</f>
        <v>644</v>
      </c>
      <c r="U85" s="240">
        <f t="shared" si="78"/>
        <v>844</v>
      </c>
      <c r="V85" s="400">
        <f>SUM(G85+J85+M85+P85+S85)</f>
        <v>2</v>
      </c>
      <c r="W85" s="79"/>
      <c r="X85" s="79"/>
      <c r="Y85" s="79"/>
      <c r="Z85" s="79"/>
      <c r="AA85" s="79"/>
      <c r="AB85" s="79"/>
      <c r="AL85" s="169">
        <f>IF(AU85=0,0,IFERROR(INDEX(RanglisteST3!K:K,MATCH(AU85,RanglisteST3!A:A,0)),0))</f>
        <v>109.77</v>
      </c>
      <c r="AM85" s="169">
        <f>IF(AU85=0,0,SUMIF(AU85:AU93,AU85,AV85:AV93))</f>
        <v>644</v>
      </c>
      <c r="AN85" s="169">
        <f>IF(AU85=0,0,SUMIF(AU85:AU93,AU85,AW85:AW93))</f>
        <v>5</v>
      </c>
      <c r="AO85" s="169">
        <f t="shared" ref="AO85:AO93" si="79">IFERROR(AM85/AN85,0)</f>
        <v>128.80000000000001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40</v>
      </c>
      <c r="AQ85" s="166"/>
      <c r="AR85" s="167"/>
      <c r="AS85" s="167"/>
      <c r="AT85" s="168"/>
      <c r="AU85" s="171">
        <f t="shared" ref="AU85:AU93" si="80">C85</f>
        <v>38808</v>
      </c>
      <c r="AV85" s="167">
        <f t="shared" ref="AV85:AV93" si="81">T85</f>
        <v>644</v>
      </c>
      <c r="AW85" s="169">
        <f t="shared" ref="AW85:AW93" si="82">COUNT(AY85:BC85)</f>
        <v>5</v>
      </c>
      <c r="AX85" s="169">
        <f t="shared" ref="AX85:AX93" si="83">COUNTIF(AY85:BC85,"&gt;0")</f>
        <v>5</v>
      </c>
      <c r="AY85" s="169">
        <f t="shared" ref="AY85:AY93" si="84">IF(E85=0,"",E85)</f>
        <v>105</v>
      </c>
      <c r="AZ85" s="169">
        <f t="shared" ref="AZ85:AZ93" si="85">IF(H85=0,"",H85)</f>
        <v>134</v>
      </c>
      <c r="BA85" s="169">
        <f t="shared" ref="BA85:BA93" si="86">IF(K85=0,"",K85)</f>
        <v>169</v>
      </c>
      <c r="BB85" s="169">
        <f t="shared" ref="BB85:BB93" si="87">IF(N85=0,"",N85)</f>
        <v>100</v>
      </c>
      <c r="BC85" s="169">
        <f t="shared" ref="BC85:BC93" si="88">IF(Q85=0,"",Q85)</f>
        <v>136</v>
      </c>
      <c r="BD85" s="170"/>
      <c r="BE85" s="168"/>
      <c r="BF85" s="169">
        <f t="shared" ref="BF85:BF93" si="89">MAX(AY85:BC85)</f>
        <v>169</v>
      </c>
      <c r="BG85" s="169">
        <f t="shared" ref="BG85:BG93" si="90">IF(BF85&lt;MAX(BF:BF),0,BF85+ROW()/1000000000)</f>
        <v>0</v>
      </c>
      <c r="BH85" s="169" t="str">
        <f>+B81</f>
        <v>Highroller Rosenheim 3</v>
      </c>
      <c r="BI85" s="168">
        <f t="shared" ref="BI85:BI93" si="91">RANK(BG85,BG:BG)</f>
        <v>2</v>
      </c>
      <c r="BJ85" s="169">
        <f t="shared" ref="BJ85:BJ93" si="92">SUMIF(AY85:BC85,"&gt;0")</f>
        <v>644</v>
      </c>
      <c r="BK85" s="169">
        <f>IF(COUNTIF(AY85:BC85,"&gt;0")&lt;Spielorte!$A$23,0,AV85/Spielorte!$A$23)</f>
        <v>128.80000000000001</v>
      </c>
      <c r="BL85" s="169">
        <f t="shared" ref="BL85:BL93" si="93">IF(BK85&lt;MAX(BK:BK),0,BK85+ROW()/1000000000)</f>
        <v>0</v>
      </c>
      <c r="BM85" s="168">
        <f t="shared" ref="BM85:BM93" si="94">IF(BL85=0,0,RANK(BL85,BL:BL))</f>
        <v>0</v>
      </c>
    </row>
    <row r="86" spans="1:65" ht="16.95" customHeight="1">
      <c r="A86" s="404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9"/>
      <c r="H86" s="222"/>
      <c r="I86" s="241">
        <f t="shared" si="74"/>
        <v>0</v>
      </c>
      <c r="J86" s="429"/>
      <c r="K86" s="222"/>
      <c r="L86" s="241">
        <f t="shared" si="75"/>
        <v>0</v>
      </c>
      <c r="M86" s="429"/>
      <c r="N86" s="222"/>
      <c r="O86" s="241">
        <f t="shared" si="76"/>
        <v>0</v>
      </c>
      <c r="P86" s="429"/>
      <c r="Q86" s="222"/>
      <c r="R86" s="241">
        <f t="shared" si="77"/>
        <v>0</v>
      </c>
      <c r="S86" s="429"/>
      <c r="T86" s="222">
        <f t="shared" si="78"/>
        <v>0</v>
      </c>
      <c r="U86" s="241">
        <f t="shared" si="78"/>
        <v>0</v>
      </c>
      <c r="V86" s="401"/>
      <c r="W86" s="79"/>
      <c r="X86" s="79"/>
      <c r="Y86" s="79"/>
      <c r="Z86" s="79"/>
      <c r="AA86" s="79"/>
      <c r="AB86" s="79"/>
      <c r="AL86" s="169">
        <f>IF(AU86=0,0,IFERROR(INDEX(RanglisteST3!K:K,MATCH(AU86,RanglisteST3!A:A,0)),0))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0</v>
      </c>
      <c r="BH86" s="169" t="str">
        <f t="shared" ref="BH86:BH93" si="95">+BH85</f>
        <v>Highroller Rosenheim 3</v>
      </c>
      <c r="BI86" s="168">
        <f t="shared" si="91"/>
        <v>2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0</v>
      </c>
      <c r="BM86" s="168">
        <f t="shared" si="94"/>
        <v>0</v>
      </c>
    </row>
    <row r="87" spans="1:65" ht="16.95" customHeight="1" thickBot="1">
      <c r="A87" s="405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30"/>
      <c r="H87" s="224"/>
      <c r="I87" s="242">
        <f t="shared" si="74"/>
        <v>0</v>
      </c>
      <c r="J87" s="430"/>
      <c r="K87" s="224"/>
      <c r="L87" s="242">
        <f t="shared" si="75"/>
        <v>0</v>
      </c>
      <c r="M87" s="430"/>
      <c r="N87" s="224"/>
      <c r="O87" s="242">
        <f t="shared" si="76"/>
        <v>0</v>
      </c>
      <c r="P87" s="430"/>
      <c r="Q87" s="224"/>
      <c r="R87" s="242">
        <f t="shared" si="77"/>
        <v>0</v>
      </c>
      <c r="S87" s="430"/>
      <c r="T87" s="224">
        <f t="shared" si="78"/>
        <v>0</v>
      </c>
      <c r="U87" s="242">
        <f t="shared" si="78"/>
        <v>0</v>
      </c>
      <c r="V87" s="402"/>
      <c r="W87" s="79"/>
      <c r="X87" s="79"/>
      <c r="Y87" s="79"/>
      <c r="Z87" s="79"/>
      <c r="AA87" s="79"/>
      <c r="AB87" s="79"/>
      <c r="AL87" s="169">
        <f>IF(AU87=0,0,IFERROR(INDEX(RanglisteST3!K:K,MATCH(AU87,RanglisteST3!A:A,0)),0))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0</v>
      </c>
      <c r="BH87" s="169" t="str">
        <f t="shared" si="95"/>
        <v>Highroller Rosenheim 3</v>
      </c>
      <c r="BI87" s="168">
        <f t="shared" si="91"/>
        <v>2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0</v>
      </c>
      <c r="BM87" s="168">
        <f t="shared" si="94"/>
        <v>0</v>
      </c>
    </row>
    <row r="88" spans="1:65" ht="16.95" customHeight="1">
      <c r="A88" s="403" t="s">
        <v>2</v>
      </c>
      <c r="B88" s="58" t="str">
        <f>IF(C88=0,"",VLOOKUP(C88,Starter!$A$1:$D$196,2,FALSE))</f>
        <v>Marker, Anna</v>
      </c>
      <c r="C88" s="235">
        <v>38848</v>
      </c>
      <c r="D88" s="238">
        <f t="shared" si="72"/>
        <v>31</v>
      </c>
      <c r="E88" s="221">
        <v>121</v>
      </c>
      <c r="F88" s="240">
        <f t="shared" si="73"/>
        <v>152</v>
      </c>
      <c r="G88" s="428">
        <f>IF(SUM(F88:F90)+E101=0,0,IF(ABS(SUM(F88:F90))=E101,Spielorte!$A$30/2,IF(ABS(SUM(F88:F90))&gt;E101,Spielorte!$A$30,0)))</f>
        <v>0</v>
      </c>
      <c r="H88" s="221">
        <v>120</v>
      </c>
      <c r="I88" s="240">
        <f t="shared" si="74"/>
        <v>151</v>
      </c>
      <c r="J88" s="428">
        <f>IF(SUM(I88:I90)+H101=0,0,IF(ABS(SUM(I88:I90))=H101,Spielorte!$A$30/2,IF(ABS(SUM(I88:I90))&gt;H101,Spielorte!$A$30,0)))</f>
        <v>0</v>
      </c>
      <c r="K88" s="221">
        <v>107</v>
      </c>
      <c r="L88" s="240">
        <f t="shared" si="75"/>
        <v>138</v>
      </c>
      <c r="M88" s="428">
        <f>IF(SUM(L88:L90)+K101=0,0,IF(ABS(SUM(L88:L90))=K101,Spielorte!$A$30/2,IF(ABS(SUM(L88:L90))&gt;K101,Spielorte!$A$30,0)))</f>
        <v>0</v>
      </c>
      <c r="N88" s="221">
        <v>116</v>
      </c>
      <c r="O88" s="240">
        <f t="shared" si="76"/>
        <v>147</v>
      </c>
      <c r="P88" s="428">
        <f>IF(SUM(O88:O90)+N101=0,0,IF(ABS(SUM(O88:O90))=N101,Spielorte!$A$30/2,IF(ABS(SUM(O88:O90))&gt;N101,Spielorte!$A$30,0)))</f>
        <v>1</v>
      </c>
      <c r="Q88" s="221">
        <v>151</v>
      </c>
      <c r="R88" s="240">
        <f t="shared" si="77"/>
        <v>182</v>
      </c>
      <c r="S88" s="428">
        <f>IF(SUM(R88:R90)+Q101=0,0,IF(ABS(SUM(R88:R90))=Q101,Spielorte!$A$30/2,IF(ABS(SUM(R88:R90))&gt;Q101,Spielorte!$A$30,0)))</f>
        <v>0</v>
      </c>
      <c r="T88" s="221">
        <f t="shared" si="78"/>
        <v>615</v>
      </c>
      <c r="U88" s="240">
        <f t="shared" si="78"/>
        <v>770</v>
      </c>
      <c r="V88" s="400">
        <f>SUM(G88+J88+M88+P88+S88)</f>
        <v>1</v>
      </c>
      <c r="W88" s="79"/>
      <c r="X88" s="79"/>
      <c r="Y88" s="79"/>
      <c r="Z88" s="79"/>
      <c r="AA88" s="79"/>
      <c r="AB88" s="79"/>
      <c r="AL88" s="169">
        <f>IF(AU88=0,0,IFERROR(INDEX(RanglisteST3!K:K,MATCH(AU88,RanglisteST3!A:A,0)),0))</f>
        <v>121.8</v>
      </c>
      <c r="AM88" s="169">
        <f>IF(AU88=0,0,SUMIF(AU85:AU93,AU88,AV85:AV93))</f>
        <v>615</v>
      </c>
      <c r="AN88" s="169">
        <f>IF(AU88=0,0,SUMIF(AU85:AU93,AU88,AW85:AW93))</f>
        <v>5</v>
      </c>
      <c r="AO88" s="169">
        <f t="shared" si="79"/>
        <v>123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31</v>
      </c>
      <c r="AQ88" s="166"/>
      <c r="AR88" s="167"/>
      <c r="AS88" s="167"/>
      <c r="AT88" s="168"/>
      <c r="AU88" s="171">
        <f t="shared" si="80"/>
        <v>38848</v>
      </c>
      <c r="AV88" s="167">
        <f t="shared" si="81"/>
        <v>615</v>
      </c>
      <c r="AW88" s="169">
        <f t="shared" si="82"/>
        <v>5</v>
      </c>
      <c r="AX88" s="169">
        <f t="shared" si="83"/>
        <v>5</v>
      </c>
      <c r="AY88" s="169">
        <f t="shared" si="84"/>
        <v>121</v>
      </c>
      <c r="AZ88" s="169">
        <f t="shared" si="85"/>
        <v>120</v>
      </c>
      <c r="BA88" s="169">
        <f t="shared" si="86"/>
        <v>107</v>
      </c>
      <c r="BB88" s="169">
        <f t="shared" si="87"/>
        <v>116</v>
      </c>
      <c r="BC88" s="169">
        <f t="shared" si="88"/>
        <v>151</v>
      </c>
      <c r="BD88" s="170"/>
      <c r="BE88" s="168"/>
      <c r="BF88" s="169">
        <f t="shared" si="89"/>
        <v>151</v>
      </c>
      <c r="BG88" s="169">
        <f t="shared" si="90"/>
        <v>0</v>
      </c>
      <c r="BH88" s="169" t="str">
        <f t="shared" si="95"/>
        <v>Highroller Rosenheim 3</v>
      </c>
      <c r="BI88" s="168">
        <f t="shared" si="91"/>
        <v>2</v>
      </c>
      <c r="BJ88" s="169">
        <f t="shared" si="92"/>
        <v>615</v>
      </c>
      <c r="BK88" s="169">
        <f>IF(COUNTIF(AY88:BC88,"&gt;0")&lt;Spielorte!$A$23,0,AV88/Spielorte!$A$23)</f>
        <v>123</v>
      </c>
      <c r="BL88" s="169">
        <f t="shared" si="93"/>
        <v>0</v>
      </c>
      <c r="BM88" s="168">
        <f t="shared" si="94"/>
        <v>0</v>
      </c>
    </row>
    <row r="89" spans="1:65" ht="16.95" customHeight="1">
      <c r="A89" s="404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9"/>
      <c r="H89" s="222"/>
      <c r="I89" s="241">
        <f t="shared" si="74"/>
        <v>0</v>
      </c>
      <c r="J89" s="429"/>
      <c r="K89" s="222"/>
      <c r="L89" s="241">
        <f t="shared" si="75"/>
        <v>0</v>
      </c>
      <c r="M89" s="429"/>
      <c r="N89" s="222"/>
      <c r="O89" s="241">
        <f t="shared" si="76"/>
        <v>0</v>
      </c>
      <c r="P89" s="429"/>
      <c r="Q89" s="222"/>
      <c r="R89" s="241">
        <f t="shared" si="77"/>
        <v>0</v>
      </c>
      <c r="S89" s="429"/>
      <c r="T89" s="222">
        <f t="shared" si="78"/>
        <v>0</v>
      </c>
      <c r="U89" s="241">
        <f t="shared" si="78"/>
        <v>0</v>
      </c>
      <c r="V89" s="401"/>
      <c r="W89" s="79"/>
      <c r="X89" s="79"/>
      <c r="Y89" s="79"/>
      <c r="Z89" s="79"/>
      <c r="AA89" s="79"/>
      <c r="AB89" s="79"/>
      <c r="AL89" s="169">
        <f>IF(AU89=0,0,IFERROR(INDEX(RanglisteST3!K:K,MATCH(AU89,RanglisteST3!A:A,0)),0))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0</v>
      </c>
      <c r="BH89" s="169" t="str">
        <f t="shared" si="95"/>
        <v>Highroller Rosenheim 3</v>
      </c>
      <c r="BI89" s="168">
        <f t="shared" si="91"/>
        <v>2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0</v>
      </c>
      <c r="BM89" s="168">
        <f t="shared" si="94"/>
        <v>0</v>
      </c>
    </row>
    <row r="90" spans="1:65" ht="16.95" customHeight="1" thickBot="1">
      <c r="A90" s="405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30"/>
      <c r="H90" s="224"/>
      <c r="I90" s="242">
        <f t="shared" si="74"/>
        <v>0</v>
      </c>
      <c r="J90" s="430"/>
      <c r="K90" s="224"/>
      <c r="L90" s="242">
        <f t="shared" si="75"/>
        <v>0</v>
      </c>
      <c r="M90" s="430"/>
      <c r="N90" s="224"/>
      <c r="O90" s="242">
        <f t="shared" si="76"/>
        <v>0</v>
      </c>
      <c r="P90" s="430"/>
      <c r="Q90" s="224"/>
      <c r="R90" s="242">
        <f t="shared" si="77"/>
        <v>0</v>
      </c>
      <c r="S90" s="430"/>
      <c r="T90" s="224">
        <f t="shared" si="78"/>
        <v>0</v>
      </c>
      <c r="U90" s="242">
        <f t="shared" si="78"/>
        <v>0</v>
      </c>
      <c r="V90" s="402"/>
      <c r="W90" s="79"/>
      <c r="X90" s="79"/>
      <c r="Y90" s="79"/>
      <c r="Z90" s="79"/>
      <c r="AA90" s="79"/>
      <c r="AB90" s="79"/>
      <c r="AL90" s="169">
        <f>IF(AU90=0,0,IFERROR(INDEX(RanglisteST3!K:K,MATCH(AU90,RanglisteST3!A:A,0)),0))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0</v>
      </c>
      <c r="BH90" s="169" t="str">
        <f t="shared" si="95"/>
        <v>Highroller Rosenheim 3</v>
      </c>
      <c r="BI90" s="168">
        <f t="shared" si="91"/>
        <v>2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0</v>
      </c>
      <c r="BM90" s="168">
        <f t="shared" si="94"/>
        <v>0</v>
      </c>
    </row>
    <row r="91" spans="1:65" ht="16.95" customHeight="1">
      <c r="A91" s="403" t="s">
        <v>3</v>
      </c>
      <c r="B91" s="58" t="str">
        <f>IF(C91=0,"",VLOOKUP(C91,Starter!$A$1:$D$196,2,FALSE))</f>
        <v>Marker, Lena</v>
      </c>
      <c r="C91" s="235">
        <v>38849</v>
      </c>
      <c r="D91" s="238">
        <f t="shared" si="72"/>
        <v>34</v>
      </c>
      <c r="E91" s="221">
        <v>95</v>
      </c>
      <c r="F91" s="240">
        <f t="shared" si="73"/>
        <v>129</v>
      </c>
      <c r="G91" s="428">
        <f>IF(SUM(F91:F93)+E102=0,0,IF(ABS(SUM(F91:F93))=E102,Spielorte!$A$30/2,IF(ABS(SUM(F91:F93))&gt;E102,Spielorte!$A$30,0)))</f>
        <v>0</v>
      </c>
      <c r="H91" s="221">
        <v>101</v>
      </c>
      <c r="I91" s="240">
        <f t="shared" si="74"/>
        <v>135</v>
      </c>
      <c r="J91" s="428">
        <f>IF(SUM(I91:I93)+H102=0,0,IF(ABS(SUM(I91:I93))=H102,Spielorte!$A$30/2,IF(ABS(SUM(I91:I93))&gt;H102,Spielorte!$A$30,0)))</f>
        <v>0</v>
      </c>
      <c r="K91" s="221">
        <v>86</v>
      </c>
      <c r="L91" s="240">
        <f t="shared" si="75"/>
        <v>120</v>
      </c>
      <c r="M91" s="428">
        <f>IF(SUM(L91:L93)+K102=0,0,IF(ABS(SUM(L91:L93))=K102,Spielorte!$A$30/2,IF(ABS(SUM(L91:L93))&gt;K102,Spielorte!$A$30,0)))</f>
        <v>0</v>
      </c>
      <c r="N91" s="221">
        <v>103</v>
      </c>
      <c r="O91" s="240">
        <f t="shared" si="76"/>
        <v>137</v>
      </c>
      <c r="P91" s="428">
        <f>IF(SUM(O91:O93)+N102=0,0,IF(ABS(SUM(O91:O93))=N102,Spielorte!$A$30/2,IF(ABS(SUM(O91:O93))&gt;N102,Spielorte!$A$30,0)))</f>
        <v>0</v>
      </c>
      <c r="Q91" s="221">
        <v>137</v>
      </c>
      <c r="R91" s="240">
        <f t="shared" si="77"/>
        <v>171</v>
      </c>
      <c r="S91" s="428">
        <f>IF(SUM(R91:R93)+Q102=0,0,IF(ABS(SUM(R91:R93))=Q102,Spielorte!$A$30/2,IF(ABS(SUM(R91:R93))&gt;Q102,Spielorte!$A$30,0)))</f>
        <v>1</v>
      </c>
      <c r="T91" s="221">
        <f t="shared" si="78"/>
        <v>522</v>
      </c>
      <c r="U91" s="240">
        <f t="shared" si="78"/>
        <v>692</v>
      </c>
      <c r="V91" s="400">
        <f>SUM(G91+J91+M91+P91+S91)</f>
        <v>1</v>
      </c>
      <c r="W91" s="79"/>
      <c r="X91" s="79"/>
      <c r="Y91" s="79"/>
      <c r="Z91" s="79"/>
      <c r="AA91" s="79"/>
      <c r="AB91" s="79"/>
      <c r="AL91" s="169">
        <f>IF(AU91=0,0,IFERROR(INDEX(RanglisteST3!K:K,MATCH(AU91,RanglisteST3!A:A,0)),0))</f>
        <v>117.84</v>
      </c>
      <c r="AM91" s="169">
        <f>IF(AU91=0,0,SUMIF(AU85:AU93,AU91,AV85:AV93))</f>
        <v>522</v>
      </c>
      <c r="AN91" s="169">
        <f>IF(AU91=0,0,SUMIF(AU85:AU93,AU91,AW85:AW93))</f>
        <v>5</v>
      </c>
      <c r="AO91" s="169">
        <f t="shared" si="79"/>
        <v>104.4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34</v>
      </c>
      <c r="AQ91" s="166"/>
      <c r="AR91" s="167"/>
      <c r="AS91" s="167"/>
      <c r="AT91" s="168"/>
      <c r="AU91" s="171">
        <f t="shared" si="80"/>
        <v>38849</v>
      </c>
      <c r="AV91" s="167">
        <f t="shared" si="81"/>
        <v>522</v>
      </c>
      <c r="AW91" s="169">
        <f t="shared" si="82"/>
        <v>5</v>
      </c>
      <c r="AX91" s="169">
        <f t="shared" si="83"/>
        <v>5</v>
      </c>
      <c r="AY91" s="169">
        <f t="shared" si="84"/>
        <v>95</v>
      </c>
      <c r="AZ91" s="169">
        <f t="shared" si="85"/>
        <v>101</v>
      </c>
      <c r="BA91" s="169">
        <f t="shared" si="86"/>
        <v>86</v>
      </c>
      <c r="BB91" s="169">
        <f t="shared" si="87"/>
        <v>103</v>
      </c>
      <c r="BC91" s="169">
        <f t="shared" si="88"/>
        <v>137</v>
      </c>
      <c r="BD91" s="170"/>
      <c r="BE91" s="168"/>
      <c r="BF91" s="169">
        <f t="shared" si="89"/>
        <v>137</v>
      </c>
      <c r="BG91" s="169">
        <f t="shared" si="90"/>
        <v>0</v>
      </c>
      <c r="BH91" s="169" t="str">
        <f t="shared" si="95"/>
        <v>Highroller Rosenheim 3</v>
      </c>
      <c r="BI91" s="168">
        <f t="shared" si="91"/>
        <v>2</v>
      </c>
      <c r="BJ91" s="169">
        <f t="shared" si="92"/>
        <v>522</v>
      </c>
      <c r="BK91" s="169">
        <f>IF(COUNTIF(AY91:BC91,"&gt;0")&lt;Spielorte!$A$23,0,AV91/Spielorte!$A$23)</f>
        <v>104.4</v>
      </c>
      <c r="BL91" s="169">
        <f t="shared" si="93"/>
        <v>0</v>
      </c>
      <c r="BM91" s="168">
        <f t="shared" si="94"/>
        <v>0</v>
      </c>
    </row>
    <row r="92" spans="1:65" ht="16.95" customHeight="1">
      <c r="A92" s="404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9"/>
      <c r="H92" s="222"/>
      <c r="I92" s="241">
        <f t="shared" si="74"/>
        <v>0</v>
      </c>
      <c r="J92" s="429"/>
      <c r="K92" s="222"/>
      <c r="L92" s="241">
        <f t="shared" si="75"/>
        <v>0</v>
      </c>
      <c r="M92" s="429"/>
      <c r="N92" s="222"/>
      <c r="O92" s="241">
        <f t="shared" si="76"/>
        <v>0</v>
      </c>
      <c r="P92" s="429"/>
      <c r="Q92" s="222"/>
      <c r="R92" s="241">
        <f t="shared" si="77"/>
        <v>0</v>
      </c>
      <c r="S92" s="429"/>
      <c r="T92" s="222">
        <f t="shared" si="78"/>
        <v>0</v>
      </c>
      <c r="U92" s="241">
        <f t="shared" si="78"/>
        <v>0</v>
      </c>
      <c r="V92" s="401"/>
      <c r="W92" s="79"/>
      <c r="X92" s="79"/>
      <c r="Y92" s="79"/>
      <c r="Z92" s="79"/>
      <c r="AA92" s="79"/>
      <c r="AB92" s="79"/>
      <c r="AL92" s="169">
        <f>IF(AU92=0,0,IFERROR(INDEX(RanglisteST3!K:K,MATCH(AU92,RanglisteST3!A:A,0)),0))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0</v>
      </c>
      <c r="BH92" s="169" t="str">
        <f t="shared" si="95"/>
        <v>Highroller Rosenheim 3</v>
      </c>
      <c r="BI92" s="168">
        <f t="shared" si="91"/>
        <v>2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0</v>
      </c>
      <c r="BM92" s="168">
        <f t="shared" si="94"/>
        <v>0</v>
      </c>
    </row>
    <row r="93" spans="1:65" ht="16.95" customHeight="1" thickBot="1">
      <c r="A93" s="405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30"/>
      <c r="H93" s="224"/>
      <c r="I93" s="242">
        <f t="shared" si="74"/>
        <v>0</v>
      </c>
      <c r="J93" s="430"/>
      <c r="K93" s="224"/>
      <c r="L93" s="242">
        <f t="shared" si="75"/>
        <v>0</v>
      </c>
      <c r="M93" s="430"/>
      <c r="N93" s="224"/>
      <c r="O93" s="242">
        <f t="shared" si="76"/>
        <v>0</v>
      </c>
      <c r="P93" s="430"/>
      <c r="Q93" s="224"/>
      <c r="R93" s="242">
        <f t="shared" si="77"/>
        <v>0</v>
      </c>
      <c r="S93" s="430"/>
      <c r="T93" s="224">
        <f t="shared" si="78"/>
        <v>0</v>
      </c>
      <c r="U93" s="242">
        <f t="shared" si="78"/>
        <v>0</v>
      </c>
      <c r="V93" s="402"/>
      <c r="W93" s="79"/>
      <c r="X93" s="79"/>
      <c r="Y93" s="79"/>
      <c r="Z93" s="79"/>
      <c r="AA93" s="79"/>
      <c r="AB93" s="79"/>
      <c r="AL93" s="169">
        <f>IF(AU93=0,0,IFERROR(INDEX(RanglisteST3!K:K,MATCH(AU93,RanglisteST3!A:A,0)),0))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0</v>
      </c>
      <c r="BH93" s="169" t="str">
        <f t="shared" si="95"/>
        <v>Highroller Rosenheim 3</v>
      </c>
      <c r="BI93" s="168">
        <f t="shared" si="91"/>
        <v>2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0</v>
      </c>
      <c r="BM93" s="168">
        <f t="shared" si="94"/>
        <v>0</v>
      </c>
    </row>
    <row r="94" spans="1:65" ht="27.75" customHeight="1" thickBot="1">
      <c r="B94" s="218" t="s">
        <v>1792</v>
      </c>
      <c r="C94" s="204"/>
      <c r="D94" s="219"/>
      <c r="E94" s="226">
        <f>ABS(SUM(E85:E87))+ABS(SUM(E88:E90))+ABS(SUM(E91:E93))</f>
        <v>321</v>
      </c>
      <c r="F94" s="225">
        <f>ABS(SUM(F85:F87))+ABS(SUM(F88:F90))+ABS(SUM(F91:F93))</f>
        <v>426</v>
      </c>
      <c r="G94" s="81">
        <f>IF(F94+E103=0,0,IF(F94=E103,Spielorte!$A$31/2,IF(F94&gt;E103,Spielorte!$A$31,0)))</f>
        <v>0</v>
      </c>
      <c r="H94" s="226">
        <f>ABS(SUM(H85:H87))+ABS(SUM(H88:H90))+ABS(SUM(H91:H93))</f>
        <v>355</v>
      </c>
      <c r="I94" s="225">
        <f>ABS(SUM(I85:I87))+ABS(SUM(I88:I90))+ABS(SUM(I91:I93))</f>
        <v>460</v>
      </c>
      <c r="J94" s="81">
        <f>IF(I94+H103=0,0,IF(I94=H103,Spielorte!$A$31/2,IF(I94&gt;H103,Spielorte!$A$31,0)))</f>
        <v>0</v>
      </c>
      <c r="K94" s="226">
        <f>ABS(SUM(K85:K87))+ABS(SUM(K88:K90))+ABS(SUM(K91:K93))</f>
        <v>362</v>
      </c>
      <c r="L94" s="225">
        <f>ABS(SUM(L85:L87))+ABS(SUM(L88:L90))+ABS(SUM(L91:L93))</f>
        <v>467</v>
      </c>
      <c r="M94" s="81">
        <f>IF(L94+K103=0,0,IF(L94=K103,Spielorte!$A$31/2,IF(L94&gt;K103,Spielorte!$A$31,0)))</f>
        <v>0</v>
      </c>
      <c r="N94" s="226">
        <f>ABS(SUM(N85:N87))+ABS(SUM(N88:N90))+ABS(SUM(N91:N93))</f>
        <v>319</v>
      </c>
      <c r="O94" s="225">
        <f>ABS(SUM(O85:O87))+ABS(SUM(O88:O90))+ABS(SUM(O91:O93))</f>
        <v>424</v>
      </c>
      <c r="P94" s="81">
        <f>IF(O94+N103=0,0,IF(O94=N103,Spielorte!$A$31/2,IF(O94&gt;N103,Spielorte!$A$31,0)))</f>
        <v>0</v>
      </c>
      <c r="Q94" s="226">
        <f>ABS(SUM(Q85:Q87))+ABS(SUM(Q88:Q90))+ABS(SUM(Q91:Q93))</f>
        <v>424</v>
      </c>
      <c r="R94" s="225">
        <f>ABS(SUM(R85:R87))+ABS(SUM(R88:R90))+ABS(SUM(R91:R93))</f>
        <v>529</v>
      </c>
      <c r="S94" s="81">
        <f>IF(R94+Q103=0,0,IF(R94=Q103,Spielorte!$A$31/2,IF(R94&gt;Q103,Spielorte!$A$31,0)))</f>
        <v>2</v>
      </c>
      <c r="T94" s="228">
        <f>SUM(E94+H94+K94+N94+Q94)</f>
        <v>1781</v>
      </c>
      <c r="U94" s="229">
        <f>SUM(F94+I94+L94+O94+R94)</f>
        <v>2306</v>
      </c>
      <c r="V94" s="12">
        <f>SUM(G94+J94+M94+P94+S94)</f>
        <v>2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1</v>
      </c>
      <c r="N95" s="1"/>
      <c r="O95" s="1"/>
      <c r="P95" s="61">
        <f>SUM(P85:P94)</f>
        <v>1</v>
      </c>
      <c r="Q95" s="1"/>
      <c r="R95" s="1"/>
      <c r="S95" s="61">
        <f>SUM(S85:S94)</f>
        <v>4</v>
      </c>
      <c r="T95" s="1"/>
      <c r="U95" s="1"/>
      <c r="V95" s="61">
        <f>SUM(V85:V94)</f>
        <v>6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6</v>
      </c>
      <c r="AR95" s="167">
        <f>+T94</f>
        <v>1781</v>
      </c>
      <c r="AS95" s="167">
        <f>+U94</f>
        <v>2306</v>
      </c>
      <c r="AT95" s="168">
        <f>+B80</f>
        <v>4</v>
      </c>
      <c r="AW95" s="169">
        <f>SUM(AW79:AW94)</f>
        <v>15</v>
      </c>
      <c r="BD95" s="166">
        <f>+AS95/1000000+AQ95+AR95/1000000000000</f>
        <v>6.0023060017810002</v>
      </c>
      <c r="BE95" s="168">
        <f>RANK(BD95,BD:BD)</f>
        <v>7</v>
      </c>
      <c r="BI95" s="168"/>
      <c r="BM95" s="168"/>
    </row>
    <row r="96" spans="1:65" ht="11.25" customHeight="1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>
      <c r="B97" s="231" t="s">
        <v>1790</v>
      </c>
      <c r="C97" s="210"/>
      <c r="D97" s="42"/>
      <c r="E97" s="434">
        <f>VLOOKUP($B80,Schlüssel!$A$5:$EK$12,43)</f>
        <v>6</v>
      </c>
      <c r="F97" s="435"/>
      <c r="G97" s="436"/>
      <c r="H97" s="434">
        <f>VLOOKUP($B80,Schlüssel!$A$5:$EK$12,44)</f>
        <v>1</v>
      </c>
      <c r="I97" s="435"/>
      <c r="J97" s="436"/>
      <c r="K97" s="434">
        <f>VLOOKUP($B80,Schlüssel!$A$5:$EK$12,45)</f>
        <v>7</v>
      </c>
      <c r="L97" s="435"/>
      <c r="M97" s="436"/>
      <c r="N97" s="434">
        <f>VLOOKUP($B80,Schlüssel!$A$5:$EK$12,46)</f>
        <v>3</v>
      </c>
      <c r="O97" s="435"/>
      <c r="P97" s="436"/>
      <c r="Q97" s="434">
        <f>VLOOKUP($B80,Schlüssel!$A$5:$EK$12,47)</f>
        <v>5</v>
      </c>
      <c r="R97" s="435"/>
      <c r="S97" s="436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>
      <c r="B98" s="3" t="s">
        <v>9</v>
      </c>
      <c r="C98" s="1"/>
      <c r="D98" s="1"/>
      <c r="E98" s="395" t="str">
        <f>VLOOKUP(E97,Schlüssel!$A$5:$K$12,2)</f>
        <v>Bowling Jugend Bayern 1</v>
      </c>
      <c r="F98" s="438"/>
      <c r="G98" s="396"/>
      <c r="H98" s="395" t="str">
        <f>VLOOKUP(H97,Schlüssel!$A$5:$K$12,2)</f>
        <v>Bad Tölz 1</v>
      </c>
      <c r="I98" s="438"/>
      <c r="J98" s="396"/>
      <c r="K98" s="395" t="str">
        <f>VLOOKUP(K97,Schlüssel!$A$5:$K$12,2)</f>
        <v>BK München 1</v>
      </c>
      <c r="L98" s="438"/>
      <c r="M98" s="396"/>
      <c r="N98" s="395" t="str">
        <f>VLOOKUP(N97,Schlüssel!$A$5:$K$12,2)</f>
        <v>Highroller Rosenheim 2</v>
      </c>
      <c r="O98" s="438"/>
      <c r="P98" s="396"/>
      <c r="Q98" s="395" t="str">
        <f>VLOOKUP(Q97,Schlüssel!$A$5:$K$12,2)</f>
        <v>Berchtesgaden 1</v>
      </c>
      <c r="R98" s="438"/>
      <c r="S98" s="396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" customHeight="1">
      <c r="B100" s="417" t="s">
        <v>2275</v>
      </c>
      <c r="C100" s="418"/>
      <c r="D100" s="419"/>
      <c r="E100" s="431">
        <f>ABS(INDEX(F:F,MATCH(E97,$B:$B,0)+5)+INDEX(F:F,MATCH(E97,$B:$B,0)+6)+INDEX(F:F,MATCH(E97,$B:$B,0)+7))</f>
        <v>164</v>
      </c>
      <c r="F100" s="432"/>
      <c r="G100" s="433"/>
      <c r="H100" s="431">
        <f>ABS(INDEX(I:I,MATCH(H97,$B:$B,0)+5)+INDEX(I:I,MATCH(H97,$B:$B,0)+6)+INDEX(I:I,MATCH(H97,$B:$B,0)+7))</f>
        <v>181</v>
      </c>
      <c r="I100" s="432"/>
      <c r="J100" s="433"/>
      <c r="K100" s="431">
        <f>ABS(INDEX(L:L,MATCH(K97,$B:$B,0)+5)+INDEX(L:L,MATCH(K97,$B:$B,0)+6)+INDEX(L:L,MATCH(K97,$B:$B,0)+7))</f>
        <v>205</v>
      </c>
      <c r="L100" s="432"/>
      <c r="M100" s="433"/>
      <c r="N100" s="431">
        <f>ABS(INDEX(O:O,MATCH(N97,$B:$B,0)+5)+INDEX(O:O,MATCH(N97,$B:$B,0)+6)+INDEX(O:O,MATCH(N97,$B:$B,0)+7))</f>
        <v>169</v>
      </c>
      <c r="O100" s="432"/>
      <c r="P100" s="433"/>
      <c r="Q100" s="431">
        <f>ABS(INDEX(R:R,MATCH(Q97,$B:$B,0)+5)+INDEX(R:R,MATCH(Q97,$B:$B,0)+6)+INDEX(R:R,MATCH(Q97,$B:$B,0)+7))</f>
        <v>138</v>
      </c>
      <c r="R100" s="432"/>
      <c r="S100" s="433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" customHeight="1">
      <c r="B101" s="417" t="s">
        <v>2276</v>
      </c>
      <c r="C101" s="418"/>
      <c r="D101" s="419"/>
      <c r="E101" s="424">
        <f>ABS(INDEX(F:F,MATCH(E97,$B:$B,0)+8)+INDEX(F:F,MATCH(E97,$B:$B,0)+9)+INDEX(F:F,MATCH(E97,$B:$B,0)+10))</f>
        <v>161</v>
      </c>
      <c r="F101" s="425"/>
      <c r="G101" s="426"/>
      <c r="H101" s="424">
        <f>ABS(INDEX(I:I,MATCH(H97,$B:$B,0)+8)+INDEX(I:I,MATCH(H97,$B:$B,0)+9)+INDEX(I:I,MATCH(H97,$B:$B,0)+10))</f>
        <v>156</v>
      </c>
      <c r="I101" s="425"/>
      <c r="J101" s="426"/>
      <c r="K101" s="424">
        <f>ABS(INDEX(L:L,MATCH(K97,$B:$B,0)+8)+INDEX(L:L,MATCH(K97,$B:$B,0)+9)+INDEX(L:L,MATCH(K97,$B:$B,0)+10))</f>
        <v>211</v>
      </c>
      <c r="L101" s="425"/>
      <c r="M101" s="426"/>
      <c r="N101" s="424">
        <f>ABS(INDEX(O:O,MATCH(N97,$B:$B,0)+8)+INDEX(O:O,MATCH(N97,$B:$B,0)+9)+INDEX(O:O,MATCH(N97,$B:$B,0)+10))</f>
        <v>129</v>
      </c>
      <c r="O101" s="425"/>
      <c r="P101" s="426"/>
      <c r="Q101" s="424">
        <f>ABS(INDEX(R:R,MATCH(Q97,$B:$B,0)+8)+INDEX(R:R,MATCH(Q97,$B:$B,0)+9)+INDEX(R:R,MATCH(Q97,$B:$B,0)+10))</f>
        <v>196</v>
      </c>
      <c r="R101" s="425"/>
      <c r="S101" s="426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" customHeight="1">
      <c r="B102" s="417" t="s">
        <v>2277</v>
      </c>
      <c r="C102" s="418"/>
      <c r="D102" s="419"/>
      <c r="E102" s="424">
        <f>ABS(INDEX(F:F,MATCH(E97,$B:$B,0)+11)+INDEX(F:F,MATCH(E97,$B:$B,0)+12)+INDEX(F:F,MATCH(E97,$B:$B,0)+13))</f>
        <v>211</v>
      </c>
      <c r="F102" s="425"/>
      <c r="G102" s="426"/>
      <c r="H102" s="424">
        <f>ABS(INDEX(I:I,MATCH(H97,$B:$B,0)+11)+INDEX(I:I,MATCH(H97,$B:$B,0)+12)+INDEX(I:I,MATCH(H97,$B:$B,0)+13))</f>
        <v>147</v>
      </c>
      <c r="I102" s="425"/>
      <c r="J102" s="426"/>
      <c r="K102" s="424">
        <f>ABS(INDEX(L:L,MATCH(K97,$B:$B,0)+11)+INDEX(L:L,MATCH(K97,$B:$B,0)+12)+INDEX(L:L,MATCH(K97,$B:$B,0)+13))</f>
        <v>190</v>
      </c>
      <c r="L102" s="425"/>
      <c r="M102" s="426"/>
      <c r="N102" s="424">
        <f>ABS(INDEX(O:O,MATCH(N97,$B:$B,0)+11)+INDEX(O:O,MATCH(N97,$B:$B,0)+12)+INDEX(O:O,MATCH(N97,$B:$B,0)+13))</f>
        <v>151</v>
      </c>
      <c r="O102" s="425"/>
      <c r="P102" s="426"/>
      <c r="Q102" s="424">
        <f>ABS(INDEX(R:R,MATCH(Q97,$B:$B,0)+11)+INDEX(R:R,MATCH(Q97,$B:$B,0)+12)+INDEX(R:R,MATCH(Q97,$B:$B,0)+13))</f>
        <v>116</v>
      </c>
      <c r="R102" s="425"/>
      <c r="S102" s="426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" customHeight="1">
      <c r="B103" s="420" t="s">
        <v>2278</v>
      </c>
      <c r="C103" s="421"/>
      <c r="D103" s="422"/>
      <c r="E103" s="407">
        <f>SUM(E100:E102)</f>
        <v>536</v>
      </c>
      <c r="F103" s="423"/>
      <c r="G103" s="408"/>
      <c r="H103" s="407">
        <f>SUM(H100:H102)</f>
        <v>484</v>
      </c>
      <c r="I103" s="423"/>
      <c r="J103" s="408"/>
      <c r="K103" s="407">
        <f>SUM(K100:K102)</f>
        <v>606</v>
      </c>
      <c r="L103" s="423"/>
      <c r="M103" s="408"/>
      <c r="N103" s="407">
        <f>SUM(N100:N102)</f>
        <v>449</v>
      </c>
      <c r="O103" s="423"/>
      <c r="P103" s="408"/>
      <c r="Q103" s="407">
        <f>SUM(Q100:Q102)</f>
        <v>450</v>
      </c>
      <c r="R103" s="423"/>
      <c r="S103" s="408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>
      <c r="A105" s="255"/>
      <c r="B105" s="7" t="s">
        <v>1802</v>
      </c>
      <c r="C105" s="24"/>
      <c r="D105" s="24"/>
      <c r="E105" s="35" t="s">
        <v>1786</v>
      </c>
      <c r="F105" s="35"/>
      <c r="G105" s="427" t="str">
        <f>Schlüssel!$C$1</f>
        <v>Landesliga Jugend</v>
      </c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  <c r="S105" s="406">
        <f>Schlüssel!$BA$1</f>
        <v>45752</v>
      </c>
      <c r="T105" s="406"/>
      <c r="U105" s="406"/>
      <c r="V105" s="406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>
      <c r="A106" s="53"/>
      <c r="B106" s="54">
        <v>5</v>
      </c>
      <c r="E106" s="35" t="s">
        <v>1787</v>
      </c>
      <c r="F106" s="35"/>
      <c r="G106" s="413" t="str">
        <f>Schlüssel!$AQ$2</f>
        <v>München Hollywood Super Bowling</v>
      </c>
      <c r="H106" s="413"/>
      <c r="I106" s="413"/>
      <c r="J106" s="413"/>
      <c r="K106" s="413"/>
      <c r="L106" s="413"/>
      <c r="M106" s="413"/>
      <c r="N106" s="413"/>
      <c r="O106" s="413"/>
      <c r="P106" s="66"/>
      <c r="Q106" s="411" t="s">
        <v>1785</v>
      </c>
      <c r="R106" s="412"/>
      <c r="S106" s="38">
        <v>3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>
      <c r="B107" s="414" t="str">
        <f>VLOOKUP(B106,Schlüssel!$A$5:$B$12,2)</f>
        <v>Berchtesgaden 1</v>
      </c>
      <c r="C107" s="415"/>
      <c r="D107" s="415"/>
      <c r="E107" s="415"/>
      <c r="F107" s="415"/>
      <c r="G107" s="416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3.8" hidden="1" thickBot="1">
      <c r="A108" s="6"/>
      <c r="B108" s="7"/>
      <c r="C108" s="43"/>
      <c r="D108" s="43"/>
      <c r="E108" s="162" t="s">
        <v>10</v>
      </c>
      <c r="F108" s="220"/>
      <c r="G108" s="159">
        <f>VLOOKUP(B106,Schlüssel!$A$5:$EK$12,53)</f>
        <v>15</v>
      </c>
      <c r="H108" s="161" t="s">
        <v>10</v>
      </c>
      <c r="I108" s="220"/>
      <c r="J108" s="159">
        <f>VLOOKUP(B106,Schlüssel!$A$5:$EK$12,54)</f>
        <v>18</v>
      </c>
      <c r="K108" s="161" t="s">
        <v>10</v>
      </c>
      <c r="L108" s="220"/>
      <c r="M108" s="159">
        <f>VLOOKUP(B106,Schlüssel!$A$5:$EK$12,55)</f>
        <v>16</v>
      </c>
      <c r="N108" s="161" t="s">
        <v>10</v>
      </c>
      <c r="O108" s="220"/>
      <c r="P108" s="159">
        <f>VLOOKUP(B106,Schlüssel!$A$5:$EK$12,56)</f>
        <v>13</v>
      </c>
      <c r="Q108" s="161" t="s">
        <v>10</v>
      </c>
      <c r="R108" s="220"/>
      <c r="S108" s="160">
        <f>VLOOKUP(B106,Schlüssel!$A$5:$EK$12,57)</f>
        <v>16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>
      <c r="B109" s="44" t="s">
        <v>1</v>
      </c>
      <c r="C109" s="208"/>
      <c r="D109" s="217"/>
      <c r="E109" s="423" t="s">
        <v>1793</v>
      </c>
      <c r="F109" s="423"/>
      <c r="G109" s="408"/>
      <c r="H109" s="407" t="s">
        <v>1794</v>
      </c>
      <c r="I109" s="423"/>
      <c r="J109" s="408"/>
      <c r="K109" s="407" t="s">
        <v>1795</v>
      </c>
      <c r="L109" s="423"/>
      <c r="M109" s="408"/>
      <c r="N109" s="407" t="s">
        <v>1796</v>
      </c>
      <c r="O109" s="423"/>
      <c r="P109" s="408"/>
      <c r="Q109" s="407" t="s">
        <v>1797</v>
      </c>
      <c r="R109" s="423"/>
      <c r="S109" s="437"/>
      <c r="T109" s="439" t="s">
        <v>1792</v>
      </c>
      <c r="U109" s="440"/>
      <c r="V109" s="410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6.95" customHeight="1">
      <c r="A111" s="403" t="s">
        <v>0</v>
      </c>
      <c r="B111" s="58" t="str">
        <f>IF(C111=0,"",VLOOKUP(C111,Starter!$A$1:$D$196,2,FALSE))</f>
        <v>Laubach, Nina</v>
      </c>
      <c r="C111" s="232">
        <v>38905</v>
      </c>
      <c r="D111" s="238">
        <f t="shared" ref="D111:D119" si="96">+AP111</f>
        <v>67</v>
      </c>
      <c r="E111" s="221">
        <v>73</v>
      </c>
      <c r="F111" s="240">
        <f t="shared" ref="F111:F119" si="97">IF(E111&gt;0,E111+$D111,0)</f>
        <v>140</v>
      </c>
      <c r="G111" s="428">
        <f>IF(SUM(F111:F113)+E126=0,0,IF(ABS(SUM(F111:F113))=E126,Spielorte!$A$30/2,IF(ABS(SUM(F111:F113))&gt;E126,Spielorte!$A$30,0)))</f>
        <v>0</v>
      </c>
      <c r="H111" s="221">
        <v>87</v>
      </c>
      <c r="I111" s="240">
        <f t="shared" ref="I111:I119" si="98">IF(H111&gt;0,H111+$D111,0)</f>
        <v>154</v>
      </c>
      <c r="J111" s="428">
        <f>IF(SUM(I111:I113)+H126=0,0,IF(ABS(SUM(I111:I113))=H126,Spielorte!$A$30/2,IF(ABS(SUM(I111:I113))&gt;H126,Spielorte!$A$30,0)))</f>
        <v>0</v>
      </c>
      <c r="K111" s="221">
        <v>79</v>
      </c>
      <c r="L111" s="240">
        <f t="shared" ref="L111:L119" si="99">IF(K111&gt;0,K111+$D111,0)</f>
        <v>146</v>
      </c>
      <c r="M111" s="428">
        <f>IF(SUM(L111:L113)+K126=0,0,IF(ABS(SUM(L111:L113))=K126,Spielorte!$A$30/2,IF(ABS(SUM(L111:L113))&gt;K126,Spielorte!$A$30,0)))</f>
        <v>0.5</v>
      </c>
      <c r="N111" s="221">
        <v>55</v>
      </c>
      <c r="O111" s="240">
        <f t="shared" ref="O111:O119" si="100">IF(N111&gt;0,N111+$D111,0)</f>
        <v>122</v>
      </c>
      <c r="P111" s="428">
        <f>IF(SUM(O111:O113)+N126=0,0,IF(ABS(SUM(O111:O113))=N126,Spielorte!$A$30/2,IF(ABS(SUM(O111:O113))&gt;N126,Spielorte!$A$30,0)))</f>
        <v>0</v>
      </c>
      <c r="Q111" s="221">
        <v>71</v>
      </c>
      <c r="R111" s="240">
        <f t="shared" ref="R111:R119" si="101">IF(Q111&gt;0,Q111+$D111,0)</f>
        <v>138</v>
      </c>
      <c r="S111" s="428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365</v>
      </c>
      <c r="U111" s="240">
        <f t="shared" si="102"/>
        <v>700</v>
      </c>
      <c r="V111" s="400">
        <f>SUM(G111+J111+M111+P111+S111)</f>
        <v>0.5</v>
      </c>
      <c r="W111" s="79"/>
      <c r="X111" s="79"/>
      <c r="Y111" s="79"/>
      <c r="Z111" s="79"/>
      <c r="AA111" s="79"/>
      <c r="AB111" s="79"/>
      <c r="AL111" s="169">
        <f>IF(AU111=0,0,IFERROR(INDEX(RanglisteST3!K:K,MATCH(AU111,RanglisteST3!A:A,0)),0))</f>
        <v>76.86</v>
      </c>
      <c r="AM111" s="169">
        <f>IF(AU111=0,0,SUMIF(AU111:AU119,AU111,AV111:AV119))</f>
        <v>365</v>
      </c>
      <c r="AN111" s="169">
        <f>IF(AU111=0,0,SUMIF(AU111:AU119,AU111,AW111:AW119))</f>
        <v>5</v>
      </c>
      <c r="AO111" s="169">
        <f t="shared" ref="AO111:AO119" si="103">IFERROR(AM111/AN111,0)</f>
        <v>73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67</v>
      </c>
      <c r="AQ111" s="166"/>
      <c r="AR111" s="167"/>
      <c r="AS111" s="167"/>
      <c r="AT111" s="168"/>
      <c r="AU111" s="171">
        <f t="shared" ref="AU111:AU119" si="104">C111</f>
        <v>38905</v>
      </c>
      <c r="AV111" s="167">
        <f t="shared" ref="AV111:AV119" si="105">T111</f>
        <v>365</v>
      </c>
      <c r="AW111" s="169">
        <f t="shared" ref="AW111:AW119" si="106">COUNT(AY111:BC111)</f>
        <v>5</v>
      </c>
      <c r="AX111" s="169">
        <f t="shared" ref="AX111:AX119" si="107">COUNTIF(AY111:BC111,"&gt;0")</f>
        <v>5</v>
      </c>
      <c r="AY111" s="169">
        <f t="shared" ref="AY111:AY119" si="108">IF(E111=0,"",E111)</f>
        <v>73</v>
      </c>
      <c r="AZ111" s="169">
        <f t="shared" ref="AZ111:AZ119" si="109">IF(H111=0,"",H111)</f>
        <v>87</v>
      </c>
      <c r="BA111" s="169">
        <f t="shared" ref="BA111:BA119" si="110">IF(K111=0,"",K111)</f>
        <v>79</v>
      </c>
      <c r="BB111" s="169">
        <f t="shared" ref="BB111:BB119" si="111">IF(N111=0,"",N111)</f>
        <v>55</v>
      </c>
      <c r="BC111" s="169">
        <f t="shared" ref="BC111:BC119" si="112">IF(Q111=0,"",Q111)</f>
        <v>71</v>
      </c>
      <c r="BD111" s="170"/>
      <c r="BE111" s="168"/>
      <c r="BF111" s="169">
        <f t="shared" ref="BF111:BF119" si="113">MAX(AY111:BC111)</f>
        <v>87</v>
      </c>
      <c r="BG111" s="169">
        <f t="shared" ref="BG111:BG119" si="114">IF(BF111&lt;MAX(BF:BF),0,BF111+ROW()/1000000000)</f>
        <v>0</v>
      </c>
      <c r="BH111" s="169" t="str">
        <f>+B107</f>
        <v>Berchtesgaden 1</v>
      </c>
      <c r="BI111" s="168">
        <f t="shared" ref="BI111:BI119" si="115">RANK(BG111,BG:BG)</f>
        <v>2</v>
      </c>
      <c r="BJ111" s="169">
        <f t="shared" ref="BJ111:BJ119" si="116">SUMIF(AY111:BC111,"&gt;0")</f>
        <v>365</v>
      </c>
      <c r="BK111" s="169">
        <f>IF(COUNTIF(AY111:BC111,"&gt;0")&lt;Spielorte!$A$23,0,AV111/Spielorte!$A$23)</f>
        <v>73</v>
      </c>
      <c r="BL111" s="169">
        <f t="shared" ref="BL111:BL119" si="117">IF(BK111&lt;MAX(BK:BK),0,BK111+ROW()/1000000000)</f>
        <v>0</v>
      </c>
      <c r="BM111" s="168">
        <f t="shared" ref="BM111:BM119" si="118">IF(BL111=0,0,RANK(BL111,BL:BL))</f>
        <v>0</v>
      </c>
    </row>
    <row r="112" spans="1:65" ht="16.95" customHeight="1">
      <c r="A112" s="404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9"/>
      <c r="H112" s="222"/>
      <c r="I112" s="241">
        <f t="shared" si="98"/>
        <v>0</v>
      </c>
      <c r="J112" s="429"/>
      <c r="K112" s="222"/>
      <c r="L112" s="241">
        <f t="shared" si="99"/>
        <v>0</v>
      </c>
      <c r="M112" s="429"/>
      <c r="N112" s="222"/>
      <c r="O112" s="241">
        <f t="shared" si="100"/>
        <v>0</v>
      </c>
      <c r="P112" s="429"/>
      <c r="Q112" s="222"/>
      <c r="R112" s="241">
        <f t="shared" si="101"/>
        <v>0</v>
      </c>
      <c r="S112" s="429"/>
      <c r="T112" s="222">
        <f t="shared" si="102"/>
        <v>0</v>
      </c>
      <c r="U112" s="241">
        <f t="shared" si="102"/>
        <v>0</v>
      </c>
      <c r="V112" s="401"/>
      <c r="W112" s="79"/>
      <c r="X112" s="79"/>
      <c r="Y112" s="79"/>
      <c r="Z112" s="79"/>
      <c r="AA112" s="79"/>
      <c r="AB112" s="79"/>
      <c r="AL112" s="169">
        <f>IF(AU112=0,0,IFERROR(INDEX(RanglisteST3!K:K,MATCH(AU112,RanglisteST3!A:A,0)),0))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0</v>
      </c>
      <c r="BH112" s="169" t="str">
        <f t="shared" ref="BH112:BH119" si="119">+BH111</f>
        <v>Berchtesgaden 1</v>
      </c>
      <c r="BI112" s="168">
        <f t="shared" si="115"/>
        <v>2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0</v>
      </c>
      <c r="BM112" s="168">
        <f t="shared" si="118"/>
        <v>0</v>
      </c>
    </row>
    <row r="113" spans="1:65" ht="16.95" customHeight="1" thickBot="1">
      <c r="A113" s="405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30"/>
      <c r="H113" s="224"/>
      <c r="I113" s="242">
        <f t="shared" si="98"/>
        <v>0</v>
      </c>
      <c r="J113" s="430"/>
      <c r="K113" s="224"/>
      <c r="L113" s="242">
        <f t="shared" si="99"/>
        <v>0</v>
      </c>
      <c r="M113" s="430"/>
      <c r="N113" s="224"/>
      <c r="O113" s="242">
        <f t="shared" si="100"/>
        <v>0</v>
      </c>
      <c r="P113" s="430"/>
      <c r="Q113" s="224"/>
      <c r="R113" s="242">
        <f t="shared" si="101"/>
        <v>0</v>
      </c>
      <c r="S113" s="430"/>
      <c r="T113" s="224">
        <f t="shared" si="102"/>
        <v>0</v>
      </c>
      <c r="U113" s="242">
        <f t="shared" si="102"/>
        <v>0</v>
      </c>
      <c r="V113" s="402"/>
      <c r="W113" s="79"/>
      <c r="X113" s="79"/>
      <c r="Y113" s="79"/>
      <c r="Z113" s="79"/>
      <c r="AA113" s="79"/>
      <c r="AB113" s="79"/>
      <c r="AL113" s="169">
        <f>IF(AU113=0,0,IFERROR(INDEX(RanglisteST3!K:K,MATCH(AU113,RanglisteST3!A:A,0)),0))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0</v>
      </c>
      <c r="BH113" s="169" t="str">
        <f t="shared" si="119"/>
        <v>Berchtesgaden 1</v>
      </c>
      <c r="BI113" s="168">
        <f t="shared" si="115"/>
        <v>2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0</v>
      </c>
      <c r="BM113" s="168">
        <f t="shared" si="118"/>
        <v>0</v>
      </c>
    </row>
    <row r="114" spans="1:65" ht="16.95" customHeight="1">
      <c r="A114" s="403" t="s">
        <v>2</v>
      </c>
      <c r="B114" s="58" t="str">
        <f>IF(C114=0,"",VLOOKUP(C114,Starter!$A$1:$D$196,2,FALSE))</f>
        <v>Ruppert, Raja</v>
      </c>
      <c r="C114" s="235">
        <v>38937</v>
      </c>
      <c r="D114" s="238">
        <f t="shared" si="96"/>
        <v>23</v>
      </c>
      <c r="E114" s="221">
        <v>123</v>
      </c>
      <c r="F114" s="240">
        <f t="shared" si="97"/>
        <v>146</v>
      </c>
      <c r="G114" s="428">
        <f>IF(SUM(F114:F116)+E127=0,0,IF(ABS(SUM(F114:F116))=E127,Spielorte!$A$30/2,IF(ABS(SUM(F114:F116))&gt;E127,Spielorte!$A$30,0)))</f>
        <v>0</v>
      </c>
      <c r="H114" s="221">
        <v>133</v>
      </c>
      <c r="I114" s="240">
        <f t="shared" si="98"/>
        <v>156</v>
      </c>
      <c r="J114" s="428">
        <f>IF(SUM(I114:I116)+H127=0,0,IF(ABS(SUM(I114:I116))=H127,Spielorte!$A$30/2,IF(ABS(SUM(I114:I116))&gt;H127,Spielorte!$A$30,0)))</f>
        <v>1</v>
      </c>
      <c r="K114" s="221">
        <v>117</v>
      </c>
      <c r="L114" s="240">
        <f t="shared" si="99"/>
        <v>140</v>
      </c>
      <c r="M114" s="428">
        <f>IF(SUM(L114:L116)+K127=0,0,IF(ABS(SUM(L114:L116))=K127,Spielorte!$A$30/2,IF(ABS(SUM(L114:L116))&gt;K127,Spielorte!$A$30,0)))</f>
        <v>1</v>
      </c>
      <c r="N114" s="221">
        <v>147</v>
      </c>
      <c r="O114" s="240">
        <f t="shared" si="100"/>
        <v>170</v>
      </c>
      <c r="P114" s="428">
        <f>IF(SUM(O114:O116)+N127=0,0,IF(ABS(SUM(O114:O116))=N127,Spielorte!$A$30/2,IF(ABS(SUM(O114:O116))&gt;N127,Spielorte!$A$30,0)))</f>
        <v>1</v>
      </c>
      <c r="Q114" s="221">
        <v>173</v>
      </c>
      <c r="R114" s="240">
        <f t="shared" si="101"/>
        <v>196</v>
      </c>
      <c r="S114" s="428">
        <f>IF(SUM(R114:R116)+Q127=0,0,IF(ABS(SUM(R114:R116))=Q127,Spielorte!$A$30/2,IF(ABS(SUM(R114:R116))&gt;Q127,Spielorte!$A$30,0)))</f>
        <v>1</v>
      </c>
      <c r="T114" s="221">
        <f t="shared" si="102"/>
        <v>693</v>
      </c>
      <c r="U114" s="240">
        <f t="shared" si="102"/>
        <v>808</v>
      </c>
      <c r="V114" s="400">
        <f>SUM(G114+J114+M114+P114+S114)</f>
        <v>4</v>
      </c>
      <c r="W114" s="79"/>
      <c r="X114" s="79"/>
      <c r="Y114" s="79"/>
      <c r="Z114" s="79"/>
      <c r="AA114" s="79"/>
      <c r="AB114" s="79"/>
      <c r="AL114" s="169">
        <f>IF(AU114=0,0,IFERROR(INDEX(RanglisteST3!K:K,MATCH(AU114,RanglisteST3!A:A,0)),0))</f>
        <v>131.75</v>
      </c>
      <c r="AM114" s="169">
        <f>IF(AU114=0,0,SUMIF(AU111:AU119,AU114,AV111:AV119))</f>
        <v>693</v>
      </c>
      <c r="AN114" s="169">
        <f>IF(AU114=0,0,SUMIF(AU111:AU119,AU114,AW111:AW119))</f>
        <v>5</v>
      </c>
      <c r="AO114" s="169">
        <f t="shared" si="103"/>
        <v>138.6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23</v>
      </c>
      <c r="AQ114" s="166"/>
      <c r="AR114" s="167"/>
      <c r="AS114" s="167"/>
      <c r="AT114" s="168"/>
      <c r="AU114" s="171">
        <f t="shared" si="104"/>
        <v>38937</v>
      </c>
      <c r="AV114" s="167">
        <f t="shared" si="105"/>
        <v>693</v>
      </c>
      <c r="AW114" s="169">
        <f t="shared" si="106"/>
        <v>5</v>
      </c>
      <c r="AX114" s="169">
        <f t="shared" si="107"/>
        <v>5</v>
      </c>
      <c r="AY114" s="169">
        <f t="shared" si="108"/>
        <v>123</v>
      </c>
      <c r="AZ114" s="169">
        <f t="shared" si="109"/>
        <v>133</v>
      </c>
      <c r="BA114" s="169">
        <f t="shared" si="110"/>
        <v>117</v>
      </c>
      <c r="BB114" s="169">
        <f t="shared" si="111"/>
        <v>147</v>
      </c>
      <c r="BC114" s="169">
        <f t="shared" si="112"/>
        <v>173</v>
      </c>
      <c r="BD114" s="170"/>
      <c r="BE114" s="168"/>
      <c r="BF114" s="169">
        <f t="shared" si="113"/>
        <v>173</v>
      </c>
      <c r="BG114" s="169">
        <f t="shared" si="114"/>
        <v>0</v>
      </c>
      <c r="BH114" s="169" t="str">
        <f t="shared" si="119"/>
        <v>Berchtesgaden 1</v>
      </c>
      <c r="BI114" s="168">
        <f t="shared" si="115"/>
        <v>2</v>
      </c>
      <c r="BJ114" s="169">
        <f t="shared" si="116"/>
        <v>693</v>
      </c>
      <c r="BK114" s="169">
        <f>IF(COUNTIF(AY114:BC114,"&gt;0")&lt;Spielorte!$A$23,0,AV114/Spielorte!$A$23)</f>
        <v>138.6</v>
      </c>
      <c r="BL114" s="169">
        <f t="shared" si="117"/>
        <v>0</v>
      </c>
      <c r="BM114" s="168">
        <f t="shared" si="118"/>
        <v>0</v>
      </c>
    </row>
    <row r="115" spans="1:65" ht="16.95" customHeight="1">
      <c r="A115" s="404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9"/>
      <c r="H115" s="222"/>
      <c r="I115" s="241">
        <f t="shared" si="98"/>
        <v>0</v>
      </c>
      <c r="J115" s="429"/>
      <c r="K115" s="222"/>
      <c r="L115" s="241">
        <f t="shared" si="99"/>
        <v>0</v>
      </c>
      <c r="M115" s="429"/>
      <c r="N115" s="222"/>
      <c r="O115" s="241">
        <f t="shared" si="100"/>
        <v>0</v>
      </c>
      <c r="P115" s="429"/>
      <c r="Q115" s="222"/>
      <c r="R115" s="241">
        <f t="shared" si="101"/>
        <v>0</v>
      </c>
      <c r="S115" s="429"/>
      <c r="T115" s="222">
        <f t="shared" si="102"/>
        <v>0</v>
      </c>
      <c r="U115" s="241">
        <f t="shared" si="102"/>
        <v>0</v>
      </c>
      <c r="V115" s="401"/>
      <c r="W115" s="79"/>
      <c r="X115" s="79"/>
      <c r="Y115" s="79"/>
      <c r="Z115" s="79"/>
      <c r="AA115" s="79"/>
      <c r="AB115" s="79"/>
      <c r="AL115" s="169">
        <f>IF(AU115=0,0,IFERROR(INDEX(RanglisteST3!K:K,MATCH(AU115,RanglisteST3!A:A,0)),0))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0</v>
      </c>
      <c r="BH115" s="169" t="str">
        <f t="shared" si="119"/>
        <v>Berchtesgaden 1</v>
      </c>
      <c r="BI115" s="168">
        <f t="shared" si="115"/>
        <v>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0</v>
      </c>
      <c r="BM115" s="168">
        <f t="shared" si="118"/>
        <v>0</v>
      </c>
    </row>
    <row r="116" spans="1:65" ht="16.95" customHeight="1" thickBot="1">
      <c r="A116" s="405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30"/>
      <c r="H116" s="224"/>
      <c r="I116" s="242">
        <f t="shared" si="98"/>
        <v>0</v>
      </c>
      <c r="J116" s="430"/>
      <c r="K116" s="224"/>
      <c r="L116" s="242">
        <f t="shared" si="99"/>
        <v>0</v>
      </c>
      <c r="M116" s="430"/>
      <c r="N116" s="224"/>
      <c r="O116" s="242">
        <f t="shared" si="100"/>
        <v>0</v>
      </c>
      <c r="P116" s="430"/>
      <c r="Q116" s="224"/>
      <c r="R116" s="242">
        <f t="shared" si="101"/>
        <v>0</v>
      </c>
      <c r="S116" s="430"/>
      <c r="T116" s="224">
        <f t="shared" si="102"/>
        <v>0</v>
      </c>
      <c r="U116" s="242">
        <f t="shared" si="102"/>
        <v>0</v>
      </c>
      <c r="V116" s="402"/>
      <c r="W116" s="79"/>
      <c r="X116" s="79"/>
      <c r="Y116" s="79"/>
      <c r="Z116" s="79"/>
      <c r="AA116" s="79"/>
      <c r="AB116" s="79"/>
      <c r="AL116" s="169">
        <f>IF(AU116=0,0,IFERROR(INDEX(RanglisteST3!K:K,MATCH(AU116,RanglisteST3!A:A,0)),0))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0</v>
      </c>
      <c r="BH116" s="169" t="str">
        <f t="shared" si="119"/>
        <v>Berchtesgaden 1</v>
      </c>
      <c r="BI116" s="168">
        <f t="shared" si="115"/>
        <v>2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0</v>
      </c>
      <c r="BM116" s="168">
        <f t="shared" si="118"/>
        <v>0</v>
      </c>
    </row>
    <row r="117" spans="1:65" ht="16.95" customHeight="1">
      <c r="A117" s="403" t="s">
        <v>3</v>
      </c>
      <c r="B117" s="58" t="str">
        <f>IF(C117=0,"",VLOOKUP(C117,Starter!$A$1:$D$196,2,FALSE))</f>
        <v>Pittner, Gregor</v>
      </c>
      <c r="C117" s="235">
        <v>38819</v>
      </c>
      <c r="D117" s="238">
        <f t="shared" si="96"/>
        <v>31</v>
      </c>
      <c r="E117" s="221">
        <v>112</v>
      </c>
      <c r="F117" s="240">
        <f t="shared" si="97"/>
        <v>143</v>
      </c>
      <c r="G117" s="428">
        <f>IF(SUM(F117:F119)+E128=0,0,IF(ABS(SUM(F117:F119))=E128,Spielorte!$A$30/2,IF(ABS(SUM(F117:F119))&gt;E128,Spielorte!$A$30,0)))</f>
        <v>0</v>
      </c>
      <c r="H117" s="221">
        <v>111</v>
      </c>
      <c r="I117" s="240">
        <f t="shared" si="98"/>
        <v>142</v>
      </c>
      <c r="J117" s="428">
        <f>IF(SUM(I117:I119)+H128=0,0,IF(ABS(SUM(I117:I119))=H128,Spielorte!$A$30/2,IF(ABS(SUM(I117:I119))&gt;H128,Spielorte!$A$30,0)))</f>
        <v>1</v>
      </c>
      <c r="K117" s="221">
        <v>177</v>
      </c>
      <c r="L117" s="240">
        <f t="shared" si="99"/>
        <v>208</v>
      </c>
      <c r="M117" s="428">
        <f>IF(SUM(L117:L119)+K128=0,0,IF(ABS(SUM(L117:L119))=K128,Spielorte!$A$30/2,IF(ABS(SUM(L117:L119))&gt;K128,Spielorte!$A$30,0)))</f>
        <v>1</v>
      </c>
      <c r="N117" s="221">
        <v>137</v>
      </c>
      <c r="O117" s="240">
        <f t="shared" si="100"/>
        <v>168</v>
      </c>
      <c r="P117" s="428">
        <f>IF(SUM(O117:O119)+N128=0,0,IF(ABS(SUM(O117:O119))=N128,Spielorte!$A$30/2,IF(ABS(SUM(O117:O119))&gt;N128,Spielorte!$A$30,0)))</f>
        <v>1</v>
      </c>
      <c r="Q117" s="221">
        <v>85</v>
      </c>
      <c r="R117" s="240">
        <f t="shared" si="101"/>
        <v>116</v>
      </c>
      <c r="S117" s="428">
        <f>IF(SUM(R117:R119)+Q128=0,0,IF(ABS(SUM(R117:R119))=Q128,Spielorte!$A$30/2,IF(ABS(SUM(R117:R119))&gt;Q128,Spielorte!$A$30,0)))</f>
        <v>0</v>
      </c>
      <c r="T117" s="221">
        <f t="shared" si="102"/>
        <v>622</v>
      </c>
      <c r="U117" s="240">
        <f t="shared" si="102"/>
        <v>777</v>
      </c>
      <c r="V117" s="400">
        <f>SUM(G117+J117+M117+P117+S117)</f>
        <v>3</v>
      </c>
      <c r="W117" s="79"/>
      <c r="X117" s="79"/>
      <c r="Y117" s="79"/>
      <c r="Z117" s="79"/>
      <c r="AA117" s="79"/>
      <c r="AB117" s="79"/>
      <c r="AL117" s="169">
        <f>IF(AU117=0,0,IFERROR(INDEX(RanglisteST3!K:K,MATCH(AU117,RanglisteST3!A:A,0)),0))</f>
        <v>121</v>
      </c>
      <c r="AM117" s="169">
        <f>IF(AU117=0,0,SUMIF(AU111:AU119,AU117,AV111:AV119))</f>
        <v>622</v>
      </c>
      <c r="AN117" s="169">
        <f>IF(AU117=0,0,SUMIF(AU111:AU119,AU117,AW111:AW119))</f>
        <v>5</v>
      </c>
      <c r="AO117" s="169">
        <f t="shared" si="103"/>
        <v>124.4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31</v>
      </c>
      <c r="AQ117" s="166"/>
      <c r="AR117" s="167"/>
      <c r="AS117" s="167"/>
      <c r="AT117" s="168"/>
      <c r="AU117" s="171">
        <f t="shared" si="104"/>
        <v>38819</v>
      </c>
      <c r="AV117" s="167">
        <f t="shared" si="105"/>
        <v>622</v>
      </c>
      <c r="AW117" s="169">
        <f t="shared" si="106"/>
        <v>5</v>
      </c>
      <c r="AX117" s="169">
        <f t="shared" si="107"/>
        <v>5</v>
      </c>
      <c r="AY117" s="169">
        <f t="shared" si="108"/>
        <v>112</v>
      </c>
      <c r="AZ117" s="169">
        <f t="shared" si="109"/>
        <v>111</v>
      </c>
      <c r="BA117" s="169">
        <f t="shared" si="110"/>
        <v>177</v>
      </c>
      <c r="BB117" s="169">
        <f t="shared" si="111"/>
        <v>137</v>
      </c>
      <c r="BC117" s="169">
        <f t="shared" si="112"/>
        <v>85</v>
      </c>
      <c r="BD117" s="170"/>
      <c r="BE117" s="168"/>
      <c r="BF117" s="169">
        <f t="shared" si="113"/>
        <v>177</v>
      </c>
      <c r="BG117" s="169">
        <f t="shared" si="114"/>
        <v>0</v>
      </c>
      <c r="BH117" s="169" t="str">
        <f t="shared" si="119"/>
        <v>Berchtesgaden 1</v>
      </c>
      <c r="BI117" s="168">
        <f t="shared" si="115"/>
        <v>2</v>
      </c>
      <c r="BJ117" s="169">
        <f t="shared" si="116"/>
        <v>622</v>
      </c>
      <c r="BK117" s="169">
        <f>IF(COUNTIF(AY117:BC117,"&gt;0")&lt;Spielorte!$A$23,0,AV117/Spielorte!$A$23)</f>
        <v>124.4</v>
      </c>
      <c r="BL117" s="169">
        <f t="shared" si="117"/>
        <v>0</v>
      </c>
      <c r="BM117" s="168">
        <f t="shared" si="118"/>
        <v>0</v>
      </c>
    </row>
    <row r="118" spans="1:65" ht="16.95" customHeight="1">
      <c r="A118" s="404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9"/>
      <c r="H118" s="222"/>
      <c r="I118" s="241">
        <f t="shared" si="98"/>
        <v>0</v>
      </c>
      <c r="J118" s="429"/>
      <c r="K118" s="222"/>
      <c r="L118" s="241">
        <f t="shared" si="99"/>
        <v>0</v>
      </c>
      <c r="M118" s="429"/>
      <c r="N118" s="222"/>
      <c r="O118" s="241">
        <f t="shared" si="100"/>
        <v>0</v>
      </c>
      <c r="P118" s="429"/>
      <c r="Q118" s="222"/>
      <c r="R118" s="241">
        <f t="shared" si="101"/>
        <v>0</v>
      </c>
      <c r="S118" s="429"/>
      <c r="T118" s="222">
        <f t="shared" si="102"/>
        <v>0</v>
      </c>
      <c r="U118" s="241">
        <f t="shared" si="102"/>
        <v>0</v>
      </c>
      <c r="V118" s="401"/>
      <c r="W118" s="79"/>
      <c r="X118" s="79"/>
      <c r="Y118" s="79"/>
      <c r="Z118" s="79"/>
      <c r="AA118" s="79"/>
      <c r="AB118" s="79"/>
      <c r="AL118" s="169">
        <f>IF(AU118=0,0,IFERROR(INDEX(RanglisteST3!K:K,MATCH(AU118,RanglisteST3!A:A,0)),0))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0</v>
      </c>
      <c r="BH118" s="169" t="str">
        <f t="shared" si="119"/>
        <v>Berchtesgaden 1</v>
      </c>
      <c r="BI118" s="168">
        <f t="shared" si="115"/>
        <v>2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0</v>
      </c>
      <c r="BM118" s="168">
        <f t="shared" si="118"/>
        <v>0</v>
      </c>
    </row>
    <row r="119" spans="1:65" ht="16.95" customHeight="1" thickBot="1">
      <c r="A119" s="405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30"/>
      <c r="H119" s="224"/>
      <c r="I119" s="242">
        <f t="shared" si="98"/>
        <v>0</v>
      </c>
      <c r="J119" s="430"/>
      <c r="K119" s="224"/>
      <c r="L119" s="242">
        <f t="shared" si="99"/>
        <v>0</v>
      </c>
      <c r="M119" s="430"/>
      <c r="N119" s="224"/>
      <c r="O119" s="242">
        <f t="shared" si="100"/>
        <v>0</v>
      </c>
      <c r="P119" s="430"/>
      <c r="Q119" s="224"/>
      <c r="R119" s="242">
        <f t="shared" si="101"/>
        <v>0</v>
      </c>
      <c r="S119" s="430"/>
      <c r="T119" s="224">
        <f t="shared" si="102"/>
        <v>0</v>
      </c>
      <c r="U119" s="242">
        <f t="shared" si="102"/>
        <v>0</v>
      </c>
      <c r="V119" s="402"/>
      <c r="W119" s="79"/>
      <c r="X119" s="79"/>
      <c r="Y119" s="79"/>
      <c r="Z119" s="79"/>
      <c r="AA119" s="79"/>
      <c r="AB119" s="79"/>
      <c r="AL119" s="169">
        <f>IF(AU119=0,0,IFERROR(INDEX(RanglisteST3!K:K,MATCH(AU119,RanglisteST3!A:A,0)),0))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0</v>
      </c>
      <c r="BH119" s="169" t="str">
        <f t="shared" si="119"/>
        <v>Berchtesgaden 1</v>
      </c>
      <c r="BI119" s="168">
        <f t="shared" si="115"/>
        <v>2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0</v>
      </c>
      <c r="BM119" s="168">
        <f t="shared" si="118"/>
        <v>0</v>
      </c>
    </row>
    <row r="120" spans="1:65" ht="27.75" customHeight="1" thickBot="1">
      <c r="B120" s="218" t="s">
        <v>1792</v>
      </c>
      <c r="C120" s="204"/>
      <c r="D120" s="219"/>
      <c r="E120" s="226">
        <f>ABS(SUM(E111:E113))+ABS(SUM(E114:E116))+ABS(SUM(E117:E119))</f>
        <v>308</v>
      </c>
      <c r="F120" s="225">
        <f>ABS(SUM(F111:F113))+ABS(SUM(F114:F116))+ABS(SUM(F117:F119))</f>
        <v>429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331</v>
      </c>
      <c r="I120" s="225">
        <f>ABS(SUM(I111:I113))+ABS(SUM(I114:I116))+ABS(SUM(I117:I119))</f>
        <v>452</v>
      </c>
      <c r="J120" s="81">
        <f>IF(I120+H129=0,0,IF(I120=H129,Spielorte!$A$31/2,IF(I120&gt;H129,Spielorte!$A$31,0)))</f>
        <v>2</v>
      </c>
      <c r="K120" s="226">
        <f>ABS(SUM(K111:K113))+ABS(SUM(K114:K116))+ABS(SUM(K117:K119))</f>
        <v>373</v>
      </c>
      <c r="L120" s="225">
        <f>ABS(SUM(L111:L113))+ABS(SUM(L114:L116))+ABS(SUM(L117:L119))</f>
        <v>494</v>
      </c>
      <c r="M120" s="81">
        <f>IF(L120+K129=0,0,IF(L120=K129,Spielorte!$A$31/2,IF(L120&gt;K129,Spielorte!$A$31,0)))</f>
        <v>2</v>
      </c>
      <c r="N120" s="226">
        <f>ABS(SUM(N111:N113))+ABS(SUM(N114:N116))+ABS(SUM(N117:N119))</f>
        <v>339</v>
      </c>
      <c r="O120" s="225">
        <f>ABS(SUM(O111:O113))+ABS(SUM(O114:O116))+ABS(SUM(O117:O119))</f>
        <v>460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329</v>
      </c>
      <c r="R120" s="225">
        <f>ABS(SUM(R111:R113))+ABS(SUM(R114:R116))+ABS(SUM(R117:R119))</f>
        <v>450</v>
      </c>
      <c r="S120" s="81">
        <f>IF(R120+Q129=0,0,IF(R120=Q129,Spielorte!$A$31/2,IF(R120&gt;Q129,Spielorte!$A$31,0)))</f>
        <v>0</v>
      </c>
      <c r="T120" s="228">
        <f>SUM(E120+H120+K120+N120+Q120)</f>
        <v>1680</v>
      </c>
      <c r="U120" s="229">
        <f>SUM(F120+I120+L120+O120+R120)</f>
        <v>2285</v>
      </c>
      <c r="V120" s="12">
        <f>SUM(G120+J120+M120+P120+S120)</f>
        <v>4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4</v>
      </c>
      <c r="K121" s="1"/>
      <c r="L121" s="1"/>
      <c r="M121" s="61">
        <f>SUM(M111:M120)</f>
        <v>4.5</v>
      </c>
      <c r="N121" s="1"/>
      <c r="O121" s="1"/>
      <c r="P121" s="61">
        <f>SUM(P111:P120)</f>
        <v>2</v>
      </c>
      <c r="Q121" s="1"/>
      <c r="R121" s="1"/>
      <c r="S121" s="61">
        <f>SUM(S111:S120)</f>
        <v>1</v>
      </c>
      <c r="T121" s="1"/>
      <c r="U121" s="1"/>
      <c r="V121" s="61">
        <f>SUM(V111:V120)</f>
        <v>11.5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11.5</v>
      </c>
      <c r="AR121" s="167">
        <f>+T120</f>
        <v>1680</v>
      </c>
      <c r="AS121" s="167">
        <f>+U120</f>
        <v>2285</v>
      </c>
      <c r="AT121" s="168">
        <f>+B106</f>
        <v>5</v>
      </c>
      <c r="AW121" s="169">
        <f>SUM(AW105:AW120)</f>
        <v>15</v>
      </c>
      <c r="BD121" s="166">
        <f>+AS121/1000000+AQ121+AR121/1000000000000</f>
        <v>11.502285001680001</v>
      </c>
      <c r="BE121" s="168">
        <f>RANK(BD121,BD:BD)</f>
        <v>5</v>
      </c>
      <c r="BI121" s="168"/>
      <c r="BM121" s="168"/>
    </row>
    <row r="122" spans="1:65" ht="11.25" customHeight="1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>
      <c r="B123" s="231" t="s">
        <v>1790</v>
      </c>
      <c r="C123" s="210"/>
      <c r="D123" s="42"/>
      <c r="E123" s="434">
        <f>VLOOKUP($B106,Schlüssel!$A$5:$EK$12,43)</f>
        <v>2</v>
      </c>
      <c r="F123" s="435"/>
      <c r="G123" s="436"/>
      <c r="H123" s="434">
        <f>VLOOKUP($B106,Schlüssel!$A$5:$EK$12,44)</f>
        <v>8</v>
      </c>
      <c r="I123" s="435"/>
      <c r="J123" s="436"/>
      <c r="K123" s="434">
        <f>VLOOKUP($B106,Schlüssel!$A$5:$EK$12,45)</f>
        <v>3</v>
      </c>
      <c r="L123" s="435"/>
      <c r="M123" s="436"/>
      <c r="N123" s="434">
        <f>VLOOKUP($B106,Schlüssel!$A$5:$EK$12,46)</f>
        <v>6</v>
      </c>
      <c r="O123" s="435"/>
      <c r="P123" s="436"/>
      <c r="Q123" s="434">
        <f>VLOOKUP($B106,Schlüssel!$A$5:$EK$12,47)</f>
        <v>4</v>
      </c>
      <c r="R123" s="435"/>
      <c r="S123" s="436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>
      <c r="B124" s="3" t="s">
        <v>9</v>
      </c>
      <c r="C124" s="1"/>
      <c r="D124" s="1"/>
      <c r="E124" s="395" t="str">
        <f>VLOOKUP(E123,Schlüssel!$A$5:$K$12,2)</f>
        <v>Highroller Rosenheim 1</v>
      </c>
      <c r="F124" s="438"/>
      <c r="G124" s="396"/>
      <c r="H124" s="395" t="str">
        <f>VLOOKUP(H123,Schlüssel!$A$5:$K$12,2)</f>
        <v>EMAX 1</v>
      </c>
      <c r="I124" s="438"/>
      <c r="J124" s="396"/>
      <c r="K124" s="395" t="str">
        <f>VLOOKUP(K123,Schlüssel!$A$5:$K$12,2)</f>
        <v>Highroller Rosenheim 2</v>
      </c>
      <c r="L124" s="438"/>
      <c r="M124" s="396"/>
      <c r="N124" s="395" t="str">
        <f>VLOOKUP(N123,Schlüssel!$A$5:$K$12,2)</f>
        <v>Bowling Jugend Bayern 1</v>
      </c>
      <c r="O124" s="438"/>
      <c r="P124" s="396"/>
      <c r="Q124" s="395" t="str">
        <f>VLOOKUP(Q123,Schlüssel!$A$5:$K$12,2)</f>
        <v>Highroller Rosenheim 3</v>
      </c>
      <c r="R124" s="438"/>
      <c r="S124" s="396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" customHeight="1">
      <c r="B126" s="417" t="s">
        <v>2275</v>
      </c>
      <c r="C126" s="418"/>
      <c r="D126" s="419"/>
      <c r="E126" s="431">
        <f>ABS(INDEX(F:F,MATCH(E123,$B:$B,0)+5)+INDEX(F:F,MATCH(E123,$B:$B,0)+6)+INDEX(F:F,MATCH(E123,$B:$B,0)+7))</f>
        <v>184</v>
      </c>
      <c r="F126" s="432"/>
      <c r="G126" s="433"/>
      <c r="H126" s="431">
        <f>ABS(INDEX(I:I,MATCH(H123,$B:$B,0)+5)+INDEX(I:I,MATCH(H123,$B:$B,0)+6)+INDEX(I:I,MATCH(H123,$B:$B,0)+7))</f>
        <v>171</v>
      </c>
      <c r="I126" s="432"/>
      <c r="J126" s="433"/>
      <c r="K126" s="431">
        <f>ABS(INDEX(L:L,MATCH(K123,$B:$B,0)+5)+INDEX(L:L,MATCH(K123,$B:$B,0)+6)+INDEX(L:L,MATCH(K123,$B:$B,0)+7))</f>
        <v>146</v>
      </c>
      <c r="L126" s="432"/>
      <c r="M126" s="433"/>
      <c r="N126" s="431">
        <f>ABS(INDEX(O:O,MATCH(N123,$B:$B,0)+5)+INDEX(O:O,MATCH(N123,$B:$B,0)+6)+INDEX(O:O,MATCH(N123,$B:$B,0)+7))</f>
        <v>190</v>
      </c>
      <c r="O126" s="432"/>
      <c r="P126" s="433"/>
      <c r="Q126" s="431">
        <f>ABS(INDEX(R:R,MATCH(Q123,$B:$B,0)+5)+INDEX(R:R,MATCH(Q123,$B:$B,0)+6)+INDEX(R:R,MATCH(Q123,$B:$B,0)+7))</f>
        <v>176</v>
      </c>
      <c r="R126" s="432"/>
      <c r="S126" s="433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" customHeight="1">
      <c r="B127" s="417" t="s">
        <v>2276</v>
      </c>
      <c r="C127" s="418"/>
      <c r="D127" s="419"/>
      <c r="E127" s="424">
        <f>ABS(INDEX(F:F,MATCH(E123,$B:$B,0)+8)+INDEX(F:F,MATCH(E123,$B:$B,0)+9)+INDEX(F:F,MATCH(E123,$B:$B,0)+10))</f>
        <v>170</v>
      </c>
      <c r="F127" s="425"/>
      <c r="G127" s="426"/>
      <c r="H127" s="424">
        <f>ABS(INDEX(I:I,MATCH(H123,$B:$B,0)+8)+INDEX(I:I,MATCH(H123,$B:$B,0)+9)+INDEX(I:I,MATCH(H123,$B:$B,0)+10))</f>
        <v>125</v>
      </c>
      <c r="I127" s="425"/>
      <c r="J127" s="426"/>
      <c r="K127" s="424">
        <f>ABS(INDEX(L:L,MATCH(K123,$B:$B,0)+8)+INDEX(L:L,MATCH(K123,$B:$B,0)+9)+INDEX(L:L,MATCH(K123,$B:$B,0)+10))</f>
        <v>134</v>
      </c>
      <c r="L127" s="425"/>
      <c r="M127" s="426"/>
      <c r="N127" s="424">
        <f>ABS(INDEX(O:O,MATCH(N123,$B:$B,0)+8)+INDEX(O:O,MATCH(N123,$B:$B,0)+9)+INDEX(O:O,MATCH(N123,$B:$B,0)+10))</f>
        <v>150</v>
      </c>
      <c r="O127" s="425"/>
      <c r="P127" s="426"/>
      <c r="Q127" s="424">
        <f>ABS(INDEX(R:R,MATCH(Q123,$B:$B,0)+8)+INDEX(R:R,MATCH(Q123,$B:$B,0)+9)+INDEX(R:R,MATCH(Q123,$B:$B,0)+10))</f>
        <v>182</v>
      </c>
      <c r="R127" s="425"/>
      <c r="S127" s="426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" customHeight="1">
      <c r="B128" s="417" t="s">
        <v>2277</v>
      </c>
      <c r="C128" s="418"/>
      <c r="D128" s="419"/>
      <c r="E128" s="424">
        <f>ABS(INDEX(F:F,MATCH(E123,$B:$B,0)+11)+INDEX(F:F,MATCH(E123,$B:$B,0)+12)+INDEX(F:F,MATCH(E123,$B:$B,0)+13))</f>
        <v>191</v>
      </c>
      <c r="F128" s="425"/>
      <c r="G128" s="426"/>
      <c r="H128" s="424">
        <f>ABS(INDEX(I:I,MATCH(H123,$B:$B,0)+11)+INDEX(I:I,MATCH(H123,$B:$B,0)+12)+INDEX(I:I,MATCH(H123,$B:$B,0)+13))</f>
        <v>138</v>
      </c>
      <c r="I128" s="425"/>
      <c r="J128" s="426"/>
      <c r="K128" s="424">
        <f>ABS(INDEX(L:L,MATCH(K123,$B:$B,0)+11)+INDEX(L:L,MATCH(K123,$B:$B,0)+12)+INDEX(L:L,MATCH(K123,$B:$B,0)+13))</f>
        <v>129</v>
      </c>
      <c r="L128" s="425"/>
      <c r="M128" s="426"/>
      <c r="N128" s="424">
        <f>ABS(INDEX(O:O,MATCH(N123,$B:$B,0)+11)+INDEX(O:O,MATCH(N123,$B:$B,0)+12)+INDEX(O:O,MATCH(N123,$B:$B,0)+13))</f>
        <v>166</v>
      </c>
      <c r="O128" s="425"/>
      <c r="P128" s="426"/>
      <c r="Q128" s="424">
        <f>ABS(INDEX(R:R,MATCH(Q123,$B:$B,0)+11)+INDEX(R:R,MATCH(Q123,$B:$B,0)+12)+INDEX(R:R,MATCH(Q123,$B:$B,0)+13))</f>
        <v>171</v>
      </c>
      <c r="R128" s="425"/>
      <c r="S128" s="426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" customHeight="1">
      <c r="B129" s="420" t="s">
        <v>2278</v>
      </c>
      <c r="C129" s="421"/>
      <c r="D129" s="422"/>
      <c r="E129" s="407">
        <f>SUM(E126:E128)</f>
        <v>545</v>
      </c>
      <c r="F129" s="423"/>
      <c r="G129" s="408"/>
      <c r="H129" s="407">
        <f>SUM(H126:H128)</f>
        <v>434</v>
      </c>
      <c r="I129" s="423"/>
      <c r="J129" s="408"/>
      <c r="K129" s="407">
        <f>SUM(K126:K128)</f>
        <v>409</v>
      </c>
      <c r="L129" s="423"/>
      <c r="M129" s="408"/>
      <c r="N129" s="407">
        <f>SUM(N126:N128)</f>
        <v>506</v>
      </c>
      <c r="O129" s="423"/>
      <c r="P129" s="408"/>
      <c r="Q129" s="407">
        <f>SUM(Q126:Q128)</f>
        <v>529</v>
      </c>
      <c r="R129" s="423"/>
      <c r="S129" s="408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>
      <c r="A131" s="255"/>
      <c r="B131" s="7" t="s">
        <v>1802</v>
      </c>
      <c r="C131" s="24"/>
      <c r="D131" s="24"/>
      <c r="E131" s="35" t="s">
        <v>1786</v>
      </c>
      <c r="F131" s="35"/>
      <c r="G131" s="427" t="str">
        <f>Schlüssel!$C$1</f>
        <v>Landesliga Jugend</v>
      </c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  <c r="S131" s="406">
        <f>Schlüssel!$BA$1</f>
        <v>45752</v>
      </c>
      <c r="T131" s="406"/>
      <c r="U131" s="406"/>
      <c r="V131" s="406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>
      <c r="A132" s="53"/>
      <c r="B132" s="54">
        <v>6</v>
      </c>
      <c r="E132" s="35" t="s">
        <v>1787</v>
      </c>
      <c r="F132" s="35"/>
      <c r="G132" s="413" t="str">
        <f>Schlüssel!$AQ$2</f>
        <v>München Hollywood Super Bowling</v>
      </c>
      <c r="H132" s="413"/>
      <c r="I132" s="413"/>
      <c r="J132" s="413"/>
      <c r="K132" s="413"/>
      <c r="L132" s="413"/>
      <c r="M132" s="413"/>
      <c r="N132" s="413"/>
      <c r="O132" s="413"/>
      <c r="P132" s="66"/>
      <c r="Q132" s="411" t="s">
        <v>1785</v>
      </c>
      <c r="R132" s="412"/>
      <c r="S132" s="38">
        <v>3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>
      <c r="B133" s="414" t="str">
        <f>VLOOKUP(B132,Schlüssel!$A$5:$B$12,2)</f>
        <v>Bowling Jugend Bayern 1</v>
      </c>
      <c r="C133" s="415"/>
      <c r="D133" s="415"/>
      <c r="E133" s="415"/>
      <c r="F133" s="415"/>
      <c r="G133" s="416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3.8" hidden="1" thickBot="1">
      <c r="A134" s="6"/>
      <c r="B134" s="7"/>
      <c r="C134" s="43"/>
      <c r="D134" s="43"/>
      <c r="E134" s="162" t="s">
        <v>10</v>
      </c>
      <c r="F134" s="220"/>
      <c r="G134" s="159">
        <f>VLOOKUP(B132,Schlüssel!$A$5:$EK$12,53)</f>
        <v>18</v>
      </c>
      <c r="H134" s="161" t="s">
        <v>10</v>
      </c>
      <c r="I134" s="220"/>
      <c r="J134" s="159">
        <f>VLOOKUP(B132,Schlüssel!$A$5:$EK$12,54)</f>
        <v>15</v>
      </c>
      <c r="K134" s="161" t="s">
        <v>10</v>
      </c>
      <c r="L134" s="220"/>
      <c r="M134" s="159">
        <f>VLOOKUP(B132,Schlüssel!$A$5:$EK$12,55)</f>
        <v>17</v>
      </c>
      <c r="N134" s="161" t="s">
        <v>10</v>
      </c>
      <c r="O134" s="220"/>
      <c r="P134" s="159">
        <f>VLOOKUP(B132,Schlüssel!$A$5:$EK$12,56)</f>
        <v>14</v>
      </c>
      <c r="Q134" s="161" t="s">
        <v>10</v>
      </c>
      <c r="R134" s="220"/>
      <c r="S134" s="160">
        <f>VLOOKUP(B132,Schlüssel!$A$5:$EK$12,57)</f>
        <v>17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>
      <c r="B135" s="44" t="s">
        <v>1</v>
      </c>
      <c r="C135" s="208"/>
      <c r="D135" s="217"/>
      <c r="E135" s="423" t="s">
        <v>1793</v>
      </c>
      <c r="F135" s="423"/>
      <c r="G135" s="408"/>
      <c r="H135" s="407" t="s">
        <v>1794</v>
      </c>
      <c r="I135" s="423"/>
      <c r="J135" s="408"/>
      <c r="K135" s="407" t="s">
        <v>1795</v>
      </c>
      <c r="L135" s="423"/>
      <c r="M135" s="408"/>
      <c r="N135" s="407" t="s">
        <v>1796</v>
      </c>
      <c r="O135" s="423"/>
      <c r="P135" s="408"/>
      <c r="Q135" s="407" t="s">
        <v>1797</v>
      </c>
      <c r="R135" s="423"/>
      <c r="S135" s="437"/>
      <c r="T135" s="439" t="s">
        <v>1792</v>
      </c>
      <c r="U135" s="440"/>
      <c r="V135" s="410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6.95" customHeight="1">
      <c r="A137" s="403" t="s">
        <v>0</v>
      </c>
      <c r="B137" s="58" t="str">
        <f>IF(C137=0,"",VLOOKUP(C137,Starter!$A$1:$D$196,2,FALSE))</f>
        <v>Calik, Ilay</v>
      </c>
      <c r="C137" s="232">
        <v>38941</v>
      </c>
      <c r="D137" s="238">
        <f t="shared" ref="D137:D145" si="120">+AP137</f>
        <v>48</v>
      </c>
      <c r="E137" s="221">
        <v>116</v>
      </c>
      <c r="F137" s="240">
        <f t="shared" ref="F137:F145" si="121">IF(E137&gt;0,E137+$D137,0)</f>
        <v>164</v>
      </c>
      <c r="G137" s="428">
        <f>IF(SUM(F137:F139)+E152=0,0,IF(ABS(SUM(F137:F139))=E152,Spielorte!$A$30/2,IF(ABS(SUM(F137:F139))&gt;E152,Spielorte!$A$30,0)))</f>
        <v>1</v>
      </c>
      <c r="H137" s="221"/>
      <c r="I137" s="240">
        <f t="shared" ref="I137:I145" si="122">IF(H137&gt;0,H137+$D137,0)</f>
        <v>0</v>
      </c>
      <c r="J137" s="428">
        <f>IF(SUM(I137:I139)+H152=0,0,IF(ABS(SUM(I137:I139))=H152,Spielorte!$A$30/2,IF(ABS(SUM(I137:I139))&gt;H152,Spielorte!$A$30,0)))</f>
        <v>1</v>
      </c>
      <c r="K137" s="221"/>
      <c r="L137" s="240">
        <f t="shared" ref="L137:L145" si="123">IF(K137&gt;0,K137+$D137,0)</f>
        <v>0</v>
      </c>
      <c r="M137" s="428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8">
        <f>IF(SUM(O137:O139)+N152=0,0,IF(ABS(SUM(O137:O139))=N152,Spielorte!$A$30/2,IF(ABS(SUM(O137:O139))&gt;N152,Spielorte!$A$30,0)))</f>
        <v>1</v>
      </c>
      <c r="Q137" s="221"/>
      <c r="R137" s="240">
        <f t="shared" ref="R137:R145" si="125">IF(Q137&gt;0,Q137+$D137,0)</f>
        <v>0</v>
      </c>
      <c r="S137" s="428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116</v>
      </c>
      <c r="U137" s="240">
        <f t="shared" si="126"/>
        <v>164</v>
      </c>
      <c r="V137" s="400">
        <f>SUM(G137+J137+M137+P137+S137)</f>
        <v>3</v>
      </c>
      <c r="W137" s="79"/>
      <c r="X137" s="79"/>
      <c r="Y137" s="79"/>
      <c r="Z137" s="79"/>
      <c r="AA137" s="79"/>
      <c r="AB137" s="79"/>
      <c r="AL137" s="169">
        <f>IF(AU137=0,0,IFERROR(INDEX(RanglisteST3!K:K,MATCH(AU137,RanglisteST3!A:A,0)),0))</f>
        <v>100</v>
      </c>
      <c r="AM137" s="169">
        <f>IF(AU137=0,0,SUMIF(AU137:AU145,AU137,AV137:AV145))</f>
        <v>218</v>
      </c>
      <c r="AN137" s="169">
        <f>IF(AU137=0,0,SUMIF(AU137:AU145,AU137,AW137:AW145))</f>
        <v>2</v>
      </c>
      <c r="AO137" s="169">
        <f t="shared" ref="AO137:AO145" si="127">IFERROR(AM137/AN137,0)</f>
        <v>109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48</v>
      </c>
      <c r="AQ137" s="166"/>
      <c r="AR137" s="167"/>
      <c r="AS137" s="167"/>
      <c r="AT137" s="168"/>
      <c r="AU137" s="171">
        <f t="shared" ref="AU137:AU145" si="128">C137</f>
        <v>38941</v>
      </c>
      <c r="AV137" s="167">
        <f t="shared" ref="AV137:AV145" si="129">T137</f>
        <v>116</v>
      </c>
      <c r="AW137" s="169">
        <f t="shared" ref="AW137:AW145" si="130">COUNT(AY137:BC137)</f>
        <v>1</v>
      </c>
      <c r="AX137" s="169">
        <f t="shared" ref="AX137:AX145" si="131">COUNTIF(AY137:BC137,"&gt;0")</f>
        <v>1</v>
      </c>
      <c r="AY137" s="169">
        <f t="shared" ref="AY137:AY145" si="132">IF(E137=0,"",E137)</f>
        <v>116</v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116</v>
      </c>
      <c r="BG137" s="169">
        <f t="shared" ref="BG137:BG145" si="138">IF(BF137&lt;MAX(BF:BF),0,BF137+ROW()/1000000000)</f>
        <v>0</v>
      </c>
      <c r="BH137" s="169" t="str">
        <f>+B133</f>
        <v>Bowling Jugend Bayern 1</v>
      </c>
      <c r="BI137" s="168">
        <f t="shared" ref="BI137:BI145" si="139">RANK(BG137,BG:BG)</f>
        <v>2</v>
      </c>
      <c r="BJ137" s="169">
        <f t="shared" ref="BJ137:BJ145" si="140">SUMIF(AY137:BC137,"&gt;0")</f>
        <v>116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0</v>
      </c>
      <c r="BM137" s="168">
        <f t="shared" ref="BM137:BM145" si="142">IF(BL137=0,0,RANK(BL137,BL:BL))</f>
        <v>0</v>
      </c>
    </row>
    <row r="138" spans="1:65" ht="16.95" customHeight="1">
      <c r="A138" s="404"/>
      <c r="B138" s="58" t="str">
        <f>IF(C138=0,"",VLOOKUP(C138,Starter!$A$1:$D$196,2,FALSE))</f>
        <v>Klettenheimer, Julius</v>
      </c>
      <c r="C138" s="233">
        <v>38942</v>
      </c>
      <c r="D138" s="239">
        <f t="shared" si="120"/>
        <v>0</v>
      </c>
      <c r="E138" s="222"/>
      <c r="F138" s="241">
        <f t="shared" si="121"/>
        <v>0</v>
      </c>
      <c r="G138" s="429"/>
      <c r="H138" s="222">
        <v>184</v>
      </c>
      <c r="I138" s="241">
        <f t="shared" si="122"/>
        <v>184</v>
      </c>
      <c r="J138" s="429"/>
      <c r="K138" s="222">
        <v>165</v>
      </c>
      <c r="L138" s="241">
        <f t="shared" si="123"/>
        <v>165</v>
      </c>
      <c r="M138" s="429"/>
      <c r="N138" s="222">
        <v>190</v>
      </c>
      <c r="O138" s="241">
        <f t="shared" si="124"/>
        <v>190</v>
      </c>
      <c r="P138" s="429"/>
      <c r="Q138" s="222">
        <v>147</v>
      </c>
      <c r="R138" s="241">
        <f t="shared" si="125"/>
        <v>147</v>
      </c>
      <c r="S138" s="429"/>
      <c r="T138" s="222">
        <f t="shared" si="126"/>
        <v>686</v>
      </c>
      <c r="U138" s="241">
        <f t="shared" si="126"/>
        <v>686</v>
      </c>
      <c r="V138" s="401"/>
      <c r="W138" s="79"/>
      <c r="X138" s="79"/>
      <c r="Y138" s="79"/>
      <c r="Z138" s="79"/>
      <c r="AA138" s="79"/>
      <c r="AB138" s="79"/>
      <c r="AL138" s="169">
        <f>IF(AU138=0,0,IFERROR(INDEX(RanglisteST3!K:K,MATCH(AU138,RanglisteST3!A:A,0)),0))</f>
        <v>176.75</v>
      </c>
      <c r="AM138" s="169">
        <f>IF(AU138=0,0,SUMIF(AU137:AU145,AU138,AV137:AV145))</f>
        <v>686</v>
      </c>
      <c r="AN138" s="169">
        <f>IF(AU138=0,0,SUMIF(AU137:AU145,AU138,AW137:AW145))</f>
        <v>4</v>
      </c>
      <c r="AO138" s="169">
        <f t="shared" si="127"/>
        <v>171.5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38942</v>
      </c>
      <c r="AV138" s="167">
        <f t="shared" si="129"/>
        <v>686</v>
      </c>
      <c r="AW138" s="169">
        <f t="shared" si="130"/>
        <v>4</v>
      </c>
      <c r="AX138" s="169">
        <f t="shared" si="131"/>
        <v>4</v>
      </c>
      <c r="AY138" s="169" t="str">
        <f t="shared" si="132"/>
        <v/>
      </c>
      <c r="AZ138" s="169">
        <f t="shared" si="133"/>
        <v>184</v>
      </c>
      <c r="BA138" s="169">
        <f t="shared" si="134"/>
        <v>165</v>
      </c>
      <c r="BB138" s="169">
        <f t="shared" si="135"/>
        <v>190</v>
      </c>
      <c r="BC138" s="169">
        <f t="shared" si="136"/>
        <v>147</v>
      </c>
      <c r="BD138" s="170"/>
      <c r="BE138" s="168"/>
      <c r="BF138" s="169">
        <f t="shared" si="137"/>
        <v>190</v>
      </c>
      <c r="BG138" s="169">
        <f t="shared" si="138"/>
        <v>0</v>
      </c>
      <c r="BH138" s="169" t="str">
        <f t="shared" ref="BH138:BH145" si="143">+BH137</f>
        <v>Bowling Jugend Bayern 1</v>
      </c>
      <c r="BI138" s="168">
        <f t="shared" si="139"/>
        <v>2</v>
      </c>
      <c r="BJ138" s="169">
        <f t="shared" si="140"/>
        <v>686</v>
      </c>
      <c r="BK138" s="169">
        <f>IF(COUNTIF(AY138:BC138,"&gt;0")&lt;Spielorte!$A$23,0,AV138/Spielorte!$A$23)</f>
        <v>0</v>
      </c>
      <c r="BL138" s="169">
        <f t="shared" si="141"/>
        <v>0</v>
      </c>
      <c r="BM138" s="168">
        <f t="shared" si="142"/>
        <v>0</v>
      </c>
    </row>
    <row r="139" spans="1:65" ht="16.95" customHeight="1" thickBot="1">
      <c r="A139" s="405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30"/>
      <c r="H139" s="224"/>
      <c r="I139" s="242">
        <f t="shared" si="122"/>
        <v>0</v>
      </c>
      <c r="J139" s="430"/>
      <c r="K139" s="224"/>
      <c r="L139" s="242">
        <f t="shared" si="123"/>
        <v>0</v>
      </c>
      <c r="M139" s="430"/>
      <c r="N139" s="224"/>
      <c r="O139" s="242">
        <f t="shared" si="124"/>
        <v>0</v>
      </c>
      <c r="P139" s="430"/>
      <c r="Q139" s="224"/>
      <c r="R139" s="242">
        <f t="shared" si="125"/>
        <v>0</v>
      </c>
      <c r="S139" s="430"/>
      <c r="T139" s="224">
        <f t="shared" si="126"/>
        <v>0</v>
      </c>
      <c r="U139" s="242">
        <f t="shared" si="126"/>
        <v>0</v>
      </c>
      <c r="V139" s="402"/>
      <c r="W139" s="79"/>
      <c r="X139" s="79"/>
      <c r="Y139" s="79"/>
      <c r="Z139" s="79"/>
      <c r="AA139" s="79"/>
      <c r="AB139" s="79"/>
      <c r="AL139" s="169">
        <f>IF(AU139=0,0,IFERROR(INDEX(RanglisteST3!K:K,MATCH(AU139,RanglisteST3!A:A,0)),0))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0</v>
      </c>
      <c r="BH139" s="169" t="str">
        <f t="shared" si="143"/>
        <v>Bowling Jugend Bayern 1</v>
      </c>
      <c r="BI139" s="168">
        <f t="shared" si="139"/>
        <v>2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0</v>
      </c>
      <c r="BM139" s="168">
        <f t="shared" si="142"/>
        <v>0</v>
      </c>
    </row>
    <row r="140" spans="1:65" ht="16.95" customHeight="1">
      <c r="A140" s="403" t="s">
        <v>2</v>
      </c>
      <c r="B140" s="58" t="str">
        <f>IF(C140=0,"",VLOOKUP(C140,Starter!$A$1:$D$196,2,FALSE))</f>
        <v>Bonnaire, Ben</v>
      </c>
      <c r="C140" s="235">
        <v>38927</v>
      </c>
      <c r="D140" s="238">
        <f t="shared" si="120"/>
        <v>39</v>
      </c>
      <c r="E140" s="221">
        <v>122</v>
      </c>
      <c r="F140" s="240">
        <f t="shared" si="121"/>
        <v>161</v>
      </c>
      <c r="G140" s="428">
        <f>IF(SUM(F140:F142)+E153=0,0,IF(ABS(SUM(F140:F142))=E153,Spielorte!$A$30/2,IF(ABS(SUM(F140:F142))&gt;E153,Spielorte!$A$30,0)))</f>
        <v>1</v>
      </c>
      <c r="H140" s="221">
        <v>121</v>
      </c>
      <c r="I140" s="240">
        <f t="shared" si="122"/>
        <v>160</v>
      </c>
      <c r="J140" s="428">
        <f>IF(SUM(I140:I142)+H153=0,0,IF(ABS(SUM(I140:I142))=H153,Spielorte!$A$30/2,IF(ABS(SUM(I140:I142))&gt;H153,Spielorte!$A$30,0)))</f>
        <v>0</v>
      </c>
      <c r="K140" s="221">
        <v>135</v>
      </c>
      <c r="L140" s="240">
        <f t="shared" si="123"/>
        <v>174</v>
      </c>
      <c r="M140" s="428">
        <f>IF(SUM(L140:L142)+K153=0,0,IF(ABS(SUM(L140:L142))=K153,Spielorte!$A$30/2,IF(ABS(SUM(L140:L142))&gt;K153,Spielorte!$A$30,0)))</f>
        <v>1</v>
      </c>
      <c r="N140" s="221"/>
      <c r="O140" s="240">
        <f t="shared" si="124"/>
        <v>0</v>
      </c>
      <c r="P140" s="428">
        <f>IF(SUM(O140:O142)+N153=0,0,IF(ABS(SUM(O140:O142))=N153,Spielorte!$A$30/2,IF(ABS(SUM(O140:O142))&gt;N153,Spielorte!$A$30,0)))</f>
        <v>0</v>
      </c>
      <c r="Q140" s="221">
        <v>122</v>
      </c>
      <c r="R140" s="240">
        <f t="shared" si="125"/>
        <v>161</v>
      </c>
      <c r="S140" s="428">
        <f>IF(SUM(R140:R142)+Q153=0,0,IF(ABS(SUM(R140:R142))=Q153,Spielorte!$A$30/2,IF(ABS(SUM(R140:R142))&gt;Q153,Spielorte!$A$30,0)))</f>
        <v>1</v>
      </c>
      <c r="T140" s="221">
        <f t="shared" si="126"/>
        <v>500</v>
      </c>
      <c r="U140" s="240">
        <f t="shared" si="126"/>
        <v>656</v>
      </c>
      <c r="V140" s="400">
        <f>SUM(G140+J140+M140+P140+S140)</f>
        <v>3</v>
      </c>
      <c r="W140" s="79"/>
      <c r="X140" s="79"/>
      <c r="Y140" s="79"/>
      <c r="Z140" s="79"/>
      <c r="AA140" s="79"/>
      <c r="AB140" s="79"/>
      <c r="AL140" s="169">
        <f>IF(AU140=0,0,IFERROR(INDEX(RanglisteST3!K:K,MATCH(AU140,RanglisteST3!A:A,0)),0))</f>
        <v>111.41</v>
      </c>
      <c r="AM140" s="169">
        <f>IF(AU140=0,0,SUMIF(AU137:AU145,AU140,AV137:AV145))</f>
        <v>500</v>
      </c>
      <c r="AN140" s="169">
        <f>IF(AU140=0,0,SUMIF(AU137:AU145,AU140,AW137:AW145))</f>
        <v>4</v>
      </c>
      <c r="AO140" s="169">
        <f t="shared" si="127"/>
        <v>125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39</v>
      </c>
      <c r="AQ140" s="166"/>
      <c r="AR140" s="167"/>
      <c r="AS140" s="167"/>
      <c r="AT140" s="168"/>
      <c r="AU140" s="171">
        <f t="shared" si="128"/>
        <v>38927</v>
      </c>
      <c r="AV140" s="167">
        <f t="shared" si="129"/>
        <v>500</v>
      </c>
      <c r="AW140" s="169">
        <f t="shared" si="130"/>
        <v>4</v>
      </c>
      <c r="AX140" s="169">
        <f t="shared" si="131"/>
        <v>4</v>
      </c>
      <c r="AY140" s="169">
        <f t="shared" si="132"/>
        <v>122</v>
      </c>
      <c r="AZ140" s="169">
        <f t="shared" si="133"/>
        <v>121</v>
      </c>
      <c r="BA140" s="169">
        <f t="shared" si="134"/>
        <v>135</v>
      </c>
      <c r="BB140" s="169" t="str">
        <f t="shared" si="135"/>
        <v/>
      </c>
      <c r="BC140" s="169">
        <f t="shared" si="136"/>
        <v>122</v>
      </c>
      <c r="BD140" s="170"/>
      <c r="BE140" s="168"/>
      <c r="BF140" s="169">
        <f t="shared" si="137"/>
        <v>135</v>
      </c>
      <c r="BG140" s="169">
        <f t="shared" si="138"/>
        <v>0</v>
      </c>
      <c r="BH140" s="169" t="str">
        <f t="shared" si="143"/>
        <v>Bowling Jugend Bayern 1</v>
      </c>
      <c r="BI140" s="168">
        <f t="shared" si="139"/>
        <v>2</v>
      </c>
      <c r="BJ140" s="169">
        <f t="shared" si="140"/>
        <v>500</v>
      </c>
      <c r="BK140" s="169">
        <f>IF(COUNTIF(AY140:BC140,"&gt;0")&lt;Spielorte!$A$23,0,AV140/Spielorte!$A$23)</f>
        <v>0</v>
      </c>
      <c r="BL140" s="169">
        <f t="shared" si="141"/>
        <v>0</v>
      </c>
      <c r="BM140" s="168">
        <f t="shared" si="142"/>
        <v>0</v>
      </c>
    </row>
    <row r="141" spans="1:65" ht="16.95" customHeight="1">
      <c r="A141" s="404"/>
      <c r="B141" s="58" t="str">
        <f>IF(C141=0,"",VLOOKUP(C141,Starter!$A$1:$D$196,2,FALSE))</f>
        <v>Calik, Ilay</v>
      </c>
      <c r="C141" s="233">
        <v>38941</v>
      </c>
      <c r="D141" s="239">
        <f t="shared" si="120"/>
        <v>48</v>
      </c>
      <c r="E141" s="222"/>
      <c r="F141" s="241">
        <f t="shared" si="121"/>
        <v>0</v>
      </c>
      <c r="G141" s="429"/>
      <c r="H141" s="222"/>
      <c r="I141" s="241">
        <f t="shared" si="122"/>
        <v>0</v>
      </c>
      <c r="J141" s="429"/>
      <c r="K141" s="222"/>
      <c r="L141" s="241">
        <f t="shared" si="123"/>
        <v>0</v>
      </c>
      <c r="M141" s="429"/>
      <c r="N141" s="222">
        <v>102</v>
      </c>
      <c r="O141" s="241">
        <f t="shared" si="124"/>
        <v>150</v>
      </c>
      <c r="P141" s="429"/>
      <c r="Q141" s="222"/>
      <c r="R141" s="241">
        <f t="shared" si="125"/>
        <v>0</v>
      </c>
      <c r="S141" s="429"/>
      <c r="T141" s="222">
        <f t="shared" si="126"/>
        <v>102</v>
      </c>
      <c r="U141" s="241">
        <f t="shared" si="126"/>
        <v>150</v>
      </c>
      <c r="V141" s="401"/>
      <c r="W141" s="79"/>
      <c r="X141" s="79"/>
      <c r="Y141" s="79"/>
      <c r="Z141" s="79"/>
      <c r="AA141" s="79"/>
      <c r="AB141" s="79"/>
      <c r="AL141" s="169">
        <f>IF(AU141=0,0,IFERROR(INDEX(RanglisteST3!K:K,MATCH(AU141,RanglisteST3!A:A,0)),0))</f>
        <v>100</v>
      </c>
      <c r="AM141" s="169">
        <f>IF(AU141=0,0,SUMIF(AU137:AU145,AU141,AV137:AV145))</f>
        <v>218</v>
      </c>
      <c r="AN141" s="169">
        <f>IF(AU141=0,0,SUMIF(AU137:AU145,AU141,AW137:AW145))</f>
        <v>2</v>
      </c>
      <c r="AO141" s="169">
        <f t="shared" si="127"/>
        <v>109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48</v>
      </c>
      <c r="AQ141" s="166"/>
      <c r="AR141" s="167"/>
      <c r="AS141" s="167"/>
      <c r="AT141" s="168"/>
      <c r="AU141" s="171">
        <f t="shared" si="128"/>
        <v>38941</v>
      </c>
      <c r="AV141" s="167">
        <f t="shared" si="129"/>
        <v>102</v>
      </c>
      <c r="AW141" s="169">
        <f t="shared" si="130"/>
        <v>1</v>
      </c>
      <c r="AX141" s="169">
        <f t="shared" si="131"/>
        <v>1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>
        <f t="shared" si="135"/>
        <v>102</v>
      </c>
      <c r="BC141" s="169" t="str">
        <f t="shared" si="136"/>
        <v/>
      </c>
      <c r="BD141" s="170"/>
      <c r="BE141" s="168"/>
      <c r="BF141" s="169">
        <f t="shared" si="137"/>
        <v>102</v>
      </c>
      <c r="BG141" s="169">
        <f t="shared" si="138"/>
        <v>0</v>
      </c>
      <c r="BH141" s="169" t="str">
        <f t="shared" si="143"/>
        <v>Bowling Jugend Bayern 1</v>
      </c>
      <c r="BI141" s="168">
        <f t="shared" si="139"/>
        <v>2</v>
      </c>
      <c r="BJ141" s="169">
        <f t="shared" si="140"/>
        <v>102</v>
      </c>
      <c r="BK141" s="169">
        <f>IF(COUNTIF(AY141:BC141,"&gt;0")&lt;Spielorte!$A$23,0,AV141/Spielorte!$A$23)</f>
        <v>0</v>
      </c>
      <c r="BL141" s="169">
        <f t="shared" si="141"/>
        <v>0</v>
      </c>
      <c r="BM141" s="168">
        <f t="shared" si="142"/>
        <v>0</v>
      </c>
    </row>
    <row r="142" spans="1:65" ht="16.95" customHeight="1" thickBot="1">
      <c r="A142" s="405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30"/>
      <c r="H142" s="224"/>
      <c r="I142" s="242">
        <f t="shared" si="122"/>
        <v>0</v>
      </c>
      <c r="J142" s="430"/>
      <c r="K142" s="224"/>
      <c r="L142" s="242">
        <f t="shared" si="123"/>
        <v>0</v>
      </c>
      <c r="M142" s="430"/>
      <c r="N142" s="224"/>
      <c r="O142" s="242">
        <f t="shared" si="124"/>
        <v>0</v>
      </c>
      <c r="P142" s="430"/>
      <c r="Q142" s="224"/>
      <c r="R142" s="242">
        <f t="shared" si="125"/>
        <v>0</v>
      </c>
      <c r="S142" s="430"/>
      <c r="T142" s="224">
        <f t="shared" si="126"/>
        <v>0</v>
      </c>
      <c r="U142" s="242">
        <f t="shared" si="126"/>
        <v>0</v>
      </c>
      <c r="V142" s="402"/>
      <c r="W142" s="79"/>
      <c r="X142" s="79"/>
      <c r="Y142" s="79"/>
      <c r="Z142" s="79"/>
      <c r="AA142" s="79"/>
      <c r="AB142" s="79"/>
      <c r="AL142" s="169">
        <f>IF(AU142=0,0,IFERROR(INDEX(RanglisteST3!K:K,MATCH(AU142,RanglisteST3!A:A,0)),0))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0</v>
      </c>
      <c r="BH142" s="169" t="str">
        <f t="shared" si="143"/>
        <v>Bowling Jugend Bayern 1</v>
      </c>
      <c r="BI142" s="168">
        <f t="shared" si="139"/>
        <v>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0</v>
      </c>
      <c r="BM142" s="168">
        <f t="shared" si="142"/>
        <v>0</v>
      </c>
    </row>
    <row r="143" spans="1:65" ht="16.95" customHeight="1">
      <c r="A143" s="403" t="s">
        <v>3</v>
      </c>
      <c r="B143" s="58" t="str">
        <f>IF(C143=0,"",VLOOKUP(C143,Starter!$A$1:$D$196,2,FALSE))</f>
        <v>Reichenauer, Leon</v>
      </c>
      <c r="C143" s="235">
        <v>38781</v>
      </c>
      <c r="D143" s="238">
        <f t="shared" si="120"/>
        <v>14</v>
      </c>
      <c r="E143" s="221">
        <v>197</v>
      </c>
      <c r="F143" s="240">
        <f t="shared" si="121"/>
        <v>211</v>
      </c>
      <c r="G143" s="428">
        <f>IF(SUM(F143:F145)+E154=0,0,IF(ABS(SUM(F143:F145))=E154,Spielorte!$A$30/2,IF(ABS(SUM(F143:F145))&gt;E154,Spielorte!$A$30,0)))</f>
        <v>1</v>
      </c>
      <c r="H143" s="221">
        <v>157</v>
      </c>
      <c r="I143" s="240">
        <f t="shared" si="122"/>
        <v>171</v>
      </c>
      <c r="J143" s="428">
        <f>IF(SUM(I143:I145)+H154=0,0,IF(ABS(SUM(I143:I145))=H154,Spielorte!$A$30/2,IF(ABS(SUM(I143:I145))&gt;H154,Spielorte!$A$30,0)))</f>
        <v>0</v>
      </c>
      <c r="K143" s="221">
        <v>154</v>
      </c>
      <c r="L143" s="240">
        <f t="shared" si="123"/>
        <v>168</v>
      </c>
      <c r="M143" s="428">
        <f>IF(SUM(L143:L145)+K154=0,0,IF(ABS(SUM(L143:L145))=K154,Spielorte!$A$30/2,IF(ABS(SUM(L143:L145))&gt;K154,Spielorte!$A$30,0)))</f>
        <v>1</v>
      </c>
      <c r="N143" s="221">
        <v>152</v>
      </c>
      <c r="O143" s="240">
        <f t="shared" si="124"/>
        <v>166</v>
      </c>
      <c r="P143" s="428">
        <f>IF(SUM(O143:O145)+N154=0,0,IF(ABS(SUM(O143:O145))=N154,Spielorte!$A$30/2,IF(ABS(SUM(O143:O145))&gt;N154,Spielorte!$A$30,0)))</f>
        <v>0</v>
      </c>
      <c r="Q143" s="221">
        <v>148</v>
      </c>
      <c r="R143" s="240">
        <f t="shared" si="125"/>
        <v>162</v>
      </c>
      <c r="S143" s="428">
        <f>IF(SUM(R143:R145)+Q154=0,0,IF(ABS(SUM(R143:R145))=Q154,Spielorte!$A$30/2,IF(ABS(SUM(R143:R145))&gt;Q154,Spielorte!$A$30,0)))</f>
        <v>0</v>
      </c>
      <c r="T143" s="221">
        <f t="shared" si="126"/>
        <v>808</v>
      </c>
      <c r="U143" s="240">
        <f t="shared" si="126"/>
        <v>878</v>
      </c>
      <c r="V143" s="400">
        <f>SUM(G143+J143+M143+P143+S143)</f>
        <v>2</v>
      </c>
      <c r="W143" s="79"/>
      <c r="X143" s="79"/>
      <c r="Y143" s="79"/>
      <c r="Z143" s="79"/>
      <c r="AA143" s="79"/>
      <c r="AB143" s="79"/>
      <c r="AL143" s="169">
        <f>IF(AU143=0,0,IFERROR(INDEX(RanglisteST3!K:K,MATCH(AU143,RanglisteST3!A:A,0)),0))</f>
        <v>142.6</v>
      </c>
      <c r="AM143" s="169">
        <f>IF(AU143=0,0,SUMIF(AU137:AU145,AU143,AV137:AV145))</f>
        <v>808</v>
      </c>
      <c r="AN143" s="169">
        <f>IF(AU143=0,0,SUMIF(AU137:AU145,AU143,AW137:AW145))</f>
        <v>5</v>
      </c>
      <c r="AO143" s="169">
        <f t="shared" si="127"/>
        <v>161.6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14</v>
      </c>
      <c r="AQ143" s="166"/>
      <c r="AR143" s="167"/>
      <c r="AS143" s="167"/>
      <c r="AT143" s="168"/>
      <c r="AU143" s="171">
        <f t="shared" si="128"/>
        <v>38781</v>
      </c>
      <c r="AV143" s="167">
        <f t="shared" si="129"/>
        <v>808</v>
      </c>
      <c r="AW143" s="169">
        <f t="shared" si="130"/>
        <v>5</v>
      </c>
      <c r="AX143" s="169">
        <f t="shared" si="131"/>
        <v>5</v>
      </c>
      <c r="AY143" s="169">
        <f t="shared" si="132"/>
        <v>197</v>
      </c>
      <c r="AZ143" s="169">
        <f t="shared" si="133"/>
        <v>157</v>
      </c>
      <c r="BA143" s="169">
        <f t="shared" si="134"/>
        <v>154</v>
      </c>
      <c r="BB143" s="169">
        <f t="shared" si="135"/>
        <v>152</v>
      </c>
      <c r="BC143" s="169">
        <f t="shared" si="136"/>
        <v>148</v>
      </c>
      <c r="BD143" s="170"/>
      <c r="BE143" s="168"/>
      <c r="BF143" s="169">
        <f t="shared" si="137"/>
        <v>197</v>
      </c>
      <c r="BG143" s="169">
        <f t="shared" si="138"/>
        <v>0</v>
      </c>
      <c r="BH143" s="169" t="str">
        <f t="shared" si="143"/>
        <v>Bowling Jugend Bayern 1</v>
      </c>
      <c r="BI143" s="168">
        <f t="shared" si="139"/>
        <v>2</v>
      </c>
      <c r="BJ143" s="169">
        <f t="shared" si="140"/>
        <v>808</v>
      </c>
      <c r="BK143" s="169">
        <f>IF(COUNTIF(AY143:BC143,"&gt;0")&lt;Spielorte!$A$23,0,AV143/Spielorte!$A$23)</f>
        <v>161.6</v>
      </c>
      <c r="BL143" s="169">
        <f t="shared" si="141"/>
        <v>0</v>
      </c>
      <c r="BM143" s="168">
        <f t="shared" si="142"/>
        <v>0</v>
      </c>
    </row>
    <row r="144" spans="1:65" ht="16.95" customHeight="1">
      <c r="A144" s="404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9"/>
      <c r="H144" s="222"/>
      <c r="I144" s="241">
        <f t="shared" si="122"/>
        <v>0</v>
      </c>
      <c r="J144" s="429"/>
      <c r="K144" s="222"/>
      <c r="L144" s="241">
        <f t="shared" si="123"/>
        <v>0</v>
      </c>
      <c r="M144" s="429"/>
      <c r="N144" s="222"/>
      <c r="O144" s="241">
        <f t="shared" si="124"/>
        <v>0</v>
      </c>
      <c r="P144" s="429"/>
      <c r="Q144" s="222"/>
      <c r="R144" s="241">
        <f t="shared" si="125"/>
        <v>0</v>
      </c>
      <c r="S144" s="429"/>
      <c r="T144" s="222">
        <f t="shared" si="126"/>
        <v>0</v>
      </c>
      <c r="U144" s="241">
        <f t="shared" si="126"/>
        <v>0</v>
      </c>
      <c r="V144" s="401"/>
      <c r="W144" s="79"/>
      <c r="X144" s="79"/>
      <c r="Y144" s="79"/>
      <c r="Z144" s="79"/>
      <c r="AA144" s="79"/>
      <c r="AB144" s="79"/>
      <c r="AL144" s="169">
        <f>IF(AU144=0,0,IFERROR(INDEX(RanglisteST3!K:K,MATCH(AU144,RanglisteST3!A:A,0)),0))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0</v>
      </c>
      <c r="BH144" s="169" t="str">
        <f t="shared" si="143"/>
        <v>Bowling Jugend Bayern 1</v>
      </c>
      <c r="BI144" s="168">
        <f t="shared" si="139"/>
        <v>2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0</v>
      </c>
      <c r="BM144" s="168">
        <f t="shared" si="142"/>
        <v>0</v>
      </c>
    </row>
    <row r="145" spans="1:65" ht="16.95" customHeight="1" thickBot="1">
      <c r="A145" s="405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30"/>
      <c r="H145" s="224"/>
      <c r="I145" s="242">
        <f t="shared" si="122"/>
        <v>0</v>
      </c>
      <c r="J145" s="430"/>
      <c r="K145" s="224"/>
      <c r="L145" s="242">
        <f t="shared" si="123"/>
        <v>0</v>
      </c>
      <c r="M145" s="430"/>
      <c r="N145" s="224"/>
      <c r="O145" s="242">
        <f t="shared" si="124"/>
        <v>0</v>
      </c>
      <c r="P145" s="430"/>
      <c r="Q145" s="224"/>
      <c r="R145" s="242">
        <f t="shared" si="125"/>
        <v>0</v>
      </c>
      <c r="S145" s="430"/>
      <c r="T145" s="224">
        <f t="shared" si="126"/>
        <v>0</v>
      </c>
      <c r="U145" s="242">
        <f t="shared" si="126"/>
        <v>0</v>
      </c>
      <c r="V145" s="402"/>
      <c r="W145" s="79"/>
      <c r="X145" s="79"/>
      <c r="Y145" s="79"/>
      <c r="Z145" s="79"/>
      <c r="AA145" s="79"/>
      <c r="AB145" s="79"/>
      <c r="AL145" s="169">
        <f>IF(AU145=0,0,IFERROR(INDEX(RanglisteST3!K:K,MATCH(AU145,RanglisteST3!A:A,0)),0))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0</v>
      </c>
      <c r="BH145" s="169" t="str">
        <f t="shared" si="143"/>
        <v>Bowling Jugend Bayern 1</v>
      </c>
      <c r="BI145" s="168">
        <f t="shared" si="139"/>
        <v>2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0</v>
      </c>
      <c r="BM145" s="168">
        <f t="shared" si="142"/>
        <v>0</v>
      </c>
    </row>
    <row r="146" spans="1:65" ht="27.75" customHeight="1" thickBot="1">
      <c r="B146" s="218" t="s">
        <v>1792</v>
      </c>
      <c r="C146" s="204"/>
      <c r="D146" s="219"/>
      <c r="E146" s="226">
        <f>ABS(SUM(E137:E139))+ABS(SUM(E140:E142))+ABS(SUM(E143:E145))</f>
        <v>435</v>
      </c>
      <c r="F146" s="225">
        <f>ABS(SUM(F137:F139))+ABS(SUM(F140:F142))+ABS(SUM(F143:F145))</f>
        <v>536</v>
      </c>
      <c r="G146" s="81">
        <f>IF(F146+E155=0,0,IF(F146=E155,Spielorte!$A$31/2,IF(F146&gt;E155,Spielorte!$A$31,0)))</f>
        <v>2</v>
      </c>
      <c r="H146" s="226">
        <f>ABS(SUM(H137:H139))+ABS(SUM(H140:H142))+ABS(SUM(H143:H145))</f>
        <v>462</v>
      </c>
      <c r="I146" s="225">
        <f>ABS(SUM(I137:I139))+ABS(SUM(I140:I142))+ABS(SUM(I143:I145))</f>
        <v>515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454</v>
      </c>
      <c r="L146" s="225">
        <f>ABS(SUM(L137:L139))+ABS(SUM(L140:L142))+ABS(SUM(L143:L145))</f>
        <v>507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444</v>
      </c>
      <c r="O146" s="225">
        <f>ABS(SUM(O137:O139))+ABS(SUM(O140:O142))+ABS(SUM(O143:O145))</f>
        <v>506</v>
      </c>
      <c r="P146" s="81">
        <f>IF(O146+N155=0,0,IF(O146=N155,Spielorte!$A$31/2,IF(O146&gt;N155,Spielorte!$A$31,0)))</f>
        <v>2</v>
      </c>
      <c r="Q146" s="226">
        <f>ABS(SUM(Q137:Q139))+ABS(SUM(Q140:Q142))+ABS(SUM(Q143:Q145))</f>
        <v>417</v>
      </c>
      <c r="R146" s="225">
        <f>ABS(SUM(R137:R139))+ABS(SUM(R140:R142))+ABS(SUM(R143:R145))</f>
        <v>470</v>
      </c>
      <c r="S146" s="81">
        <f>IF(R146+Q155=0,0,IF(R146=Q155,Spielorte!$A$31/2,IF(R146&gt;Q155,Spielorte!$A$31,0)))</f>
        <v>0</v>
      </c>
      <c r="T146" s="228">
        <f>SUM(E146+H146+K146+N146+Q146)</f>
        <v>2212</v>
      </c>
      <c r="U146" s="229">
        <f>SUM(F146+I146+L146+O146+R146)</f>
        <v>2534</v>
      </c>
      <c r="V146" s="12">
        <f>SUM(G146+J146+M146+P146+S146)</f>
        <v>4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>
      <c r="B147" s="230" t="s">
        <v>1803</v>
      </c>
      <c r="C147" s="1"/>
      <c r="D147" s="1"/>
      <c r="E147" s="1"/>
      <c r="F147" s="1"/>
      <c r="G147" s="61">
        <f>SUM(G137:G146)</f>
        <v>5</v>
      </c>
      <c r="H147" s="1"/>
      <c r="I147" s="1"/>
      <c r="J147" s="61">
        <f>SUM(J137:J146)</f>
        <v>1</v>
      </c>
      <c r="K147" s="1"/>
      <c r="L147" s="1"/>
      <c r="M147" s="61">
        <f>SUM(M137:M146)</f>
        <v>2</v>
      </c>
      <c r="N147" s="1"/>
      <c r="O147" s="1"/>
      <c r="P147" s="61">
        <f>SUM(P137:P146)</f>
        <v>3</v>
      </c>
      <c r="Q147" s="1"/>
      <c r="R147" s="1"/>
      <c r="S147" s="61">
        <f>SUM(S137:S146)</f>
        <v>1</v>
      </c>
      <c r="T147" s="1"/>
      <c r="U147" s="1"/>
      <c r="V147" s="61">
        <f>SUM(V137:V146)</f>
        <v>12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12</v>
      </c>
      <c r="AR147" s="167">
        <f>+T146</f>
        <v>2212</v>
      </c>
      <c r="AS147" s="167">
        <f>+U146</f>
        <v>2534</v>
      </c>
      <c r="AT147" s="168">
        <f>+B132</f>
        <v>6</v>
      </c>
      <c r="AW147" s="169">
        <f>SUM(AW131:AW146)</f>
        <v>15</v>
      </c>
      <c r="BD147" s="166">
        <f>+AS147/1000000+AQ147+AR147/1000000000000</f>
        <v>12.002534002212</v>
      </c>
      <c r="BE147" s="168">
        <f>RANK(BD147,BD:BD)</f>
        <v>4</v>
      </c>
      <c r="BI147" s="168"/>
      <c r="BM147" s="168"/>
    </row>
    <row r="148" spans="1:65" ht="11.25" customHeight="1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>
      <c r="B149" s="231" t="s">
        <v>1790</v>
      </c>
      <c r="C149" s="210"/>
      <c r="D149" s="42"/>
      <c r="E149" s="434">
        <f>VLOOKUP($B132,Schlüssel!$A$5:$EK$12,43)</f>
        <v>4</v>
      </c>
      <c r="F149" s="435"/>
      <c r="G149" s="436"/>
      <c r="H149" s="434">
        <f>VLOOKUP($B132,Schlüssel!$A$5:$EK$12,44)</f>
        <v>7</v>
      </c>
      <c r="I149" s="435"/>
      <c r="J149" s="436"/>
      <c r="K149" s="434">
        <f>VLOOKUP($B132,Schlüssel!$A$5:$EK$12,45)</f>
        <v>1</v>
      </c>
      <c r="L149" s="435"/>
      <c r="M149" s="436"/>
      <c r="N149" s="434">
        <f>VLOOKUP($B132,Schlüssel!$A$5:$EK$12,46)</f>
        <v>5</v>
      </c>
      <c r="O149" s="435"/>
      <c r="P149" s="436"/>
      <c r="Q149" s="434">
        <f>VLOOKUP($B132,Schlüssel!$A$5:$EK$12,47)</f>
        <v>2</v>
      </c>
      <c r="R149" s="435"/>
      <c r="S149" s="436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>
      <c r="B150" s="3" t="s">
        <v>9</v>
      </c>
      <c r="C150" s="1"/>
      <c r="D150" s="1"/>
      <c r="E150" s="395" t="str">
        <f>VLOOKUP(E149,Schlüssel!$A$5:$K$12,2)</f>
        <v>Highroller Rosenheim 3</v>
      </c>
      <c r="F150" s="438"/>
      <c r="G150" s="396"/>
      <c r="H150" s="395" t="str">
        <f>VLOOKUP(H149,Schlüssel!$A$5:$K$12,2)</f>
        <v>BK München 1</v>
      </c>
      <c r="I150" s="438"/>
      <c r="J150" s="396"/>
      <c r="K150" s="395" t="str">
        <f>VLOOKUP(K149,Schlüssel!$A$5:$K$12,2)</f>
        <v>Bad Tölz 1</v>
      </c>
      <c r="L150" s="438"/>
      <c r="M150" s="396"/>
      <c r="N150" s="395" t="str">
        <f>VLOOKUP(N149,Schlüssel!$A$5:$K$12,2)</f>
        <v>Berchtesgaden 1</v>
      </c>
      <c r="O150" s="438"/>
      <c r="P150" s="396"/>
      <c r="Q150" s="395" t="str">
        <f>VLOOKUP(Q149,Schlüssel!$A$5:$K$12,2)</f>
        <v>Highroller Rosenheim 1</v>
      </c>
      <c r="R150" s="438"/>
      <c r="S150" s="396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" customHeight="1">
      <c r="B152" s="417" t="s">
        <v>2275</v>
      </c>
      <c r="C152" s="418"/>
      <c r="D152" s="419"/>
      <c r="E152" s="431">
        <f>ABS(INDEX(F:F,MATCH(E149,$B:$B,0)+5)+INDEX(F:F,MATCH(E149,$B:$B,0)+6)+INDEX(F:F,MATCH(E149,$B:$B,0)+7))</f>
        <v>145</v>
      </c>
      <c r="F152" s="432"/>
      <c r="G152" s="433"/>
      <c r="H152" s="431">
        <f>ABS(INDEX(I:I,MATCH(H149,$B:$B,0)+5)+INDEX(I:I,MATCH(H149,$B:$B,0)+6)+INDEX(I:I,MATCH(H149,$B:$B,0)+7))</f>
        <v>161</v>
      </c>
      <c r="I152" s="432"/>
      <c r="J152" s="433"/>
      <c r="K152" s="431">
        <f>ABS(INDEX(L:L,MATCH(K149,$B:$B,0)+5)+INDEX(L:L,MATCH(K149,$B:$B,0)+6)+INDEX(L:L,MATCH(K149,$B:$B,0)+7))</f>
        <v>215</v>
      </c>
      <c r="L152" s="432"/>
      <c r="M152" s="433"/>
      <c r="N152" s="431">
        <f>ABS(INDEX(O:O,MATCH(N149,$B:$B,0)+5)+INDEX(O:O,MATCH(N149,$B:$B,0)+6)+INDEX(O:O,MATCH(N149,$B:$B,0)+7))</f>
        <v>122</v>
      </c>
      <c r="O152" s="432"/>
      <c r="P152" s="433"/>
      <c r="Q152" s="431">
        <f>ABS(INDEX(R:R,MATCH(Q149,$B:$B,0)+5)+INDEX(R:R,MATCH(Q149,$B:$B,0)+6)+INDEX(R:R,MATCH(Q149,$B:$B,0)+7))</f>
        <v>200</v>
      </c>
      <c r="R152" s="432"/>
      <c r="S152" s="433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" customHeight="1">
      <c r="B153" s="417" t="s">
        <v>2276</v>
      </c>
      <c r="C153" s="418"/>
      <c r="D153" s="419"/>
      <c r="E153" s="424">
        <f>ABS(INDEX(F:F,MATCH(E149,$B:$B,0)+8)+INDEX(F:F,MATCH(E149,$B:$B,0)+9)+INDEX(F:F,MATCH(E149,$B:$B,0)+10))</f>
        <v>152</v>
      </c>
      <c r="F153" s="425"/>
      <c r="G153" s="426"/>
      <c r="H153" s="424">
        <f>ABS(INDEX(I:I,MATCH(H149,$B:$B,0)+8)+INDEX(I:I,MATCH(H149,$B:$B,0)+9)+INDEX(I:I,MATCH(H149,$B:$B,0)+10))</f>
        <v>194</v>
      </c>
      <c r="I153" s="425"/>
      <c r="J153" s="426"/>
      <c r="K153" s="424">
        <f>ABS(INDEX(L:L,MATCH(K149,$B:$B,0)+8)+INDEX(L:L,MATCH(K149,$B:$B,0)+9)+INDEX(L:L,MATCH(K149,$B:$B,0)+10))</f>
        <v>144</v>
      </c>
      <c r="L153" s="425"/>
      <c r="M153" s="426"/>
      <c r="N153" s="424">
        <f>ABS(INDEX(O:O,MATCH(N149,$B:$B,0)+8)+INDEX(O:O,MATCH(N149,$B:$B,0)+9)+INDEX(O:O,MATCH(N149,$B:$B,0)+10))</f>
        <v>170</v>
      </c>
      <c r="O153" s="425"/>
      <c r="P153" s="426"/>
      <c r="Q153" s="424">
        <f>ABS(INDEX(R:R,MATCH(Q149,$B:$B,0)+8)+INDEX(R:R,MATCH(Q149,$B:$B,0)+9)+INDEX(R:R,MATCH(Q149,$B:$B,0)+10))</f>
        <v>154</v>
      </c>
      <c r="R153" s="425"/>
      <c r="S153" s="426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" customHeight="1">
      <c r="B154" s="417" t="s">
        <v>2277</v>
      </c>
      <c r="C154" s="418"/>
      <c r="D154" s="419"/>
      <c r="E154" s="424">
        <f>ABS(INDEX(F:F,MATCH(E149,$B:$B,0)+11)+INDEX(F:F,MATCH(E149,$B:$B,0)+12)+INDEX(F:F,MATCH(E149,$B:$B,0)+13))</f>
        <v>129</v>
      </c>
      <c r="F154" s="425"/>
      <c r="G154" s="426"/>
      <c r="H154" s="424">
        <f>ABS(INDEX(I:I,MATCH(H149,$B:$B,0)+11)+INDEX(I:I,MATCH(H149,$B:$B,0)+12)+INDEX(I:I,MATCH(H149,$B:$B,0)+13))</f>
        <v>220</v>
      </c>
      <c r="I154" s="425"/>
      <c r="J154" s="426"/>
      <c r="K154" s="424">
        <f>ABS(INDEX(L:L,MATCH(K149,$B:$B,0)+11)+INDEX(L:L,MATCH(K149,$B:$B,0)+12)+INDEX(L:L,MATCH(K149,$B:$B,0)+13))</f>
        <v>163</v>
      </c>
      <c r="L154" s="425"/>
      <c r="M154" s="426"/>
      <c r="N154" s="424">
        <f>ABS(INDEX(O:O,MATCH(N149,$B:$B,0)+11)+INDEX(O:O,MATCH(N149,$B:$B,0)+12)+INDEX(O:O,MATCH(N149,$B:$B,0)+13))</f>
        <v>168</v>
      </c>
      <c r="O154" s="425"/>
      <c r="P154" s="426"/>
      <c r="Q154" s="424">
        <f>ABS(INDEX(R:R,MATCH(Q149,$B:$B,0)+11)+INDEX(R:R,MATCH(Q149,$B:$B,0)+12)+INDEX(R:R,MATCH(Q149,$B:$B,0)+13))</f>
        <v>164</v>
      </c>
      <c r="R154" s="425"/>
      <c r="S154" s="426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" customHeight="1">
      <c r="B155" s="420" t="s">
        <v>2278</v>
      </c>
      <c r="C155" s="421"/>
      <c r="D155" s="422"/>
      <c r="E155" s="407">
        <f>SUM(E152:E154)</f>
        <v>426</v>
      </c>
      <c r="F155" s="423"/>
      <c r="G155" s="408"/>
      <c r="H155" s="407">
        <f>SUM(H152:H154)</f>
        <v>575</v>
      </c>
      <c r="I155" s="423"/>
      <c r="J155" s="408"/>
      <c r="K155" s="407">
        <f>SUM(K152:K154)</f>
        <v>522</v>
      </c>
      <c r="L155" s="423"/>
      <c r="M155" s="408"/>
      <c r="N155" s="407">
        <f>SUM(N152:N154)</f>
        <v>460</v>
      </c>
      <c r="O155" s="423"/>
      <c r="P155" s="408"/>
      <c r="Q155" s="407">
        <f>SUM(Q152:Q154)</f>
        <v>518</v>
      </c>
      <c r="R155" s="423"/>
      <c r="S155" s="408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>
      <c r="A157" s="255"/>
      <c r="B157" s="7" t="s">
        <v>1802</v>
      </c>
      <c r="C157" s="24"/>
      <c r="D157" s="24"/>
      <c r="E157" s="35" t="s">
        <v>1786</v>
      </c>
      <c r="F157" s="35"/>
      <c r="G157" s="427" t="str">
        <f>Schlüssel!$C$1</f>
        <v>Landesliga Jugend</v>
      </c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  <c r="S157" s="406">
        <f>Schlüssel!$BA$1</f>
        <v>45752</v>
      </c>
      <c r="T157" s="406"/>
      <c r="U157" s="406"/>
      <c r="V157" s="406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>
      <c r="A158" s="53"/>
      <c r="B158" s="54">
        <v>7</v>
      </c>
      <c r="E158" s="35" t="s">
        <v>1787</v>
      </c>
      <c r="F158" s="35"/>
      <c r="G158" s="413" t="str">
        <f>Schlüssel!$AQ$2</f>
        <v>München Hollywood Super Bowling</v>
      </c>
      <c r="H158" s="413"/>
      <c r="I158" s="413"/>
      <c r="J158" s="413"/>
      <c r="K158" s="413"/>
      <c r="L158" s="413"/>
      <c r="M158" s="413"/>
      <c r="N158" s="413"/>
      <c r="O158" s="413"/>
      <c r="P158" s="66"/>
      <c r="Q158" s="411" t="s">
        <v>1785</v>
      </c>
      <c r="R158" s="412"/>
      <c r="S158" s="38">
        <v>3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>
      <c r="B159" s="414" t="str">
        <f>VLOOKUP(B158,Schlüssel!$A$5:$B$12,2)</f>
        <v>BK München 1</v>
      </c>
      <c r="C159" s="415"/>
      <c r="D159" s="415"/>
      <c r="E159" s="415"/>
      <c r="F159" s="415"/>
      <c r="G159" s="416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3.8" hidden="1" thickBot="1">
      <c r="A160" s="6"/>
      <c r="B160" s="7"/>
      <c r="C160" s="43"/>
      <c r="D160" s="43"/>
      <c r="E160" s="162" t="s">
        <v>10</v>
      </c>
      <c r="F160" s="220"/>
      <c r="G160" s="159">
        <f>VLOOKUP(B158,Schlüssel!$A$5:$EK$12,53)</f>
        <v>19</v>
      </c>
      <c r="H160" s="161" t="s">
        <v>10</v>
      </c>
      <c r="I160" s="220"/>
      <c r="J160" s="159">
        <f>VLOOKUP(B158,Schlüssel!$A$5:$EK$12,54)</f>
        <v>16</v>
      </c>
      <c r="K160" s="161" t="s">
        <v>10</v>
      </c>
      <c r="L160" s="220"/>
      <c r="M160" s="159">
        <f>VLOOKUP(B158,Schlüssel!$A$5:$EK$12,55)</f>
        <v>20</v>
      </c>
      <c r="N160" s="161" t="s">
        <v>10</v>
      </c>
      <c r="O160" s="220"/>
      <c r="P160" s="159">
        <f>VLOOKUP(B158,Schlüssel!$A$5:$EK$12,56)</f>
        <v>15</v>
      </c>
      <c r="Q160" s="161" t="s">
        <v>10</v>
      </c>
      <c r="R160" s="220"/>
      <c r="S160" s="160">
        <f>VLOOKUP(B158,Schlüssel!$A$5:$EK$12,57)</f>
        <v>20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>
      <c r="B161" s="44" t="s">
        <v>1</v>
      </c>
      <c r="C161" s="208"/>
      <c r="D161" s="217"/>
      <c r="E161" s="423" t="s">
        <v>1793</v>
      </c>
      <c r="F161" s="423"/>
      <c r="G161" s="408"/>
      <c r="H161" s="407" t="s">
        <v>1794</v>
      </c>
      <c r="I161" s="423"/>
      <c r="J161" s="408"/>
      <c r="K161" s="407" t="s">
        <v>1795</v>
      </c>
      <c r="L161" s="423"/>
      <c r="M161" s="408"/>
      <c r="N161" s="407" t="s">
        <v>1796</v>
      </c>
      <c r="O161" s="423"/>
      <c r="P161" s="408"/>
      <c r="Q161" s="407" t="s">
        <v>1797</v>
      </c>
      <c r="R161" s="423"/>
      <c r="S161" s="437"/>
      <c r="T161" s="439" t="s">
        <v>1792</v>
      </c>
      <c r="U161" s="440"/>
      <c r="V161" s="410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6.95" customHeight="1">
      <c r="A163" s="403" t="s">
        <v>0</v>
      </c>
      <c r="B163" s="58" t="str">
        <f>IF(C163=0,"",VLOOKUP(C163,Starter!$A$1:$D$196,2,FALSE))</f>
        <v>Jakobi, Moritz</v>
      </c>
      <c r="C163" s="232">
        <v>38327</v>
      </c>
      <c r="D163" s="238">
        <f t="shared" ref="D163:D171" si="144">+AP163</f>
        <v>0</v>
      </c>
      <c r="E163" s="221">
        <v>160</v>
      </c>
      <c r="F163" s="240">
        <f t="shared" ref="F163:F171" si="145">IF(E163&gt;0,E163+$D163,0)</f>
        <v>160</v>
      </c>
      <c r="G163" s="428">
        <f>IF(SUM(F163:F165)+E178=0,0,IF(ABS(SUM(F163:F165))=E178,Spielorte!$A$30/2,IF(ABS(SUM(F163:F165))&gt;E178,Spielorte!$A$30,0)))</f>
        <v>0</v>
      </c>
      <c r="H163" s="221">
        <v>161</v>
      </c>
      <c r="I163" s="240">
        <f t="shared" ref="I163:I171" si="146">IF(H163&gt;0,H163+$D163,0)</f>
        <v>161</v>
      </c>
      <c r="J163" s="428">
        <f>IF(SUM(I163:I165)+H178=0,0,IF(ABS(SUM(I163:I165))=H178,Spielorte!$A$30/2,IF(ABS(SUM(I163:I165))&gt;H178,Spielorte!$A$30,0)))</f>
        <v>0</v>
      </c>
      <c r="K163" s="221">
        <v>205</v>
      </c>
      <c r="L163" s="240">
        <f t="shared" ref="L163:L171" si="147">IF(K163&gt;0,K163+$D163,0)</f>
        <v>205</v>
      </c>
      <c r="M163" s="428">
        <f>IF(SUM(L163:L165)+K178=0,0,IF(ABS(SUM(L163:L165))=K178,Spielorte!$A$30/2,IF(ABS(SUM(L163:L165))&gt;K178,Spielorte!$A$30,0)))</f>
        <v>0</v>
      </c>
      <c r="N163" s="221">
        <v>172</v>
      </c>
      <c r="O163" s="240">
        <f t="shared" ref="O163:O171" si="148">IF(N163&gt;0,N163+$D163,0)</f>
        <v>172</v>
      </c>
      <c r="P163" s="428">
        <f>IF(SUM(O163:O165)+N178=0,0,IF(ABS(SUM(O163:O165))=N178,Spielorte!$A$30/2,IF(ABS(SUM(O163:O165))&gt;N178,Spielorte!$A$30,0)))</f>
        <v>1</v>
      </c>
      <c r="Q163" s="221">
        <v>257</v>
      </c>
      <c r="R163" s="240">
        <f t="shared" ref="R163:R171" si="149">IF(Q163&gt;0,Q163+$D163,0)</f>
        <v>257</v>
      </c>
      <c r="S163" s="428">
        <f>IF(SUM(R163:R165)+Q178=0,0,IF(ABS(SUM(R163:R165))=Q178,Spielorte!$A$30/2,IF(ABS(SUM(R163:R165))&gt;Q178,Spielorte!$A$30,0)))</f>
        <v>1</v>
      </c>
      <c r="T163" s="221">
        <f t="shared" ref="T163:T171" si="150">ABS(SUM(E163:E163))+ABS(SUM(H163:H163))+ABS(SUM(K163:K163))+ABS(SUM(N163:N163))+ABS(SUM(Q163:Q163))</f>
        <v>955</v>
      </c>
      <c r="U163" s="240">
        <f t="shared" ref="U163:U171" si="151">ABS(SUM(F163:F163))+ABS(SUM(I163:I163))+ABS(SUM(L163:L163))+ABS(SUM(O163:O163))+ABS(SUM(R163:R163))</f>
        <v>955</v>
      </c>
      <c r="V163" s="400">
        <f>SUM(G163+J163+M163+P163+S163)</f>
        <v>2</v>
      </c>
      <c r="W163" s="79"/>
      <c r="X163" s="79"/>
      <c r="Y163" s="79"/>
      <c r="Z163" s="79"/>
      <c r="AA163" s="79"/>
      <c r="AB163" s="79"/>
      <c r="AL163" s="169">
        <f>IF(AU163=0,0,IFERROR(INDEX(RanglisteST3!K:K,MATCH(AU163,RanglisteST3!A:A,0)),0))</f>
        <v>198.12</v>
      </c>
      <c r="AM163" s="169">
        <f>IF(AU163=0,0,SUMIF(AU163:AU171,AU163,AV163:AV171))</f>
        <v>955</v>
      </c>
      <c r="AN163" s="169">
        <f>IF(AU163=0,0,SUMIF(AU163:AU171,AU163,AW163:AW171))</f>
        <v>5</v>
      </c>
      <c r="AO163" s="169">
        <f t="shared" ref="AO163:AO171" si="152">IFERROR(AM163/AN163,0)</f>
        <v>191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38327</v>
      </c>
      <c r="AV163" s="167">
        <f t="shared" ref="AV163:AV171" si="154">T163</f>
        <v>955</v>
      </c>
      <c r="AW163" s="169">
        <f t="shared" ref="AW163:AW171" si="155">COUNT(AY163:BC163)</f>
        <v>5</v>
      </c>
      <c r="AX163" s="169">
        <f t="shared" ref="AX163:AX171" si="156">COUNTIF(AY163:BC163,"&gt;0")</f>
        <v>5</v>
      </c>
      <c r="AY163" s="169">
        <f t="shared" ref="AY163:AY171" si="157">IF(E163=0,"",E163)</f>
        <v>160</v>
      </c>
      <c r="AZ163" s="169">
        <f t="shared" ref="AZ163:AZ171" si="158">IF(H163=0,"",H163)</f>
        <v>161</v>
      </c>
      <c r="BA163" s="169">
        <f t="shared" ref="BA163:BA171" si="159">IF(K163=0,"",K163)</f>
        <v>205</v>
      </c>
      <c r="BB163" s="169">
        <f t="shared" ref="BB163:BB171" si="160">IF(N163=0,"",N163)</f>
        <v>172</v>
      </c>
      <c r="BC163" s="169">
        <f t="shared" ref="BC163:BC171" si="161">IF(Q163=0,"",Q163)</f>
        <v>257</v>
      </c>
      <c r="BD163" s="170"/>
      <c r="BE163" s="168"/>
      <c r="BF163" s="169">
        <f t="shared" ref="BF163:BF171" si="162">MAX(AY163:BC163)</f>
        <v>257</v>
      </c>
      <c r="BG163" s="169">
        <f t="shared" ref="BG163:BG171" si="163">IF(BF163&lt;MAX(BF:BF),0,BF163+ROW()/1000000000)</f>
        <v>257.00000016299998</v>
      </c>
      <c r="BH163" s="169" t="str">
        <f>+B159</f>
        <v>BK München 1</v>
      </c>
      <c r="BI163" s="168">
        <f t="shared" ref="BI163:BI171" si="164">RANK(BG163,BG:BG)</f>
        <v>1</v>
      </c>
      <c r="BJ163" s="169">
        <f t="shared" ref="BJ163:BJ171" si="165">SUMIF(AY163:BC163,"&gt;0")</f>
        <v>955</v>
      </c>
      <c r="BK163" s="169">
        <f>IF(COUNTIF(AY163:BC163,"&gt;0")&lt;Spielorte!$A$23,0,AV163/Spielorte!$A$23)</f>
        <v>191</v>
      </c>
      <c r="BL163" s="169">
        <f t="shared" ref="BL163:BL171" si="166">IF(BK163&lt;MAX(BK:BK),0,BK163+ROW()/1000000000)</f>
        <v>0</v>
      </c>
      <c r="BM163" s="168">
        <f t="shared" ref="BM163:BM171" si="167">IF(BL163=0,0,RANK(BL163,BL:BL))</f>
        <v>0</v>
      </c>
    </row>
    <row r="164" spans="1:65" ht="16.95" customHeight="1">
      <c r="A164" s="404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9"/>
      <c r="H164" s="222"/>
      <c r="I164" s="241">
        <f t="shared" si="146"/>
        <v>0</v>
      </c>
      <c r="J164" s="429"/>
      <c r="K164" s="222"/>
      <c r="L164" s="241">
        <f t="shared" si="147"/>
        <v>0</v>
      </c>
      <c r="M164" s="429"/>
      <c r="N164" s="222"/>
      <c r="O164" s="241">
        <f t="shared" si="148"/>
        <v>0</v>
      </c>
      <c r="P164" s="429"/>
      <c r="Q164" s="222"/>
      <c r="R164" s="241">
        <f t="shared" si="149"/>
        <v>0</v>
      </c>
      <c r="S164" s="429"/>
      <c r="T164" s="222">
        <f t="shared" si="150"/>
        <v>0</v>
      </c>
      <c r="U164" s="241">
        <f t="shared" si="151"/>
        <v>0</v>
      </c>
      <c r="V164" s="401"/>
      <c r="W164" s="79"/>
      <c r="X164" s="79"/>
      <c r="Y164" s="79"/>
      <c r="Z164" s="79"/>
      <c r="AA164" s="79"/>
      <c r="AB164" s="79"/>
      <c r="AL164" s="169">
        <f>IF(AU164=0,0,IFERROR(INDEX(RanglisteST3!K:K,MATCH(AU164,RanglisteST3!A:A,0)),0))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0</v>
      </c>
      <c r="BH164" s="169" t="str">
        <f t="shared" ref="BH164:BH171" si="168">+BH163</f>
        <v>BK München 1</v>
      </c>
      <c r="BI164" s="168">
        <f t="shared" si="164"/>
        <v>2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0</v>
      </c>
      <c r="BM164" s="168">
        <f t="shared" si="167"/>
        <v>0</v>
      </c>
    </row>
    <row r="165" spans="1:65" ht="16.95" customHeight="1" thickBot="1">
      <c r="A165" s="405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30"/>
      <c r="H165" s="224"/>
      <c r="I165" s="242">
        <f t="shared" si="146"/>
        <v>0</v>
      </c>
      <c r="J165" s="430"/>
      <c r="K165" s="224"/>
      <c r="L165" s="242">
        <f t="shared" si="147"/>
        <v>0</v>
      </c>
      <c r="M165" s="430"/>
      <c r="N165" s="224"/>
      <c r="O165" s="242">
        <f t="shared" si="148"/>
        <v>0</v>
      </c>
      <c r="P165" s="430"/>
      <c r="Q165" s="224"/>
      <c r="R165" s="242">
        <f t="shared" si="149"/>
        <v>0</v>
      </c>
      <c r="S165" s="430"/>
      <c r="T165" s="224">
        <f t="shared" si="150"/>
        <v>0</v>
      </c>
      <c r="U165" s="242">
        <f t="shared" si="151"/>
        <v>0</v>
      </c>
      <c r="V165" s="402"/>
      <c r="W165" s="79"/>
      <c r="X165" s="79"/>
      <c r="Y165" s="79"/>
      <c r="Z165" s="79"/>
      <c r="AA165" s="79"/>
      <c r="AB165" s="79"/>
      <c r="AL165" s="169">
        <f>IF(AU165=0,0,IFERROR(INDEX(RanglisteST3!K:K,MATCH(AU165,RanglisteST3!A:A,0)),0))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0</v>
      </c>
      <c r="BH165" s="169" t="str">
        <f t="shared" si="168"/>
        <v>BK München 1</v>
      </c>
      <c r="BI165" s="168">
        <f t="shared" si="164"/>
        <v>2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0</v>
      </c>
      <c r="BM165" s="168">
        <f t="shared" si="167"/>
        <v>0</v>
      </c>
    </row>
    <row r="166" spans="1:65" ht="16.95" customHeight="1">
      <c r="A166" s="403" t="s">
        <v>2</v>
      </c>
      <c r="B166" s="58" t="str">
        <f>IF(C166=0,"",VLOOKUP(C166,Starter!$A$1:$D$196,2,FALSE))</f>
        <v>Lauchner, Julian</v>
      </c>
      <c r="C166" s="235">
        <v>38334</v>
      </c>
      <c r="D166" s="238">
        <f t="shared" si="144"/>
        <v>0</v>
      </c>
      <c r="E166" s="221">
        <v>205</v>
      </c>
      <c r="F166" s="240">
        <f t="shared" si="145"/>
        <v>205</v>
      </c>
      <c r="G166" s="428">
        <f>IF(SUM(F166:F168)+E179=0,0,IF(ABS(SUM(F166:F168))=E179,Spielorte!$A$30/2,IF(ABS(SUM(F166:F168))&gt;E179,Spielorte!$A$30,0)))</f>
        <v>1</v>
      </c>
      <c r="H166" s="221">
        <v>194</v>
      </c>
      <c r="I166" s="240">
        <f t="shared" si="146"/>
        <v>194</v>
      </c>
      <c r="J166" s="428">
        <f>IF(SUM(I166:I168)+H179=0,0,IF(ABS(SUM(I166:I168))=H179,Spielorte!$A$30/2,IF(ABS(SUM(I166:I168))&gt;H179,Spielorte!$A$30,0)))</f>
        <v>1</v>
      </c>
      <c r="K166" s="221">
        <v>211</v>
      </c>
      <c r="L166" s="240">
        <f t="shared" si="147"/>
        <v>211</v>
      </c>
      <c r="M166" s="428">
        <f>IF(SUM(L166:L168)+K179=0,0,IF(ABS(SUM(L166:L168))=K179,Spielorte!$A$30/2,IF(ABS(SUM(L166:L168))&gt;K179,Spielorte!$A$30,0)))</f>
        <v>1</v>
      </c>
      <c r="N166" s="221">
        <v>146</v>
      </c>
      <c r="O166" s="240">
        <f t="shared" si="148"/>
        <v>146</v>
      </c>
      <c r="P166" s="428">
        <f>IF(SUM(O166:O168)+N179=0,0,IF(ABS(SUM(O166:O168))=N179,Spielorte!$A$30/2,IF(ABS(SUM(O166:O168))&gt;N179,Spielorte!$A$30,0)))</f>
        <v>0</v>
      </c>
      <c r="Q166" s="221">
        <v>215</v>
      </c>
      <c r="R166" s="240">
        <f t="shared" si="149"/>
        <v>215</v>
      </c>
      <c r="S166" s="428">
        <f>IF(SUM(R166:R168)+Q179=0,0,IF(ABS(SUM(R166:R168))=Q179,Spielorte!$A$30/2,IF(ABS(SUM(R166:R168))&gt;Q179,Spielorte!$A$30,0)))</f>
        <v>1</v>
      </c>
      <c r="T166" s="221">
        <f t="shared" si="150"/>
        <v>971</v>
      </c>
      <c r="U166" s="240">
        <f t="shared" si="151"/>
        <v>971</v>
      </c>
      <c r="V166" s="400">
        <f>SUM(G166+J166+M166+P166+S166)</f>
        <v>4</v>
      </c>
      <c r="W166" s="79"/>
      <c r="X166" s="79"/>
      <c r="Y166" s="79"/>
      <c r="Z166" s="79"/>
      <c r="AA166" s="79"/>
      <c r="AB166" s="79"/>
      <c r="AL166" s="169">
        <f>IF(AU166=0,0,IFERROR(INDEX(RanglisteST3!K:K,MATCH(AU166,RanglisteST3!A:A,0)),0))</f>
        <v>185.7</v>
      </c>
      <c r="AM166" s="169">
        <f>IF(AU166=0,0,SUMIF(AU163:AU171,AU166,AV163:AV171))</f>
        <v>971</v>
      </c>
      <c r="AN166" s="169">
        <f>IF(AU166=0,0,SUMIF(AU163:AU171,AU166,AW163:AW171))</f>
        <v>5</v>
      </c>
      <c r="AO166" s="169">
        <f t="shared" si="152"/>
        <v>194.2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38334</v>
      </c>
      <c r="AV166" s="167">
        <f t="shared" si="154"/>
        <v>971</v>
      </c>
      <c r="AW166" s="169">
        <f t="shared" si="155"/>
        <v>5</v>
      </c>
      <c r="AX166" s="169">
        <f t="shared" si="156"/>
        <v>5</v>
      </c>
      <c r="AY166" s="169">
        <f t="shared" si="157"/>
        <v>205</v>
      </c>
      <c r="AZ166" s="169">
        <f t="shared" si="158"/>
        <v>194</v>
      </c>
      <c r="BA166" s="169">
        <f t="shared" si="159"/>
        <v>211</v>
      </c>
      <c r="BB166" s="169">
        <f t="shared" si="160"/>
        <v>146</v>
      </c>
      <c r="BC166" s="169">
        <f t="shared" si="161"/>
        <v>215</v>
      </c>
      <c r="BD166" s="170"/>
      <c r="BE166" s="168"/>
      <c r="BF166" s="169">
        <f t="shared" si="162"/>
        <v>215</v>
      </c>
      <c r="BG166" s="169">
        <f t="shared" si="163"/>
        <v>0</v>
      </c>
      <c r="BH166" s="169" t="str">
        <f t="shared" si="168"/>
        <v>BK München 1</v>
      </c>
      <c r="BI166" s="168">
        <f t="shared" si="164"/>
        <v>2</v>
      </c>
      <c r="BJ166" s="169">
        <f t="shared" si="165"/>
        <v>971</v>
      </c>
      <c r="BK166" s="169">
        <f>IF(COUNTIF(AY166:BC166,"&gt;0")&lt;Spielorte!$A$23,0,AV166/Spielorte!$A$23)</f>
        <v>194.2</v>
      </c>
      <c r="BL166" s="169">
        <f t="shared" si="166"/>
        <v>0</v>
      </c>
      <c r="BM166" s="168">
        <f t="shared" si="167"/>
        <v>0</v>
      </c>
    </row>
    <row r="167" spans="1:65" ht="16.95" customHeight="1">
      <c r="A167" s="404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9"/>
      <c r="H167" s="222"/>
      <c r="I167" s="241">
        <f t="shared" si="146"/>
        <v>0</v>
      </c>
      <c r="J167" s="429"/>
      <c r="K167" s="222"/>
      <c r="L167" s="241">
        <f t="shared" si="147"/>
        <v>0</v>
      </c>
      <c r="M167" s="429"/>
      <c r="N167" s="222"/>
      <c r="O167" s="241">
        <f t="shared" si="148"/>
        <v>0</v>
      </c>
      <c r="P167" s="429"/>
      <c r="Q167" s="222"/>
      <c r="R167" s="241">
        <f t="shared" si="149"/>
        <v>0</v>
      </c>
      <c r="S167" s="429"/>
      <c r="T167" s="222">
        <f t="shared" si="150"/>
        <v>0</v>
      </c>
      <c r="U167" s="241">
        <f t="shared" si="151"/>
        <v>0</v>
      </c>
      <c r="V167" s="401"/>
      <c r="W167" s="79"/>
      <c r="X167" s="79"/>
      <c r="Y167" s="79"/>
      <c r="Z167" s="79"/>
      <c r="AA167" s="79"/>
      <c r="AB167" s="79"/>
      <c r="AL167" s="169">
        <f>IF(AU167=0,0,IFERROR(INDEX(RanglisteST3!K:K,MATCH(AU167,RanglisteST3!A:A,0)),0))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0</v>
      </c>
      <c r="BH167" s="169" t="str">
        <f t="shared" si="168"/>
        <v>BK München 1</v>
      </c>
      <c r="BI167" s="168">
        <f t="shared" si="164"/>
        <v>2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0</v>
      </c>
      <c r="BM167" s="168">
        <f t="shared" si="167"/>
        <v>0</v>
      </c>
    </row>
    <row r="168" spans="1:65" ht="16.95" customHeight="1" thickBot="1">
      <c r="A168" s="405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30"/>
      <c r="H168" s="224"/>
      <c r="I168" s="242">
        <f t="shared" si="146"/>
        <v>0</v>
      </c>
      <c r="J168" s="430"/>
      <c r="K168" s="224"/>
      <c r="L168" s="242">
        <f t="shared" si="147"/>
        <v>0</v>
      </c>
      <c r="M168" s="430"/>
      <c r="N168" s="224"/>
      <c r="O168" s="242">
        <f t="shared" si="148"/>
        <v>0</v>
      </c>
      <c r="P168" s="430"/>
      <c r="Q168" s="224"/>
      <c r="R168" s="242">
        <f t="shared" si="149"/>
        <v>0</v>
      </c>
      <c r="S168" s="430"/>
      <c r="T168" s="224">
        <f t="shared" si="150"/>
        <v>0</v>
      </c>
      <c r="U168" s="242">
        <f t="shared" si="151"/>
        <v>0</v>
      </c>
      <c r="V168" s="402"/>
      <c r="W168" s="79"/>
      <c r="X168" s="79"/>
      <c r="Y168" s="79"/>
      <c r="Z168" s="79"/>
      <c r="AA168" s="79"/>
      <c r="AB168" s="79"/>
      <c r="AL168" s="169">
        <f>IF(AU168=0,0,IFERROR(INDEX(RanglisteST3!K:K,MATCH(AU168,RanglisteST3!A:A,0)),0))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0</v>
      </c>
      <c r="BH168" s="169" t="str">
        <f t="shared" si="168"/>
        <v>BK München 1</v>
      </c>
      <c r="BI168" s="168">
        <f t="shared" si="164"/>
        <v>2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0</v>
      </c>
      <c r="BM168" s="168">
        <f t="shared" si="167"/>
        <v>0</v>
      </c>
    </row>
    <row r="169" spans="1:65" ht="16.95" customHeight="1">
      <c r="A169" s="403" t="s">
        <v>3</v>
      </c>
      <c r="B169" s="58" t="str">
        <f>IF(C169=0,"",VLOOKUP(C169,Starter!$A$1:$D$196,2,FALSE))</f>
        <v>Gründl, Alexander</v>
      </c>
      <c r="C169" s="235">
        <v>38708</v>
      </c>
      <c r="D169" s="238">
        <f t="shared" si="144"/>
        <v>0</v>
      </c>
      <c r="E169" s="221">
        <v>221</v>
      </c>
      <c r="F169" s="240">
        <f t="shared" si="145"/>
        <v>221</v>
      </c>
      <c r="G169" s="428">
        <f>IF(SUM(F169:F171)+E180=0,0,IF(ABS(SUM(F169:F171))=E180,Spielorte!$A$30/2,IF(ABS(SUM(F169:F171))&gt;E180,Spielorte!$A$30,0)))</f>
        <v>1</v>
      </c>
      <c r="H169" s="221">
        <v>220</v>
      </c>
      <c r="I169" s="240">
        <f t="shared" si="146"/>
        <v>220</v>
      </c>
      <c r="J169" s="428">
        <f>IF(SUM(I169:I171)+H180=0,0,IF(ABS(SUM(I169:I171))=H180,Spielorte!$A$30/2,IF(ABS(SUM(I169:I171))&gt;H180,Spielorte!$A$30,0)))</f>
        <v>1</v>
      </c>
      <c r="K169" s="221">
        <v>190</v>
      </c>
      <c r="L169" s="240">
        <f t="shared" si="147"/>
        <v>190</v>
      </c>
      <c r="M169" s="428">
        <f>IF(SUM(L169:L171)+K180=0,0,IF(ABS(SUM(L169:L171))=K180,Spielorte!$A$30/2,IF(ABS(SUM(L169:L171))&gt;K180,Spielorte!$A$30,0)))</f>
        <v>1</v>
      </c>
      <c r="N169" s="221">
        <v>165</v>
      </c>
      <c r="O169" s="240">
        <f t="shared" si="148"/>
        <v>165</v>
      </c>
      <c r="P169" s="428">
        <f>IF(SUM(O169:O171)+N180=0,0,IF(ABS(SUM(O169:O171))=N180,Spielorte!$A$30/2,IF(ABS(SUM(O169:O171))&gt;N180,Spielorte!$A$30,0)))</f>
        <v>1</v>
      </c>
      <c r="Q169" s="221">
        <v>214</v>
      </c>
      <c r="R169" s="240">
        <f t="shared" si="149"/>
        <v>214</v>
      </c>
      <c r="S169" s="428">
        <f>IF(SUM(R169:R171)+Q180=0,0,IF(ABS(SUM(R169:R171))=Q180,Spielorte!$A$30/2,IF(ABS(SUM(R169:R171))&gt;Q180,Spielorte!$A$30,0)))</f>
        <v>1</v>
      </c>
      <c r="T169" s="221">
        <f t="shared" si="150"/>
        <v>1010</v>
      </c>
      <c r="U169" s="240">
        <f t="shared" si="151"/>
        <v>1010</v>
      </c>
      <c r="V169" s="400">
        <f>SUM(G169+J169+M169+P169+S169)</f>
        <v>5</v>
      </c>
      <c r="W169" s="79"/>
      <c r="X169" s="79"/>
      <c r="Y169" s="79"/>
      <c r="Z169" s="79"/>
      <c r="AA169" s="79"/>
      <c r="AB169" s="79"/>
      <c r="AL169" s="169">
        <f>IF(AU169=0,0,IFERROR(INDEX(RanglisteST3!K:K,MATCH(AU169,RanglisteST3!A:A,0)),0))</f>
        <v>203.3</v>
      </c>
      <c r="AM169" s="169">
        <f>IF(AU169=0,0,SUMIF(AU163:AU171,AU169,AV163:AV171))</f>
        <v>1010</v>
      </c>
      <c r="AN169" s="169">
        <f>IF(AU169=0,0,SUMIF(AU163:AU171,AU169,AW163:AW171))</f>
        <v>5</v>
      </c>
      <c r="AO169" s="169">
        <f t="shared" si="152"/>
        <v>202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38708</v>
      </c>
      <c r="AV169" s="167">
        <f t="shared" si="154"/>
        <v>1010</v>
      </c>
      <c r="AW169" s="169">
        <f t="shared" si="155"/>
        <v>5</v>
      </c>
      <c r="AX169" s="169">
        <f t="shared" si="156"/>
        <v>5</v>
      </c>
      <c r="AY169" s="169">
        <f t="shared" si="157"/>
        <v>221</v>
      </c>
      <c r="AZ169" s="169">
        <f t="shared" si="158"/>
        <v>220</v>
      </c>
      <c r="BA169" s="169">
        <f t="shared" si="159"/>
        <v>190</v>
      </c>
      <c r="BB169" s="169">
        <f t="shared" si="160"/>
        <v>165</v>
      </c>
      <c r="BC169" s="169">
        <f t="shared" si="161"/>
        <v>214</v>
      </c>
      <c r="BD169" s="170"/>
      <c r="BE169" s="168"/>
      <c r="BF169" s="169">
        <f t="shared" si="162"/>
        <v>221</v>
      </c>
      <c r="BG169" s="169">
        <f t="shared" si="163"/>
        <v>0</v>
      </c>
      <c r="BH169" s="169" t="str">
        <f t="shared" si="168"/>
        <v>BK München 1</v>
      </c>
      <c r="BI169" s="168">
        <f t="shared" si="164"/>
        <v>2</v>
      </c>
      <c r="BJ169" s="169">
        <f t="shared" si="165"/>
        <v>1010</v>
      </c>
      <c r="BK169" s="169">
        <f>IF(COUNTIF(AY169:BC169,"&gt;0")&lt;Spielorte!$A$23,0,AV169/Spielorte!$A$23)</f>
        <v>202</v>
      </c>
      <c r="BL169" s="169">
        <f t="shared" si="166"/>
        <v>0</v>
      </c>
      <c r="BM169" s="168">
        <f t="shared" si="167"/>
        <v>0</v>
      </c>
    </row>
    <row r="170" spans="1:65" ht="16.95" customHeight="1">
      <c r="A170" s="404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9"/>
      <c r="H170" s="222"/>
      <c r="I170" s="241">
        <f t="shared" si="146"/>
        <v>0</v>
      </c>
      <c r="J170" s="429"/>
      <c r="K170" s="222"/>
      <c r="L170" s="241">
        <f t="shared" si="147"/>
        <v>0</v>
      </c>
      <c r="M170" s="429"/>
      <c r="N170" s="222"/>
      <c r="O170" s="241">
        <f t="shared" si="148"/>
        <v>0</v>
      </c>
      <c r="P170" s="429"/>
      <c r="Q170" s="222"/>
      <c r="R170" s="241">
        <f t="shared" si="149"/>
        <v>0</v>
      </c>
      <c r="S170" s="429"/>
      <c r="T170" s="222">
        <f t="shared" si="150"/>
        <v>0</v>
      </c>
      <c r="U170" s="241">
        <f t="shared" si="151"/>
        <v>0</v>
      </c>
      <c r="V170" s="401"/>
      <c r="W170" s="79"/>
      <c r="X170" s="79"/>
      <c r="Y170" s="79"/>
      <c r="Z170" s="79"/>
      <c r="AA170" s="79"/>
      <c r="AB170" s="79"/>
      <c r="AL170" s="169">
        <f>IF(AU170=0,0,IFERROR(INDEX(RanglisteST3!K:K,MATCH(AU170,RanglisteST3!A:A,0)),0))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0</v>
      </c>
      <c r="BH170" s="169" t="str">
        <f t="shared" si="168"/>
        <v>BK München 1</v>
      </c>
      <c r="BI170" s="168">
        <f t="shared" si="164"/>
        <v>2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0</v>
      </c>
      <c r="BM170" s="168">
        <f t="shared" si="167"/>
        <v>0</v>
      </c>
    </row>
    <row r="171" spans="1:65" ht="16.95" customHeight="1" thickBot="1">
      <c r="A171" s="405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30"/>
      <c r="H171" s="224"/>
      <c r="I171" s="242">
        <f t="shared" si="146"/>
        <v>0</v>
      </c>
      <c r="J171" s="430"/>
      <c r="K171" s="224"/>
      <c r="L171" s="242">
        <f t="shared" si="147"/>
        <v>0</v>
      </c>
      <c r="M171" s="430"/>
      <c r="N171" s="224"/>
      <c r="O171" s="242">
        <f t="shared" si="148"/>
        <v>0</v>
      </c>
      <c r="P171" s="430"/>
      <c r="Q171" s="224"/>
      <c r="R171" s="242">
        <f t="shared" si="149"/>
        <v>0</v>
      </c>
      <c r="S171" s="430"/>
      <c r="T171" s="224">
        <f t="shared" si="150"/>
        <v>0</v>
      </c>
      <c r="U171" s="242">
        <f t="shared" si="151"/>
        <v>0</v>
      </c>
      <c r="V171" s="402"/>
      <c r="W171" s="79"/>
      <c r="X171" s="79"/>
      <c r="Y171" s="79"/>
      <c r="Z171" s="79"/>
      <c r="AA171" s="79"/>
      <c r="AB171" s="79"/>
      <c r="AL171" s="169">
        <f>IF(AU171=0,0,IFERROR(INDEX(RanglisteST3!K:K,MATCH(AU171,RanglisteST3!A:A,0)),0))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0</v>
      </c>
      <c r="BH171" s="169" t="str">
        <f t="shared" si="168"/>
        <v>BK München 1</v>
      </c>
      <c r="BI171" s="168">
        <f t="shared" si="164"/>
        <v>2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0</v>
      </c>
      <c r="BM171" s="168">
        <f t="shared" si="167"/>
        <v>0</v>
      </c>
    </row>
    <row r="172" spans="1:65" ht="27.75" customHeight="1" thickBot="1">
      <c r="B172" s="218" t="s">
        <v>1792</v>
      </c>
      <c r="C172" s="204"/>
      <c r="D172" s="219"/>
      <c r="E172" s="226">
        <f>ABS(SUM(E163:E165))+ABS(SUM(E166:E168))+ABS(SUM(E169:E171))</f>
        <v>586</v>
      </c>
      <c r="F172" s="225">
        <f>ABS(SUM(F163:F165))+ABS(SUM(F166:F168))+ABS(SUM(F169:F171))</f>
        <v>586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575</v>
      </c>
      <c r="I172" s="225">
        <f>ABS(SUM(I163:I165))+ABS(SUM(I166:I168))+ABS(SUM(I169:I171))</f>
        <v>575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606</v>
      </c>
      <c r="L172" s="225">
        <f>ABS(SUM(L163:L165))+ABS(SUM(L166:L168))+ABS(SUM(L169:L171))</f>
        <v>606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483</v>
      </c>
      <c r="O172" s="225">
        <f>ABS(SUM(O163:O165))+ABS(SUM(O166:O168))+ABS(SUM(O169:O171))</f>
        <v>483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686</v>
      </c>
      <c r="R172" s="225">
        <f>ABS(SUM(R163:R165))+ABS(SUM(R166:R168))+ABS(SUM(R169:R171))</f>
        <v>686</v>
      </c>
      <c r="S172" s="81">
        <f>IF(R172+Q181=0,0,IF(R172=Q181,Spielorte!$A$31/2,IF(R172&gt;Q181,Spielorte!$A$31,0)))</f>
        <v>2</v>
      </c>
      <c r="T172" s="228">
        <f>SUM(E172+H172+K172+N172+Q172)</f>
        <v>2936</v>
      </c>
      <c r="U172" s="229">
        <f>SUM(F172+I172+L172+O172+R172)</f>
        <v>2936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>
      <c r="B173" s="230" t="s">
        <v>1803</v>
      </c>
      <c r="C173" s="1"/>
      <c r="D173" s="1"/>
      <c r="E173" s="1"/>
      <c r="F173" s="1"/>
      <c r="G173" s="61">
        <f>SUM(G163:G172)</f>
        <v>4</v>
      </c>
      <c r="H173" s="1"/>
      <c r="I173" s="1"/>
      <c r="J173" s="61">
        <f>SUM(J163:J172)</f>
        <v>4</v>
      </c>
      <c r="K173" s="1"/>
      <c r="L173" s="1"/>
      <c r="M173" s="61">
        <f>SUM(M163:M172)</f>
        <v>4</v>
      </c>
      <c r="N173" s="1"/>
      <c r="O173" s="1"/>
      <c r="P173" s="61">
        <f>SUM(P163:P172)</f>
        <v>4</v>
      </c>
      <c r="Q173" s="1"/>
      <c r="R173" s="1"/>
      <c r="S173" s="61">
        <f>SUM(S163:S172)</f>
        <v>5</v>
      </c>
      <c r="T173" s="1"/>
      <c r="U173" s="1"/>
      <c r="V173" s="61">
        <f>SUM(V163:V172)</f>
        <v>21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21</v>
      </c>
      <c r="AR173" s="167">
        <f>+T172</f>
        <v>2936</v>
      </c>
      <c r="AS173" s="167">
        <f>+U172</f>
        <v>2936</v>
      </c>
      <c r="AT173" s="168">
        <f>+B158</f>
        <v>7</v>
      </c>
      <c r="AW173" s="169">
        <f>SUM(AW157:AW172)</f>
        <v>15</v>
      </c>
      <c r="BD173" s="166">
        <f>+AS173/1000000+AQ173+AR173/1000000000000</f>
        <v>21.002936002936</v>
      </c>
      <c r="BE173" s="168">
        <f>RANK(BD173,BD:BD)</f>
        <v>1</v>
      </c>
      <c r="BI173" s="168"/>
      <c r="BM173" s="168"/>
    </row>
    <row r="174" spans="1:65" ht="11.25" customHeight="1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>
      <c r="B175" s="231" t="s">
        <v>1790</v>
      </c>
      <c r="C175" s="210"/>
      <c r="D175" s="42"/>
      <c r="E175" s="434">
        <f>VLOOKUP($B158,Schlüssel!$A$5:$EK$12,43)</f>
        <v>1</v>
      </c>
      <c r="F175" s="435"/>
      <c r="G175" s="436"/>
      <c r="H175" s="434">
        <f>VLOOKUP($B158,Schlüssel!$A$5:$EK$12,44)</f>
        <v>6</v>
      </c>
      <c r="I175" s="435"/>
      <c r="J175" s="436"/>
      <c r="K175" s="434">
        <f>VLOOKUP($B158,Schlüssel!$A$5:$EK$12,45)</f>
        <v>4</v>
      </c>
      <c r="L175" s="435"/>
      <c r="M175" s="436"/>
      <c r="N175" s="434">
        <f>VLOOKUP($B158,Schlüssel!$A$5:$EK$12,46)</f>
        <v>8</v>
      </c>
      <c r="O175" s="435"/>
      <c r="P175" s="436"/>
      <c r="Q175" s="434">
        <f>VLOOKUP($B158,Schlüssel!$A$5:$EK$12,47)</f>
        <v>3</v>
      </c>
      <c r="R175" s="435"/>
      <c r="S175" s="436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>
      <c r="B176" s="3" t="s">
        <v>9</v>
      </c>
      <c r="C176" s="1"/>
      <c r="D176" s="1"/>
      <c r="E176" s="395" t="str">
        <f>VLOOKUP(E175,Schlüssel!$A$5:$K$12,2)</f>
        <v>Bad Tölz 1</v>
      </c>
      <c r="F176" s="438"/>
      <c r="G176" s="396"/>
      <c r="H176" s="395" t="str">
        <f>VLOOKUP(H175,Schlüssel!$A$5:$K$12,2)</f>
        <v>Bowling Jugend Bayern 1</v>
      </c>
      <c r="I176" s="438"/>
      <c r="J176" s="396"/>
      <c r="K176" s="395" t="str">
        <f>VLOOKUP(K175,Schlüssel!$A$5:$K$12,2)</f>
        <v>Highroller Rosenheim 3</v>
      </c>
      <c r="L176" s="438"/>
      <c r="M176" s="396"/>
      <c r="N176" s="395" t="str">
        <f>VLOOKUP(N175,Schlüssel!$A$5:$K$12,2)</f>
        <v>EMAX 1</v>
      </c>
      <c r="O176" s="438"/>
      <c r="P176" s="396"/>
      <c r="Q176" s="395" t="str">
        <f>VLOOKUP(Q175,Schlüssel!$A$5:$K$12,2)</f>
        <v>Highroller Rosenheim 2</v>
      </c>
      <c r="R176" s="438"/>
      <c r="S176" s="396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" customHeight="1">
      <c r="B178" s="417" t="s">
        <v>2275</v>
      </c>
      <c r="C178" s="418"/>
      <c r="D178" s="419"/>
      <c r="E178" s="431">
        <f>ABS(INDEX(F:F,MATCH(E175,$B:$B,0)+5)+INDEX(F:F,MATCH(E175,$B:$B,0)+6)+INDEX(F:F,MATCH(E175,$B:$B,0)+7))</f>
        <v>242</v>
      </c>
      <c r="F178" s="432"/>
      <c r="G178" s="433"/>
      <c r="H178" s="431">
        <f>ABS(INDEX(I:I,MATCH(H175,$B:$B,0)+5)+INDEX(I:I,MATCH(H175,$B:$B,0)+6)+INDEX(I:I,MATCH(H175,$B:$B,0)+7))</f>
        <v>184</v>
      </c>
      <c r="I178" s="432"/>
      <c r="J178" s="433"/>
      <c r="K178" s="431">
        <f>ABS(INDEX(L:L,MATCH(K175,$B:$B,0)+5)+INDEX(L:L,MATCH(K175,$B:$B,0)+6)+INDEX(L:L,MATCH(K175,$B:$B,0)+7))</f>
        <v>209</v>
      </c>
      <c r="L178" s="432"/>
      <c r="M178" s="433"/>
      <c r="N178" s="431">
        <f>ABS(INDEX(O:O,MATCH(N175,$B:$B,0)+5)+INDEX(O:O,MATCH(N175,$B:$B,0)+6)+INDEX(O:O,MATCH(N175,$B:$B,0)+7))</f>
        <v>146</v>
      </c>
      <c r="O178" s="432"/>
      <c r="P178" s="433"/>
      <c r="Q178" s="431">
        <f>ABS(INDEX(R:R,MATCH(Q175,$B:$B,0)+5)+INDEX(R:R,MATCH(Q175,$B:$B,0)+6)+INDEX(R:R,MATCH(Q175,$B:$B,0)+7))</f>
        <v>128</v>
      </c>
      <c r="R178" s="432"/>
      <c r="S178" s="433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" customHeight="1">
      <c r="B179" s="417" t="s">
        <v>2276</v>
      </c>
      <c r="C179" s="418"/>
      <c r="D179" s="419"/>
      <c r="E179" s="424">
        <f>ABS(INDEX(F:F,MATCH(E175,$B:$B,0)+8)+INDEX(F:F,MATCH(E175,$B:$B,0)+9)+INDEX(F:F,MATCH(E175,$B:$B,0)+10))</f>
        <v>164</v>
      </c>
      <c r="F179" s="425"/>
      <c r="G179" s="426"/>
      <c r="H179" s="424">
        <f>ABS(INDEX(I:I,MATCH(H175,$B:$B,0)+8)+INDEX(I:I,MATCH(H175,$B:$B,0)+9)+INDEX(I:I,MATCH(H175,$B:$B,0)+10))</f>
        <v>160</v>
      </c>
      <c r="I179" s="425"/>
      <c r="J179" s="426"/>
      <c r="K179" s="424">
        <f>ABS(INDEX(L:L,MATCH(K175,$B:$B,0)+8)+INDEX(L:L,MATCH(K175,$B:$B,0)+9)+INDEX(L:L,MATCH(K175,$B:$B,0)+10))</f>
        <v>138</v>
      </c>
      <c r="L179" s="425"/>
      <c r="M179" s="426"/>
      <c r="N179" s="424">
        <f>ABS(INDEX(O:O,MATCH(N175,$B:$B,0)+8)+INDEX(O:O,MATCH(N175,$B:$B,0)+9)+INDEX(O:O,MATCH(N175,$B:$B,0)+10))</f>
        <v>148</v>
      </c>
      <c r="O179" s="425"/>
      <c r="P179" s="426"/>
      <c r="Q179" s="424">
        <f>ABS(INDEX(R:R,MATCH(Q175,$B:$B,0)+8)+INDEX(R:R,MATCH(Q175,$B:$B,0)+9)+INDEX(R:R,MATCH(Q175,$B:$B,0)+10))</f>
        <v>135</v>
      </c>
      <c r="R179" s="425"/>
      <c r="S179" s="426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" customHeight="1">
      <c r="B180" s="417" t="s">
        <v>2277</v>
      </c>
      <c r="C180" s="418"/>
      <c r="D180" s="419"/>
      <c r="E180" s="424">
        <f>ABS(INDEX(F:F,MATCH(E175,$B:$B,0)+11)+INDEX(F:F,MATCH(E175,$B:$B,0)+12)+INDEX(F:F,MATCH(E175,$B:$B,0)+13))</f>
        <v>167</v>
      </c>
      <c r="F180" s="425"/>
      <c r="G180" s="426"/>
      <c r="H180" s="424">
        <f>ABS(INDEX(I:I,MATCH(H175,$B:$B,0)+11)+INDEX(I:I,MATCH(H175,$B:$B,0)+12)+INDEX(I:I,MATCH(H175,$B:$B,0)+13))</f>
        <v>171</v>
      </c>
      <c r="I180" s="425"/>
      <c r="J180" s="426"/>
      <c r="K180" s="424">
        <f>ABS(INDEX(L:L,MATCH(K175,$B:$B,0)+11)+INDEX(L:L,MATCH(K175,$B:$B,0)+12)+INDEX(L:L,MATCH(K175,$B:$B,0)+13))</f>
        <v>120</v>
      </c>
      <c r="L180" s="425"/>
      <c r="M180" s="426"/>
      <c r="N180" s="424">
        <f>ABS(INDEX(O:O,MATCH(N175,$B:$B,0)+11)+INDEX(O:O,MATCH(N175,$B:$B,0)+12)+INDEX(O:O,MATCH(N175,$B:$B,0)+13))</f>
        <v>138</v>
      </c>
      <c r="O180" s="425"/>
      <c r="P180" s="426"/>
      <c r="Q180" s="424">
        <f>ABS(INDEX(R:R,MATCH(Q175,$B:$B,0)+11)+INDEX(R:R,MATCH(Q175,$B:$B,0)+12)+INDEX(R:R,MATCH(Q175,$B:$B,0)+13))</f>
        <v>144</v>
      </c>
      <c r="R180" s="425"/>
      <c r="S180" s="426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" customHeight="1">
      <c r="B181" s="420" t="s">
        <v>2278</v>
      </c>
      <c r="C181" s="421"/>
      <c r="D181" s="422"/>
      <c r="E181" s="407">
        <f>SUM(E178:E180)</f>
        <v>573</v>
      </c>
      <c r="F181" s="423"/>
      <c r="G181" s="408"/>
      <c r="H181" s="407">
        <f>SUM(H178:H180)</f>
        <v>515</v>
      </c>
      <c r="I181" s="423"/>
      <c r="J181" s="408"/>
      <c r="K181" s="407">
        <f>SUM(K178:K180)</f>
        <v>467</v>
      </c>
      <c r="L181" s="423"/>
      <c r="M181" s="408"/>
      <c r="N181" s="407">
        <f>SUM(N178:N180)</f>
        <v>432</v>
      </c>
      <c r="O181" s="423"/>
      <c r="P181" s="408"/>
      <c r="Q181" s="407">
        <f>SUM(Q178:Q180)</f>
        <v>407</v>
      </c>
      <c r="R181" s="423"/>
      <c r="S181" s="408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>
      <c r="A183" s="255"/>
      <c r="B183" s="7" t="s">
        <v>1802</v>
      </c>
      <c r="C183" s="24"/>
      <c r="D183" s="24"/>
      <c r="E183" s="35" t="s">
        <v>1786</v>
      </c>
      <c r="F183" s="35"/>
      <c r="G183" s="427" t="str">
        <f>Schlüssel!$C$1</f>
        <v>Landesliga Jugend</v>
      </c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06">
        <f>Schlüssel!$BA$1</f>
        <v>45752</v>
      </c>
      <c r="T183" s="406"/>
      <c r="U183" s="406"/>
      <c r="V183" s="406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>
      <c r="A184" s="53"/>
      <c r="B184" s="54">
        <v>8</v>
      </c>
      <c r="E184" s="35" t="s">
        <v>1787</v>
      </c>
      <c r="F184" s="35"/>
      <c r="G184" s="413" t="str">
        <f>Schlüssel!$AQ$2</f>
        <v>München Hollywood Super Bowling</v>
      </c>
      <c r="H184" s="413"/>
      <c r="I184" s="413"/>
      <c r="J184" s="413"/>
      <c r="K184" s="413"/>
      <c r="L184" s="413"/>
      <c r="M184" s="413"/>
      <c r="N184" s="413"/>
      <c r="O184" s="413"/>
      <c r="P184" s="66"/>
      <c r="Q184" s="411" t="s">
        <v>1785</v>
      </c>
      <c r="R184" s="412"/>
      <c r="S184" s="38">
        <v>3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>
      <c r="B185" s="414" t="str">
        <f>VLOOKUP(B184,Schlüssel!$A$5:$B$12,2)</f>
        <v>EMAX 1</v>
      </c>
      <c r="C185" s="415"/>
      <c r="D185" s="415"/>
      <c r="E185" s="415"/>
      <c r="F185" s="415"/>
      <c r="G185" s="416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3.8" hidden="1" thickBot="1">
      <c r="A186" s="6"/>
      <c r="B186" s="7"/>
      <c r="C186" s="43"/>
      <c r="D186" s="43"/>
      <c r="E186" s="162" t="s">
        <v>10</v>
      </c>
      <c r="F186" s="220"/>
      <c r="G186" s="159">
        <f>VLOOKUP(B184,Schlüssel!$A$5:$EK$12,53)</f>
        <v>14</v>
      </c>
      <c r="H186" s="161" t="s">
        <v>10</v>
      </c>
      <c r="I186" s="220"/>
      <c r="J186" s="159">
        <f>VLOOKUP(B184,Schlüssel!$A$5:$EK$12,54)</f>
        <v>17</v>
      </c>
      <c r="K186" s="161" t="s">
        <v>10</v>
      </c>
      <c r="L186" s="220"/>
      <c r="M186" s="159">
        <f>VLOOKUP(B184,Schlüssel!$A$5:$EK$12,55)</f>
        <v>13</v>
      </c>
      <c r="N186" s="161" t="s">
        <v>10</v>
      </c>
      <c r="O186" s="220"/>
      <c r="P186" s="159">
        <f>VLOOKUP(B184,Schlüssel!$A$5:$EK$12,56)</f>
        <v>16</v>
      </c>
      <c r="Q186" s="161" t="s">
        <v>10</v>
      </c>
      <c r="R186" s="220"/>
      <c r="S186" s="160">
        <f>VLOOKUP(B184,Schlüssel!$A$5:$EK$12,57)</f>
        <v>13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>
      <c r="B187" s="44" t="s">
        <v>1</v>
      </c>
      <c r="C187" s="208"/>
      <c r="D187" s="217"/>
      <c r="E187" s="423" t="s">
        <v>1793</v>
      </c>
      <c r="F187" s="423"/>
      <c r="G187" s="408"/>
      <c r="H187" s="407" t="s">
        <v>1794</v>
      </c>
      <c r="I187" s="423"/>
      <c r="J187" s="408"/>
      <c r="K187" s="407" t="s">
        <v>1795</v>
      </c>
      <c r="L187" s="423"/>
      <c r="M187" s="408"/>
      <c r="N187" s="407" t="s">
        <v>1796</v>
      </c>
      <c r="O187" s="423"/>
      <c r="P187" s="408"/>
      <c r="Q187" s="407" t="s">
        <v>1797</v>
      </c>
      <c r="R187" s="423"/>
      <c r="S187" s="437"/>
      <c r="T187" s="439" t="s">
        <v>1792</v>
      </c>
      <c r="U187" s="440"/>
      <c r="V187" s="410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6.95" customHeight="1">
      <c r="A189" s="403" t="s">
        <v>0</v>
      </c>
      <c r="B189" s="58" t="str">
        <f>IF(C189=0,"",VLOOKUP(C189,Starter!$A$1:$D$196,2,FALSE))</f>
        <v>Böhm, Eric-Pascal</v>
      </c>
      <c r="C189" s="232">
        <v>38706</v>
      </c>
      <c r="D189" s="238">
        <f t="shared" ref="D189:D197" si="169">+AP189</f>
        <v>14</v>
      </c>
      <c r="E189" s="221">
        <v>158</v>
      </c>
      <c r="F189" s="240">
        <f t="shared" ref="F189:F197" si="170">IF(E189&gt;0,E189+$D189,0)</f>
        <v>172</v>
      </c>
      <c r="G189" s="428">
        <f>IF(SUM(F189:F191)+E204=0,0,IF(ABS(SUM(F189:F191))=E204,Spielorte!$A$30/2,IF(ABS(SUM(F189:F191))&gt;E204,Spielorte!$A$30,0)))</f>
        <v>0.5</v>
      </c>
      <c r="H189" s="221">
        <v>157</v>
      </c>
      <c r="I189" s="240">
        <f t="shared" ref="I189:I197" si="171">IF(H189&gt;0,H189+$D189,0)</f>
        <v>171</v>
      </c>
      <c r="J189" s="428">
        <f>IF(SUM(I189:I191)+H204=0,0,IF(ABS(SUM(I189:I191))=H204,Spielorte!$A$30/2,IF(ABS(SUM(I189:I191))&gt;H204,Spielorte!$A$30,0)))</f>
        <v>1</v>
      </c>
      <c r="K189" s="221">
        <v>161</v>
      </c>
      <c r="L189" s="240">
        <f t="shared" ref="L189:L197" si="172">IF(K189&gt;0,K189+$D189,0)</f>
        <v>175</v>
      </c>
      <c r="M189" s="428">
        <f>IF(SUM(L189:L191)+K204=0,0,IF(ABS(SUM(L189:L191))=K204,Spielorte!$A$30/2,IF(ABS(SUM(L189:L191))&gt;K204,Spielorte!$A$30,0)))</f>
        <v>1</v>
      </c>
      <c r="N189" s="221"/>
      <c r="O189" s="240">
        <f t="shared" ref="O189:O197" si="173">IF(N189&gt;0,N189+$D189,0)</f>
        <v>0</v>
      </c>
      <c r="P189" s="428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8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476</v>
      </c>
      <c r="U189" s="240">
        <f t="shared" ref="U189:U197" si="176">ABS(SUM(F189:F189))+ABS(SUM(I189:I189))+ABS(SUM(L189:L189))+ABS(SUM(O189:O189))+ABS(SUM(R189:R189))</f>
        <v>518</v>
      </c>
      <c r="V189" s="400">
        <f>SUM(G189+J189+M189+P189+S189)</f>
        <v>2.5</v>
      </c>
      <c r="W189" s="79"/>
      <c r="X189" s="79"/>
      <c r="Y189" s="79"/>
      <c r="Z189" s="79"/>
      <c r="AA189" s="79"/>
      <c r="AB189" s="79"/>
      <c r="AL189" s="169">
        <f>IF(AU189=0,0,IFERROR(INDEX(RanglisteST3!K:K,MATCH(AU189,RanglisteST3!A:A,0)),0))</f>
        <v>142.47999999999999</v>
      </c>
      <c r="AM189" s="169">
        <f>IF(AU189=0,0,SUMIF(AU189:AU197,AU189,AV189:AV197))</f>
        <v>476</v>
      </c>
      <c r="AN189" s="169">
        <f>IF(AU189=0,0,SUMIF(AU189:AU197,AU189,AW189:AW197))</f>
        <v>3</v>
      </c>
      <c r="AO189" s="169">
        <f t="shared" ref="AO189:AO197" si="177">IFERROR(AM189/AN189,0)</f>
        <v>158.66666666666666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14</v>
      </c>
      <c r="AQ189" s="166"/>
      <c r="AR189" s="167"/>
      <c r="AS189" s="167"/>
      <c r="AT189" s="168"/>
      <c r="AU189" s="171">
        <f t="shared" ref="AU189:AU197" si="178">C189</f>
        <v>38706</v>
      </c>
      <c r="AV189" s="167">
        <f t="shared" ref="AV189:AV197" si="179">T189</f>
        <v>476</v>
      </c>
      <c r="AW189" s="169">
        <f t="shared" ref="AW189:AW197" si="180">COUNT(AY189:BC189)</f>
        <v>3</v>
      </c>
      <c r="AX189" s="169">
        <f t="shared" ref="AX189:AX197" si="181">COUNTIF(AY189:BC189,"&gt;0")</f>
        <v>3</v>
      </c>
      <c r="AY189" s="169">
        <f t="shared" ref="AY189:AY197" si="182">IF(E189=0,"",E189)</f>
        <v>158</v>
      </c>
      <c r="AZ189" s="169">
        <f t="shared" ref="AZ189:AZ197" si="183">IF(H189=0,"",H189)</f>
        <v>157</v>
      </c>
      <c r="BA189" s="169">
        <f t="shared" ref="BA189:BA197" si="184">IF(K189=0,"",K189)</f>
        <v>161</v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161</v>
      </c>
      <c r="BG189" s="169">
        <f t="shared" ref="BG189:BG197" si="188">IF(BF189&lt;MAX(BF:BF),0,BF189+ROW()/1000000000)</f>
        <v>0</v>
      </c>
      <c r="BH189" s="169" t="str">
        <f>+B185</f>
        <v>EMAX 1</v>
      </c>
      <c r="BI189" s="168">
        <f t="shared" ref="BI189:BI197" si="189">RANK(BG189,BG:BG)</f>
        <v>2</v>
      </c>
      <c r="BJ189" s="169">
        <f t="shared" ref="BJ189:BJ197" si="190">SUMIF(AY189:BC189,"&gt;0")</f>
        <v>476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0</v>
      </c>
      <c r="BM189" s="168">
        <f t="shared" ref="BM189:BM197" si="192">IF(BL189=0,0,RANK(BL189,BL:BL))</f>
        <v>0</v>
      </c>
    </row>
    <row r="190" spans="1:65" ht="16.95" customHeight="1">
      <c r="A190" s="404"/>
      <c r="B190" s="58" t="str">
        <f>IF(C190=0,"",VLOOKUP(C190,Starter!$A$1:$D$196,2,FALSE))</f>
        <v>Heiming, Thalea</v>
      </c>
      <c r="C190" s="233">
        <v>38910</v>
      </c>
      <c r="D190" s="239">
        <f t="shared" si="169"/>
        <v>32</v>
      </c>
      <c r="E190" s="222"/>
      <c r="F190" s="241">
        <f t="shared" si="170"/>
        <v>0</v>
      </c>
      <c r="G190" s="429"/>
      <c r="H190" s="222"/>
      <c r="I190" s="241">
        <f t="shared" si="171"/>
        <v>0</v>
      </c>
      <c r="J190" s="429"/>
      <c r="K190" s="222"/>
      <c r="L190" s="241">
        <f t="shared" si="172"/>
        <v>0</v>
      </c>
      <c r="M190" s="429"/>
      <c r="N190" s="222">
        <v>114</v>
      </c>
      <c r="O190" s="241">
        <f t="shared" si="173"/>
        <v>146</v>
      </c>
      <c r="P190" s="429"/>
      <c r="Q190" s="222">
        <v>107</v>
      </c>
      <c r="R190" s="241">
        <f t="shared" si="174"/>
        <v>139</v>
      </c>
      <c r="S190" s="429"/>
      <c r="T190" s="222">
        <f t="shared" si="175"/>
        <v>221</v>
      </c>
      <c r="U190" s="241">
        <f t="shared" si="176"/>
        <v>285</v>
      </c>
      <c r="V190" s="401"/>
      <c r="W190" s="79"/>
      <c r="X190" s="79"/>
      <c r="Y190" s="79"/>
      <c r="Z190" s="79"/>
      <c r="AA190" s="79"/>
      <c r="AB190" s="79"/>
      <c r="AL190" s="169">
        <f>IF(AU190=0,0,IFERROR(INDEX(RanglisteST3!K:K,MATCH(AU190,RanglisteST3!A:A,0)),0))</f>
        <v>120.32</v>
      </c>
      <c r="AM190" s="169">
        <f>IF(AU190=0,0,SUMIF(AU189:AU197,AU190,AV189:AV197))</f>
        <v>449</v>
      </c>
      <c r="AN190" s="169">
        <f>IF(AU190=0,0,SUMIF(AU189:AU197,AU190,AW189:AW197))</f>
        <v>4</v>
      </c>
      <c r="AO190" s="169">
        <f t="shared" si="177"/>
        <v>112.25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32</v>
      </c>
      <c r="AQ190" s="166"/>
      <c r="AR190" s="167"/>
      <c r="AS190" s="167"/>
      <c r="AT190" s="168"/>
      <c r="AU190" s="171">
        <f t="shared" si="178"/>
        <v>38910</v>
      </c>
      <c r="AV190" s="167">
        <f t="shared" si="179"/>
        <v>221</v>
      </c>
      <c r="AW190" s="169">
        <f t="shared" si="180"/>
        <v>2</v>
      </c>
      <c r="AX190" s="169">
        <f t="shared" si="181"/>
        <v>2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>
        <f t="shared" si="185"/>
        <v>114</v>
      </c>
      <c r="BC190" s="169">
        <f t="shared" si="186"/>
        <v>107</v>
      </c>
      <c r="BD190" s="170"/>
      <c r="BE190" s="168"/>
      <c r="BF190" s="169">
        <f t="shared" si="187"/>
        <v>114</v>
      </c>
      <c r="BG190" s="169">
        <f t="shared" si="188"/>
        <v>0</v>
      </c>
      <c r="BH190" s="169" t="str">
        <f t="shared" ref="BH190:BH197" si="193">+BH189</f>
        <v>EMAX 1</v>
      </c>
      <c r="BI190" s="168">
        <f t="shared" si="189"/>
        <v>2</v>
      </c>
      <c r="BJ190" s="169">
        <f t="shared" si="190"/>
        <v>221</v>
      </c>
      <c r="BK190" s="169">
        <f>IF(COUNTIF(AY190:BC190,"&gt;0")&lt;Spielorte!$A$23,0,AV190/Spielorte!$A$23)</f>
        <v>0</v>
      </c>
      <c r="BL190" s="169">
        <f t="shared" si="191"/>
        <v>0</v>
      </c>
      <c r="BM190" s="168">
        <f t="shared" si="192"/>
        <v>0</v>
      </c>
    </row>
    <row r="191" spans="1:65" ht="16.95" customHeight="1" thickBot="1">
      <c r="A191" s="405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30"/>
      <c r="H191" s="224"/>
      <c r="I191" s="242">
        <f t="shared" si="171"/>
        <v>0</v>
      </c>
      <c r="J191" s="430"/>
      <c r="K191" s="224"/>
      <c r="L191" s="242">
        <f t="shared" si="172"/>
        <v>0</v>
      </c>
      <c r="M191" s="430"/>
      <c r="N191" s="224"/>
      <c r="O191" s="242">
        <f t="shared" si="173"/>
        <v>0</v>
      </c>
      <c r="P191" s="430"/>
      <c r="Q191" s="224"/>
      <c r="R191" s="242">
        <f t="shared" si="174"/>
        <v>0</v>
      </c>
      <c r="S191" s="430"/>
      <c r="T191" s="224">
        <f t="shared" si="175"/>
        <v>0</v>
      </c>
      <c r="U191" s="242">
        <f t="shared" si="176"/>
        <v>0</v>
      </c>
      <c r="V191" s="402"/>
      <c r="W191" s="79"/>
      <c r="X191" s="79"/>
      <c r="Y191" s="79"/>
      <c r="Z191" s="79"/>
      <c r="AA191" s="79"/>
      <c r="AB191" s="79"/>
      <c r="AL191" s="169">
        <f>IF(AU191=0,0,IFERROR(INDEX(RanglisteST3!K:K,MATCH(AU191,RanglisteST3!A:A,0)),0))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0</v>
      </c>
      <c r="BH191" s="169" t="str">
        <f t="shared" si="193"/>
        <v>EMAX 1</v>
      </c>
      <c r="BI191" s="168">
        <f t="shared" si="189"/>
        <v>2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0</v>
      </c>
      <c r="BM191" s="168">
        <f t="shared" si="192"/>
        <v>0</v>
      </c>
    </row>
    <row r="192" spans="1:65" ht="16.95" customHeight="1">
      <c r="A192" s="403" t="s">
        <v>2</v>
      </c>
      <c r="B192" s="58" t="str">
        <f>IF(C192=0,"",VLOOKUP(C192,Starter!$A$1:$D$196,2,FALSE))</f>
        <v>Heiming, Thalea</v>
      </c>
      <c r="C192" s="235">
        <v>38910</v>
      </c>
      <c r="D192" s="238">
        <f t="shared" si="169"/>
        <v>32</v>
      </c>
      <c r="E192" s="221">
        <v>135</v>
      </c>
      <c r="F192" s="240">
        <f t="shared" si="170"/>
        <v>167</v>
      </c>
      <c r="G192" s="428">
        <f>IF(SUM(F192:F194)+E205=0,0,IF(ABS(SUM(F192:F194))=E205,Spielorte!$A$30/2,IF(ABS(SUM(F192:F194))&gt;E205,Spielorte!$A$30,0)))</f>
        <v>1</v>
      </c>
      <c r="H192" s="221">
        <v>93</v>
      </c>
      <c r="I192" s="240">
        <f t="shared" si="171"/>
        <v>125</v>
      </c>
      <c r="J192" s="428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8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8">
        <f>IF(SUM(O192:O194)+N205=0,0,IF(ABS(SUM(O192:O194))=N205,Spielorte!$A$30/2,IF(ABS(SUM(O192:O194))&gt;N205,Spielorte!$A$30,0)))</f>
        <v>1</v>
      </c>
      <c r="Q192" s="221"/>
      <c r="R192" s="240">
        <f t="shared" si="174"/>
        <v>0</v>
      </c>
      <c r="S192" s="428">
        <f>IF(SUM(R192:R194)+Q205=0,0,IF(ABS(SUM(R192:R194))=Q205,Spielorte!$A$30/2,IF(ABS(SUM(R192:R194))&gt;Q205,Spielorte!$A$30,0)))</f>
        <v>1</v>
      </c>
      <c r="T192" s="221">
        <f t="shared" si="175"/>
        <v>228</v>
      </c>
      <c r="U192" s="240">
        <f t="shared" si="176"/>
        <v>292</v>
      </c>
      <c r="V192" s="400">
        <f>SUM(G192+J192+M192+P192+S192)</f>
        <v>3</v>
      </c>
      <c r="W192" s="79"/>
      <c r="X192" s="79"/>
      <c r="Y192" s="79"/>
      <c r="Z192" s="79"/>
      <c r="AA192" s="79"/>
      <c r="AB192" s="79"/>
      <c r="AL192" s="169">
        <f>IF(AU192=0,0,IFERROR(INDEX(RanglisteST3!K:K,MATCH(AU192,RanglisteST3!A:A,0)),0))</f>
        <v>120.32</v>
      </c>
      <c r="AM192" s="169">
        <f>IF(AU192=0,0,SUMIF(AU189:AU197,AU192,AV189:AV197))</f>
        <v>449</v>
      </c>
      <c r="AN192" s="169">
        <f>IF(AU192=0,0,SUMIF(AU189:AU197,AU192,AW189:AW197))</f>
        <v>4</v>
      </c>
      <c r="AO192" s="169">
        <f t="shared" si="177"/>
        <v>112.25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32</v>
      </c>
      <c r="AQ192" s="166"/>
      <c r="AR192" s="167"/>
      <c r="AS192" s="167"/>
      <c r="AT192" s="168"/>
      <c r="AU192" s="171">
        <f t="shared" si="178"/>
        <v>38910</v>
      </c>
      <c r="AV192" s="167">
        <f t="shared" si="179"/>
        <v>228</v>
      </c>
      <c r="AW192" s="169">
        <f t="shared" si="180"/>
        <v>2</v>
      </c>
      <c r="AX192" s="169">
        <f t="shared" si="181"/>
        <v>2</v>
      </c>
      <c r="AY192" s="169">
        <f t="shared" si="182"/>
        <v>135</v>
      </c>
      <c r="AZ192" s="169">
        <f t="shared" si="183"/>
        <v>93</v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135</v>
      </c>
      <c r="BG192" s="169">
        <f t="shared" si="188"/>
        <v>0</v>
      </c>
      <c r="BH192" s="169" t="str">
        <f t="shared" si="193"/>
        <v>EMAX 1</v>
      </c>
      <c r="BI192" s="168">
        <f t="shared" si="189"/>
        <v>2</v>
      </c>
      <c r="BJ192" s="169">
        <f t="shared" si="190"/>
        <v>228</v>
      </c>
      <c r="BK192" s="169">
        <f>IF(COUNTIF(AY192:BC192,"&gt;0")&lt;Spielorte!$A$23,0,AV192/Spielorte!$A$23)</f>
        <v>0</v>
      </c>
      <c r="BL192" s="169">
        <f t="shared" si="191"/>
        <v>0</v>
      </c>
      <c r="BM192" s="168">
        <f t="shared" si="192"/>
        <v>0</v>
      </c>
    </row>
    <row r="193" spans="1:65" ht="16.95" customHeight="1">
      <c r="A193" s="404"/>
      <c r="B193" s="58" t="str">
        <f>IF(C193=0,"",VLOOKUP(C193,Starter!$A$1:$D$196,2,FALSE))</f>
        <v>Hofer, Anja</v>
      </c>
      <c r="C193" s="233">
        <v>38890</v>
      </c>
      <c r="D193" s="239">
        <f t="shared" si="169"/>
        <v>54</v>
      </c>
      <c r="E193" s="222"/>
      <c r="F193" s="241">
        <f t="shared" si="170"/>
        <v>0</v>
      </c>
      <c r="G193" s="429"/>
      <c r="H193" s="222"/>
      <c r="I193" s="241">
        <f t="shared" si="171"/>
        <v>0</v>
      </c>
      <c r="J193" s="429"/>
      <c r="K193" s="222">
        <v>49</v>
      </c>
      <c r="L193" s="241">
        <f t="shared" si="172"/>
        <v>103</v>
      </c>
      <c r="M193" s="429"/>
      <c r="N193" s="222">
        <v>94</v>
      </c>
      <c r="O193" s="241">
        <f t="shared" si="173"/>
        <v>148</v>
      </c>
      <c r="P193" s="429"/>
      <c r="Q193" s="222">
        <v>114</v>
      </c>
      <c r="R193" s="241">
        <f t="shared" si="174"/>
        <v>168</v>
      </c>
      <c r="S193" s="429"/>
      <c r="T193" s="222">
        <f t="shared" si="175"/>
        <v>257</v>
      </c>
      <c r="U193" s="241">
        <f t="shared" si="176"/>
        <v>419</v>
      </c>
      <c r="V193" s="401"/>
      <c r="W193" s="79"/>
      <c r="X193" s="79"/>
      <c r="Y193" s="79"/>
      <c r="Z193" s="79"/>
      <c r="AA193" s="79"/>
      <c r="AB193" s="79"/>
      <c r="AL193" s="169">
        <f>IF(AU193=0,0,IFERROR(INDEX(RanglisteST3!K:K,MATCH(AU193,RanglisteST3!A:A,0)),0))</f>
        <v>92.94</v>
      </c>
      <c r="AM193" s="169">
        <f>IF(AU193=0,0,SUMIF(AU189:AU197,AU193,AV189:AV197))</f>
        <v>366</v>
      </c>
      <c r="AN193" s="169">
        <f>IF(AU193=0,0,SUMIF(AU189:AU197,AU193,AW189:AW197))</f>
        <v>4</v>
      </c>
      <c r="AO193" s="169">
        <f t="shared" si="177"/>
        <v>91.5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54</v>
      </c>
      <c r="AQ193" s="166"/>
      <c r="AR193" s="167"/>
      <c r="AS193" s="167"/>
      <c r="AT193" s="168"/>
      <c r="AU193" s="171">
        <f t="shared" si="178"/>
        <v>38890</v>
      </c>
      <c r="AV193" s="167">
        <f t="shared" si="179"/>
        <v>257</v>
      </c>
      <c r="AW193" s="169">
        <f t="shared" si="180"/>
        <v>3</v>
      </c>
      <c r="AX193" s="169">
        <f t="shared" si="181"/>
        <v>3</v>
      </c>
      <c r="AY193" s="169" t="str">
        <f t="shared" si="182"/>
        <v/>
      </c>
      <c r="AZ193" s="169" t="str">
        <f t="shared" si="183"/>
        <v/>
      </c>
      <c r="BA193" s="169">
        <f t="shared" si="184"/>
        <v>49</v>
      </c>
      <c r="BB193" s="169">
        <f t="shared" si="185"/>
        <v>94</v>
      </c>
      <c r="BC193" s="169">
        <f t="shared" si="186"/>
        <v>114</v>
      </c>
      <c r="BD193" s="170"/>
      <c r="BE193" s="168"/>
      <c r="BF193" s="169">
        <f t="shared" si="187"/>
        <v>114</v>
      </c>
      <c r="BG193" s="169">
        <f t="shared" si="188"/>
        <v>0</v>
      </c>
      <c r="BH193" s="169" t="str">
        <f t="shared" si="193"/>
        <v>EMAX 1</v>
      </c>
      <c r="BI193" s="168">
        <f t="shared" si="189"/>
        <v>2</v>
      </c>
      <c r="BJ193" s="169">
        <f t="shared" si="190"/>
        <v>257</v>
      </c>
      <c r="BK193" s="169">
        <f>IF(COUNTIF(AY193:BC193,"&gt;0")&lt;Spielorte!$A$23,0,AV193/Spielorte!$A$23)</f>
        <v>0</v>
      </c>
      <c r="BL193" s="169">
        <f t="shared" si="191"/>
        <v>0</v>
      </c>
      <c r="BM193" s="168">
        <f t="shared" si="192"/>
        <v>0</v>
      </c>
    </row>
    <row r="194" spans="1:65" ht="16.95" customHeight="1" thickBot="1">
      <c r="A194" s="405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30"/>
      <c r="H194" s="224"/>
      <c r="I194" s="242">
        <f t="shared" si="171"/>
        <v>0</v>
      </c>
      <c r="J194" s="430"/>
      <c r="K194" s="224"/>
      <c r="L194" s="242">
        <f t="shared" si="172"/>
        <v>0</v>
      </c>
      <c r="M194" s="430"/>
      <c r="N194" s="224"/>
      <c r="O194" s="242">
        <f t="shared" si="173"/>
        <v>0</v>
      </c>
      <c r="P194" s="430"/>
      <c r="Q194" s="224"/>
      <c r="R194" s="242">
        <f t="shared" si="174"/>
        <v>0</v>
      </c>
      <c r="S194" s="430"/>
      <c r="T194" s="224">
        <f t="shared" si="175"/>
        <v>0</v>
      </c>
      <c r="U194" s="242">
        <f t="shared" si="176"/>
        <v>0</v>
      </c>
      <c r="V194" s="402"/>
      <c r="W194" s="79"/>
      <c r="X194" s="79"/>
      <c r="Y194" s="79"/>
      <c r="Z194" s="79"/>
      <c r="AA194" s="79"/>
      <c r="AB194" s="79"/>
      <c r="AL194" s="169">
        <f>IF(AU194=0,0,IFERROR(INDEX(RanglisteST3!K:K,MATCH(AU194,RanglisteST3!A:A,0)),0))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0</v>
      </c>
      <c r="BH194" s="169" t="str">
        <f t="shared" si="193"/>
        <v>EMAX 1</v>
      </c>
      <c r="BI194" s="168">
        <f t="shared" si="189"/>
        <v>2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0</v>
      </c>
      <c r="BM194" s="168">
        <f t="shared" si="192"/>
        <v>0</v>
      </c>
    </row>
    <row r="195" spans="1:65" ht="16.95" customHeight="1">
      <c r="A195" s="403" t="s">
        <v>3</v>
      </c>
      <c r="B195" s="58" t="str">
        <f>IF(C195=0,"",VLOOKUP(C195,Starter!$A$1:$D$196,2,FALSE))</f>
        <v>Hofer, Anja</v>
      </c>
      <c r="C195" s="235">
        <v>38890</v>
      </c>
      <c r="D195" s="238">
        <f t="shared" si="169"/>
        <v>54</v>
      </c>
      <c r="E195" s="221">
        <v>109</v>
      </c>
      <c r="F195" s="240">
        <f t="shared" si="170"/>
        <v>163</v>
      </c>
      <c r="G195" s="428">
        <f>IF(SUM(F195:F197)+E206=0,0,IF(ABS(SUM(F195:F197))=E206,Spielorte!$A$30/2,IF(ABS(SUM(F195:F197))&gt;E206,Spielorte!$A$30,0)))</f>
        <v>1</v>
      </c>
      <c r="H195" s="221"/>
      <c r="I195" s="240">
        <f t="shared" si="171"/>
        <v>0</v>
      </c>
      <c r="J195" s="428">
        <f>IF(SUM(I195:I197)+H206=0,0,IF(ABS(SUM(I195:I197))=H206,Spielorte!$A$30/2,IF(ABS(SUM(I195:I197))&gt;H206,Spielorte!$A$30,0)))</f>
        <v>0</v>
      </c>
      <c r="K195" s="221"/>
      <c r="L195" s="240">
        <f t="shared" si="172"/>
        <v>0</v>
      </c>
      <c r="M195" s="428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8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8">
        <f>IF(SUM(R195:R197)+Q206=0,0,IF(ABS(SUM(R195:R197))=Q206,Spielorte!$A$30/2,IF(ABS(SUM(R195:R197))&gt;Q206,Spielorte!$A$30,0)))</f>
        <v>0</v>
      </c>
      <c r="T195" s="221">
        <f t="shared" si="175"/>
        <v>109</v>
      </c>
      <c r="U195" s="240">
        <f t="shared" si="176"/>
        <v>163</v>
      </c>
      <c r="V195" s="400">
        <f>SUM(G195+J195+M195+P195+S195)</f>
        <v>1</v>
      </c>
      <c r="W195" s="79"/>
      <c r="X195" s="79"/>
      <c r="Y195" s="79"/>
      <c r="Z195" s="79"/>
      <c r="AA195" s="79"/>
      <c r="AB195" s="79"/>
      <c r="AL195" s="169">
        <f>IF(AU195=0,0,IFERROR(INDEX(RanglisteST3!K:K,MATCH(AU195,RanglisteST3!A:A,0)),0))</f>
        <v>92.94</v>
      </c>
      <c r="AM195" s="169">
        <f>IF(AU195=0,0,SUMIF(AU189:AU197,AU195,AV189:AV197))</f>
        <v>366</v>
      </c>
      <c r="AN195" s="169">
        <f>IF(AU195=0,0,SUMIF(AU189:AU197,AU195,AW189:AW197))</f>
        <v>4</v>
      </c>
      <c r="AO195" s="169">
        <f t="shared" si="177"/>
        <v>91.5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54</v>
      </c>
      <c r="AQ195" s="166"/>
      <c r="AR195" s="167"/>
      <c r="AS195" s="167"/>
      <c r="AT195" s="168"/>
      <c r="AU195" s="171">
        <f t="shared" si="178"/>
        <v>38890</v>
      </c>
      <c r="AV195" s="167">
        <f t="shared" si="179"/>
        <v>109</v>
      </c>
      <c r="AW195" s="169">
        <f t="shared" si="180"/>
        <v>1</v>
      </c>
      <c r="AX195" s="169">
        <f t="shared" si="181"/>
        <v>1</v>
      </c>
      <c r="AY195" s="169">
        <f t="shared" si="182"/>
        <v>109</v>
      </c>
      <c r="AZ195" s="169" t="str">
        <f t="shared" si="183"/>
        <v/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109</v>
      </c>
      <c r="BG195" s="169">
        <f t="shared" si="188"/>
        <v>0</v>
      </c>
      <c r="BH195" s="169" t="str">
        <f t="shared" si="193"/>
        <v>EMAX 1</v>
      </c>
      <c r="BI195" s="168">
        <f t="shared" si="189"/>
        <v>2</v>
      </c>
      <c r="BJ195" s="169">
        <f t="shared" si="190"/>
        <v>109</v>
      </c>
      <c r="BK195" s="169">
        <f>IF(COUNTIF(AY195:BC195,"&gt;0")&lt;Spielorte!$A$23,0,AV195/Spielorte!$A$23)</f>
        <v>0</v>
      </c>
      <c r="BL195" s="169">
        <f t="shared" si="191"/>
        <v>0</v>
      </c>
      <c r="BM195" s="168">
        <f t="shared" si="192"/>
        <v>0</v>
      </c>
    </row>
    <row r="196" spans="1:65" ht="16.95" customHeight="1">
      <c r="A196" s="404"/>
      <c r="B196" s="58" t="str">
        <f>IF(C196=0,"",VLOOKUP(C196,Starter!$A$1:$D$196,2,FALSE))</f>
        <v>Vogt, Leonard</v>
      </c>
      <c r="C196" s="233">
        <v>38904</v>
      </c>
      <c r="D196" s="239">
        <f t="shared" si="169"/>
        <v>26</v>
      </c>
      <c r="E196" s="222"/>
      <c r="F196" s="241">
        <f t="shared" si="170"/>
        <v>0</v>
      </c>
      <c r="G196" s="429"/>
      <c r="H196" s="222">
        <v>112</v>
      </c>
      <c r="I196" s="241">
        <f t="shared" si="171"/>
        <v>138</v>
      </c>
      <c r="J196" s="429"/>
      <c r="K196" s="222">
        <v>122</v>
      </c>
      <c r="L196" s="241">
        <f t="shared" si="172"/>
        <v>148</v>
      </c>
      <c r="M196" s="429"/>
      <c r="N196" s="222">
        <v>112</v>
      </c>
      <c r="O196" s="241">
        <f t="shared" si="173"/>
        <v>138</v>
      </c>
      <c r="P196" s="429"/>
      <c r="Q196" s="222">
        <v>123</v>
      </c>
      <c r="R196" s="241">
        <f t="shared" si="174"/>
        <v>149</v>
      </c>
      <c r="S196" s="429"/>
      <c r="T196" s="222">
        <f t="shared" si="175"/>
        <v>469</v>
      </c>
      <c r="U196" s="241">
        <f t="shared" si="176"/>
        <v>573</v>
      </c>
      <c r="V196" s="401"/>
      <c r="W196" s="79"/>
      <c r="X196" s="79"/>
      <c r="Y196" s="79"/>
      <c r="Z196" s="79"/>
      <c r="AA196" s="79"/>
      <c r="AB196" s="79"/>
      <c r="AL196" s="169">
        <f>IF(AU196=0,0,IFERROR(INDEX(RanglisteST3!K:K,MATCH(AU196,RanglisteST3!A:A,0)),0))</f>
        <v>127.11</v>
      </c>
      <c r="AM196" s="169">
        <f>IF(AU196=0,0,SUMIF(AU189:AU197,AU196,AV189:AV197))</f>
        <v>469</v>
      </c>
      <c r="AN196" s="169">
        <f>IF(AU196=0,0,SUMIF(AU189:AU197,AU196,AW189:AW197))</f>
        <v>4</v>
      </c>
      <c r="AO196" s="169">
        <f t="shared" si="177"/>
        <v>117.25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26</v>
      </c>
      <c r="AQ196" s="166"/>
      <c r="AR196" s="167"/>
      <c r="AS196" s="167"/>
      <c r="AT196" s="168"/>
      <c r="AU196" s="171">
        <f t="shared" si="178"/>
        <v>38904</v>
      </c>
      <c r="AV196" s="167">
        <f t="shared" si="179"/>
        <v>469</v>
      </c>
      <c r="AW196" s="169">
        <f t="shared" si="180"/>
        <v>4</v>
      </c>
      <c r="AX196" s="169">
        <f t="shared" si="181"/>
        <v>4</v>
      </c>
      <c r="AY196" s="169" t="str">
        <f t="shared" si="182"/>
        <v/>
      </c>
      <c r="AZ196" s="169">
        <f t="shared" si="183"/>
        <v>112</v>
      </c>
      <c r="BA196" s="169">
        <f t="shared" si="184"/>
        <v>122</v>
      </c>
      <c r="BB196" s="169">
        <f t="shared" si="185"/>
        <v>112</v>
      </c>
      <c r="BC196" s="169">
        <f t="shared" si="186"/>
        <v>123</v>
      </c>
      <c r="BD196" s="170"/>
      <c r="BE196" s="168"/>
      <c r="BF196" s="169">
        <f t="shared" si="187"/>
        <v>123</v>
      </c>
      <c r="BG196" s="169">
        <f t="shared" si="188"/>
        <v>0</v>
      </c>
      <c r="BH196" s="169" t="str">
        <f t="shared" si="193"/>
        <v>EMAX 1</v>
      </c>
      <c r="BI196" s="168">
        <f t="shared" si="189"/>
        <v>2</v>
      </c>
      <c r="BJ196" s="169">
        <f t="shared" si="190"/>
        <v>469</v>
      </c>
      <c r="BK196" s="169">
        <f>IF(COUNTIF(AY196:BC196,"&gt;0")&lt;Spielorte!$A$23,0,AV196/Spielorte!$A$23)</f>
        <v>0</v>
      </c>
      <c r="BL196" s="169">
        <f t="shared" si="191"/>
        <v>0</v>
      </c>
      <c r="BM196" s="168">
        <f t="shared" si="192"/>
        <v>0</v>
      </c>
    </row>
    <row r="197" spans="1:65" ht="16.95" customHeight="1" thickBot="1">
      <c r="A197" s="405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30"/>
      <c r="H197" s="224"/>
      <c r="I197" s="242">
        <f t="shared" si="171"/>
        <v>0</v>
      </c>
      <c r="J197" s="430"/>
      <c r="K197" s="224"/>
      <c r="L197" s="242">
        <f t="shared" si="172"/>
        <v>0</v>
      </c>
      <c r="M197" s="430"/>
      <c r="N197" s="224"/>
      <c r="O197" s="242">
        <f t="shared" si="173"/>
        <v>0</v>
      </c>
      <c r="P197" s="430"/>
      <c r="Q197" s="224"/>
      <c r="R197" s="242">
        <f t="shared" si="174"/>
        <v>0</v>
      </c>
      <c r="S197" s="430"/>
      <c r="T197" s="224">
        <f t="shared" si="175"/>
        <v>0</v>
      </c>
      <c r="U197" s="242">
        <f t="shared" si="176"/>
        <v>0</v>
      </c>
      <c r="V197" s="402"/>
      <c r="W197" s="79"/>
      <c r="X197" s="79"/>
      <c r="Y197" s="79"/>
      <c r="Z197" s="79"/>
      <c r="AA197" s="79"/>
      <c r="AB197" s="79"/>
      <c r="AL197" s="169">
        <f>IF(AU197=0,0,IFERROR(INDEX(RanglisteST3!K:K,MATCH(AU197,RanglisteST3!A:A,0)),0))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0</v>
      </c>
      <c r="BH197" s="169" t="str">
        <f t="shared" si="193"/>
        <v>EMAX 1</v>
      </c>
      <c r="BI197" s="168">
        <f t="shared" si="189"/>
        <v>2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0</v>
      </c>
      <c r="BM197" s="168">
        <f t="shared" si="192"/>
        <v>0</v>
      </c>
    </row>
    <row r="198" spans="1:65" ht="27.75" customHeight="1" thickBot="1">
      <c r="B198" s="218" t="s">
        <v>1792</v>
      </c>
      <c r="C198" s="204"/>
      <c r="D198" s="219"/>
      <c r="E198" s="226">
        <f>ABS(SUM(E189:E191))+ABS(SUM(E192:E194))+ABS(SUM(E195:E197))</f>
        <v>402</v>
      </c>
      <c r="F198" s="225">
        <f>ABS(SUM(F189:F191))+ABS(SUM(F192:F194))+ABS(SUM(F195:F197))</f>
        <v>502</v>
      </c>
      <c r="G198" s="81">
        <f>IF(F198+E207=0,0,IF(F198=E207,Spielorte!$A$31/2,IF(F198&gt;E207,Spielorte!$A$31,0)))</f>
        <v>2</v>
      </c>
      <c r="H198" s="226">
        <f>ABS(SUM(H189:H191))+ABS(SUM(H192:H194))+ABS(SUM(H195:H197))</f>
        <v>362</v>
      </c>
      <c r="I198" s="225">
        <f>ABS(SUM(I189:I191))+ABS(SUM(I192:I194))+ABS(SUM(I195:I197))</f>
        <v>434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332</v>
      </c>
      <c r="L198" s="225">
        <f>ABS(SUM(L189:L191))+ABS(SUM(L192:L194))+ABS(SUM(L195:L197))</f>
        <v>426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320</v>
      </c>
      <c r="O198" s="225">
        <f>ABS(SUM(O189:O191))+ABS(SUM(O192:O194))+ABS(SUM(O195:O197))</f>
        <v>432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344</v>
      </c>
      <c r="R198" s="225">
        <f>ABS(SUM(R189:R191))+ABS(SUM(R192:R194))+ABS(SUM(R195:R197))</f>
        <v>456</v>
      </c>
      <c r="S198" s="81">
        <f>IF(R198+Q207=0,0,IF(R198=Q207,Spielorte!$A$31/2,IF(R198&gt;Q207,Spielorte!$A$31,0)))</f>
        <v>0</v>
      </c>
      <c r="T198" s="228">
        <f>SUM(E198+H198+K198+N198+Q198)</f>
        <v>1760</v>
      </c>
      <c r="U198" s="229">
        <f>SUM(F198+I198+L198+O198+R198)</f>
        <v>2250</v>
      </c>
      <c r="V198" s="12">
        <f>SUM(G198+J198+M198+P198+S198)</f>
        <v>2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>
      <c r="B199" s="230" t="s">
        <v>1803</v>
      </c>
      <c r="C199" s="1"/>
      <c r="D199" s="1"/>
      <c r="E199" s="1"/>
      <c r="F199" s="1"/>
      <c r="G199" s="61">
        <f>SUM(G189:G198)</f>
        <v>4.5</v>
      </c>
      <c r="H199" s="1"/>
      <c r="I199" s="1"/>
      <c r="J199" s="61">
        <f>SUM(J189:J198)</f>
        <v>1</v>
      </c>
      <c r="K199" s="1"/>
      <c r="L199" s="1"/>
      <c r="M199" s="61">
        <f>SUM(M189:M198)</f>
        <v>1</v>
      </c>
      <c r="N199" s="1"/>
      <c r="O199" s="1"/>
      <c r="P199" s="61">
        <f>SUM(P189:P198)</f>
        <v>1</v>
      </c>
      <c r="Q199" s="1"/>
      <c r="R199" s="1"/>
      <c r="S199" s="61">
        <f>SUM(S189:S198)</f>
        <v>1</v>
      </c>
      <c r="T199" s="1"/>
      <c r="U199" s="1"/>
      <c r="V199" s="61">
        <f>SUM(V189:V198)</f>
        <v>8.5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8.5</v>
      </c>
      <c r="AR199" s="167">
        <f>+T198</f>
        <v>1760</v>
      </c>
      <c r="AS199" s="167">
        <f>+U198</f>
        <v>2250</v>
      </c>
      <c r="AT199" s="168">
        <f>+B184</f>
        <v>8</v>
      </c>
      <c r="AW199" s="169">
        <f>SUM(AW183:AW198)</f>
        <v>15</v>
      </c>
      <c r="BD199" s="166">
        <f>+AS199/1000000+AQ199+AR199/1000000000000</f>
        <v>8.5022500017600002</v>
      </c>
      <c r="BE199" s="168">
        <f>RANK(BD199,BD:BD)</f>
        <v>6</v>
      </c>
      <c r="BI199" s="168"/>
      <c r="BM199" s="168"/>
    </row>
    <row r="200" spans="1:65" ht="11.25" customHeight="1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>
      <c r="B201" s="231" t="s">
        <v>1790</v>
      </c>
      <c r="C201" s="210"/>
      <c r="D201" s="42"/>
      <c r="E201" s="434">
        <f>VLOOKUP($B184,Schlüssel!$A$5:$EK$12,43)</f>
        <v>3</v>
      </c>
      <c r="F201" s="435"/>
      <c r="G201" s="436"/>
      <c r="H201" s="434">
        <f>VLOOKUP($B184,Schlüssel!$A$5:$EK$12,44)</f>
        <v>5</v>
      </c>
      <c r="I201" s="435"/>
      <c r="J201" s="436"/>
      <c r="K201" s="434">
        <f>VLOOKUP($B184,Schlüssel!$A$5:$EK$12,45)</f>
        <v>2</v>
      </c>
      <c r="L201" s="435"/>
      <c r="M201" s="436"/>
      <c r="N201" s="434">
        <f>VLOOKUP($B184,Schlüssel!$A$5:$EK$12,46)</f>
        <v>7</v>
      </c>
      <c r="O201" s="435"/>
      <c r="P201" s="436"/>
      <c r="Q201" s="434">
        <f>VLOOKUP($B184,Schlüssel!$A$5:$EK$12,47)</f>
        <v>1</v>
      </c>
      <c r="R201" s="435"/>
      <c r="S201" s="436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>
      <c r="B202" s="3" t="s">
        <v>9</v>
      </c>
      <c r="C202" s="1"/>
      <c r="D202" s="1"/>
      <c r="E202" s="395" t="str">
        <f>VLOOKUP(E201,Schlüssel!$A$5:$K$12,2)</f>
        <v>Highroller Rosenheim 2</v>
      </c>
      <c r="F202" s="438"/>
      <c r="G202" s="396"/>
      <c r="H202" s="395" t="str">
        <f>VLOOKUP(H201,Schlüssel!$A$5:$K$12,2)</f>
        <v>Berchtesgaden 1</v>
      </c>
      <c r="I202" s="438"/>
      <c r="J202" s="396"/>
      <c r="K202" s="395" t="str">
        <f>VLOOKUP(K201,Schlüssel!$A$5:$K$12,2)</f>
        <v>Highroller Rosenheim 1</v>
      </c>
      <c r="L202" s="438"/>
      <c r="M202" s="396"/>
      <c r="N202" s="395" t="str">
        <f>VLOOKUP(N201,Schlüssel!$A$5:$K$12,2)</f>
        <v>BK München 1</v>
      </c>
      <c r="O202" s="438"/>
      <c r="P202" s="396"/>
      <c r="Q202" s="395" t="str">
        <f>VLOOKUP(Q201,Schlüssel!$A$5:$K$12,2)</f>
        <v>Bad Tölz 1</v>
      </c>
      <c r="R202" s="438"/>
      <c r="S202" s="396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" customHeight="1">
      <c r="B204" s="417" t="s">
        <v>2275</v>
      </c>
      <c r="C204" s="418"/>
      <c r="D204" s="419"/>
      <c r="E204" s="431">
        <f>ABS(INDEX(F:F,MATCH(E201,$B:$B,0)+5)+INDEX(F:F,MATCH(E201,$B:$B,0)+6)+INDEX(F:F,MATCH(E201,$B:$B,0)+7))</f>
        <v>172</v>
      </c>
      <c r="F204" s="432"/>
      <c r="G204" s="433"/>
      <c r="H204" s="431">
        <f>ABS(INDEX(I:I,MATCH(H201,$B:$B,0)+5)+INDEX(I:I,MATCH(H201,$B:$B,0)+6)+INDEX(I:I,MATCH(H201,$B:$B,0)+7))</f>
        <v>154</v>
      </c>
      <c r="I204" s="432"/>
      <c r="J204" s="433"/>
      <c r="K204" s="431">
        <f>ABS(INDEX(L:L,MATCH(K201,$B:$B,0)+5)+INDEX(L:L,MATCH(K201,$B:$B,0)+6)+INDEX(L:L,MATCH(K201,$B:$B,0)+7))</f>
        <v>168</v>
      </c>
      <c r="L204" s="432"/>
      <c r="M204" s="433"/>
      <c r="N204" s="431">
        <f>ABS(INDEX(O:O,MATCH(N201,$B:$B,0)+5)+INDEX(O:O,MATCH(N201,$B:$B,0)+6)+INDEX(O:O,MATCH(N201,$B:$B,0)+7))</f>
        <v>172</v>
      </c>
      <c r="O204" s="432"/>
      <c r="P204" s="433"/>
      <c r="Q204" s="431">
        <f>ABS(INDEX(R:R,MATCH(Q201,$B:$B,0)+5)+INDEX(R:R,MATCH(Q201,$B:$B,0)+6)+INDEX(R:R,MATCH(Q201,$B:$B,0)+7))</f>
        <v>200</v>
      </c>
      <c r="R204" s="432"/>
      <c r="S204" s="433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" customHeight="1">
      <c r="B205" s="417" t="s">
        <v>2276</v>
      </c>
      <c r="C205" s="418"/>
      <c r="D205" s="419"/>
      <c r="E205" s="424">
        <f>ABS(INDEX(F:F,MATCH(E201,$B:$B,0)+8)+INDEX(F:F,MATCH(E201,$B:$B,0)+9)+INDEX(F:F,MATCH(E201,$B:$B,0)+10))</f>
        <v>153</v>
      </c>
      <c r="F205" s="425"/>
      <c r="G205" s="426"/>
      <c r="H205" s="424">
        <f>ABS(INDEX(I:I,MATCH(H201,$B:$B,0)+8)+INDEX(I:I,MATCH(H201,$B:$B,0)+9)+INDEX(I:I,MATCH(H201,$B:$B,0)+10))</f>
        <v>156</v>
      </c>
      <c r="I205" s="425"/>
      <c r="J205" s="426"/>
      <c r="K205" s="424">
        <f>ABS(INDEX(L:L,MATCH(K201,$B:$B,0)+8)+INDEX(L:L,MATCH(K201,$B:$B,0)+9)+INDEX(L:L,MATCH(K201,$B:$B,0)+10))</f>
        <v>164</v>
      </c>
      <c r="L205" s="425"/>
      <c r="M205" s="426"/>
      <c r="N205" s="424">
        <f>ABS(INDEX(O:O,MATCH(N201,$B:$B,0)+8)+INDEX(O:O,MATCH(N201,$B:$B,0)+9)+INDEX(O:O,MATCH(N201,$B:$B,0)+10))</f>
        <v>146</v>
      </c>
      <c r="O205" s="425"/>
      <c r="P205" s="426"/>
      <c r="Q205" s="424">
        <f>ABS(INDEX(R:R,MATCH(Q201,$B:$B,0)+8)+INDEX(R:R,MATCH(Q201,$B:$B,0)+9)+INDEX(R:R,MATCH(Q201,$B:$B,0)+10))</f>
        <v>161</v>
      </c>
      <c r="R205" s="425"/>
      <c r="S205" s="426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" customHeight="1">
      <c r="B206" s="417" t="s">
        <v>2277</v>
      </c>
      <c r="C206" s="418"/>
      <c r="D206" s="419"/>
      <c r="E206" s="424">
        <f>ABS(INDEX(F:F,MATCH(E201,$B:$B,0)+11)+INDEX(F:F,MATCH(E201,$B:$B,0)+12)+INDEX(F:F,MATCH(E201,$B:$B,0)+13))</f>
        <v>154</v>
      </c>
      <c r="F206" s="425"/>
      <c r="G206" s="426"/>
      <c r="H206" s="424">
        <f>ABS(INDEX(I:I,MATCH(H201,$B:$B,0)+11)+INDEX(I:I,MATCH(H201,$B:$B,0)+12)+INDEX(I:I,MATCH(H201,$B:$B,0)+13))</f>
        <v>142</v>
      </c>
      <c r="I206" s="425"/>
      <c r="J206" s="426"/>
      <c r="K206" s="424">
        <f>ABS(INDEX(L:L,MATCH(K201,$B:$B,0)+11)+INDEX(L:L,MATCH(K201,$B:$B,0)+12)+INDEX(L:L,MATCH(K201,$B:$B,0)+13))</f>
        <v>160</v>
      </c>
      <c r="L206" s="425"/>
      <c r="M206" s="426"/>
      <c r="N206" s="424">
        <f>ABS(INDEX(O:O,MATCH(N201,$B:$B,0)+11)+INDEX(O:O,MATCH(N201,$B:$B,0)+12)+INDEX(O:O,MATCH(N201,$B:$B,0)+13))</f>
        <v>165</v>
      </c>
      <c r="O206" s="425"/>
      <c r="P206" s="426"/>
      <c r="Q206" s="424">
        <f>ABS(INDEX(R:R,MATCH(Q201,$B:$B,0)+11)+INDEX(R:R,MATCH(Q201,$B:$B,0)+12)+INDEX(R:R,MATCH(Q201,$B:$B,0)+13))</f>
        <v>177</v>
      </c>
      <c r="R206" s="425"/>
      <c r="S206" s="426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" customHeight="1">
      <c r="B207" s="420" t="s">
        <v>2278</v>
      </c>
      <c r="C207" s="421"/>
      <c r="D207" s="422"/>
      <c r="E207" s="407">
        <f>SUM(E204:E206)</f>
        <v>479</v>
      </c>
      <c r="F207" s="423"/>
      <c r="G207" s="408"/>
      <c r="H207" s="407">
        <f>SUM(H204:H206)</f>
        <v>452</v>
      </c>
      <c r="I207" s="423"/>
      <c r="J207" s="408"/>
      <c r="K207" s="407">
        <f>SUM(K204:K206)</f>
        <v>492</v>
      </c>
      <c r="L207" s="423"/>
      <c r="M207" s="408"/>
      <c r="N207" s="407">
        <f>SUM(N204:N206)</f>
        <v>483</v>
      </c>
      <c r="O207" s="423"/>
      <c r="P207" s="408"/>
      <c r="Q207" s="407">
        <f>SUM(Q204:Q206)</f>
        <v>538</v>
      </c>
      <c r="R207" s="423"/>
      <c r="S207" s="408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sheet="1" objects="1" scenarios="1" formatCells="0" formatColumns="0" formatRows="0"/>
  <mergeCells count="528">
    <mergeCell ref="V143:V145"/>
    <mergeCell ref="E129:G129"/>
    <mergeCell ref="H129:J129"/>
    <mergeCell ref="K129:M129"/>
    <mergeCell ref="N129:P129"/>
    <mergeCell ref="Q129:S129"/>
    <mergeCell ref="E135:G135"/>
    <mergeCell ref="H135:J135"/>
    <mergeCell ref="K135:M135"/>
    <mergeCell ref="N135:P135"/>
    <mergeCell ref="Q135:S135"/>
    <mergeCell ref="T135:V135"/>
    <mergeCell ref="G143:G145"/>
    <mergeCell ref="J143:J145"/>
    <mergeCell ref="M143:M145"/>
    <mergeCell ref="P143:P145"/>
    <mergeCell ref="S143:S145"/>
    <mergeCell ref="V137:V139"/>
    <mergeCell ref="G140:G142"/>
    <mergeCell ref="J140:J142"/>
    <mergeCell ref="M140:M142"/>
    <mergeCell ref="S140:S142"/>
    <mergeCell ref="V140:V142"/>
    <mergeCell ref="A140:A142"/>
    <mergeCell ref="A143:A145"/>
    <mergeCell ref="P117:P119"/>
    <mergeCell ref="G137:G139"/>
    <mergeCell ref="J137:J139"/>
    <mergeCell ref="M137:M139"/>
    <mergeCell ref="P137:P139"/>
    <mergeCell ref="A137:A139"/>
    <mergeCell ref="S137:S139"/>
    <mergeCell ref="S117:S119"/>
    <mergeCell ref="Q128:S128"/>
    <mergeCell ref="G131:R131"/>
    <mergeCell ref="G132:O132"/>
    <mergeCell ref="Q132:R132"/>
    <mergeCell ref="B133:G133"/>
    <mergeCell ref="E126:G126"/>
    <mergeCell ref="H126:J126"/>
    <mergeCell ref="K126:M126"/>
    <mergeCell ref="N126:P126"/>
    <mergeCell ref="Q126:S126"/>
    <mergeCell ref="E127:G127"/>
    <mergeCell ref="H127:J127"/>
    <mergeCell ref="K127:M127"/>
    <mergeCell ref="N127:P127"/>
    <mergeCell ref="A117:A119"/>
    <mergeCell ref="E123:G123"/>
    <mergeCell ref="H123:J123"/>
    <mergeCell ref="K123:M123"/>
    <mergeCell ref="N123:P123"/>
    <mergeCell ref="Q123:S123"/>
    <mergeCell ref="J117:J119"/>
    <mergeCell ref="M117:M119"/>
    <mergeCell ref="E124:G124"/>
    <mergeCell ref="H124:J124"/>
    <mergeCell ref="G117:G119"/>
    <mergeCell ref="K124:M124"/>
    <mergeCell ref="A111:A113"/>
    <mergeCell ref="A114:A116"/>
    <mergeCell ref="V111:V113"/>
    <mergeCell ref="G114:G116"/>
    <mergeCell ref="J114:J116"/>
    <mergeCell ref="M114:M116"/>
    <mergeCell ref="P114:P116"/>
    <mergeCell ref="S114:S116"/>
    <mergeCell ref="V114:V116"/>
    <mergeCell ref="V88:V90"/>
    <mergeCell ref="S91:S93"/>
    <mergeCell ref="V91:V93"/>
    <mergeCell ref="E98:G98"/>
    <mergeCell ref="H98:J98"/>
    <mergeCell ref="K98:M98"/>
    <mergeCell ref="N98:P98"/>
    <mergeCell ref="Q98:S98"/>
    <mergeCell ref="G111:G113"/>
    <mergeCell ref="J111:J113"/>
    <mergeCell ref="M111:M113"/>
    <mergeCell ref="P111:P113"/>
    <mergeCell ref="S111:S113"/>
    <mergeCell ref="N103:P103"/>
    <mergeCell ref="E109:G109"/>
    <mergeCell ref="H109:J109"/>
    <mergeCell ref="K109:M109"/>
    <mergeCell ref="N109:P109"/>
    <mergeCell ref="Q109:S109"/>
    <mergeCell ref="S105:V105"/>
    <mergeCell ref="T109:V109"/>
    <mergeCell ref="E102:G102"/>
    <mergeCell ref="H102:J102"/>
    <mergeCell ref="K102:M102"/>
    <mergeCell ref="A88:A90"/>
    <mergeCell ref="A91:A93"/>
    <mergeCell ref="G88:G90"/>
    <mergeCell ref="P88:P90"/>
    <mergeCell ref="G91:G93"/>
    <mergeCell ref="J91:J93"/>
    <mergeCell ref="M91:M93"/>
    <mergeCell ref="P91:P93"/>
    <mergeCell ref="S88:S90"/>
    <mergeCell ref="V85:V87"/>
    <mergeCell ref="B74:D74"/>
    <mergeCell ref="B75:D75"/>
    <mergeCell ref="B76:D76"/>
    <mergeCell ref="B77:D77"/>
    <mergeCell ref="S79:V79"/>
    <mergeCell ref="E77:G77"/>
    <mergeCell ref="A85:A87"/>
    <mergeCell ref="N77:P77"/>
    <mergeCell ref="Q77:S77"/>
    <mergeCell ref="K75:M75"/>
    <mergeCell ref="N75:P75"/>
    <mergeCell ref="Q75:S75"/>
    <mergeCell ref="J85:J87"/>
    <mergeCell ref="M85:M87"/>
    <mergeCell ref="P85:P87"/>
    <mergeCell ref="B81:G81"/>
    <mergeCell ref="G80:O80"/>
    <mergeCell ref="Q80:R80"/>
    <mergeCell ref="M65:M67"/>
    <mergeCell ref="P65:P67"/>
    <mergeCell ref="A59:A61"/>
    <mergeCell ref="A62:A64"/>
    <mergeCell ref="E72:G72"/>
    <mergeCell ref="H72:J72"/>
    <mergeCell ref="A65:A67"/>
    <mergeCell ref="E71:G71"/>
    <mergeCell ref="H71:J71"/>
    <mergeCell ref="K72:M72"/>
    <mergeCell ref="N72:P72"/>
    <mergeCell ref="M62:M64"/>
    <mergeCell ref="K71:M71"/>
    <mergeCell ref="N71:P71"/>
    <mergeCell ref="G62:G64"/>
    <mergeCell ref="J62:J64"/>
    <mergeCell ref="B51:D51"/>
    <mergeCell ref="T57:V57"/>
    <mergeCell ref="G54:O54"/>
    <mergeCell ref="Q54:R54"/>
    <mergeCell ref="B55:G55"/>
    <mergeCell ref="H51:J51"/>
    <mergeCell ref="K51:M51"/>
    <mergeCell ref="N51:P51"/>
    <mergeCell ref="Q51:S51"/>
    <mergeCell ref="Q57:S57"/>
    <mergeCell ref="S27:V27"/>
    <mergeCell ref="E31:G31"/>
    <mergeCell ref="A33:A35"/>
    <mergeCell ref="A36:A38"/>
    <mergeCell ref="A39:A41"/>
    <mergeCell ref="B48:D48"/>
    <mergeCell ref="B49:D49"/>
    <mergeCell ref="B50:D50"/>
    <mergeCell ref="E46:G46"/>
    <mergeCell ref="H46:J46"/>
    <mergeCell ref="K46:M46"/>
    <mergeCell ref="N46:P46"/>
    <mergeCell ref="V39:V41"/>
    <mergeCell ref="E49:G49"/>
    <mergeCell ref="H49:J49"/>
    <mergeCell ref="K49:M49"/>
    <mergeCell ref="N49:P49"/>
    <mergeCell ref="Q49:S49"/>
    <mergeCell ref="Q46:S46"/>
    <mergeCell ref="Q48:S48"/>
    <mergeCell ref="E45:G45"/>
    <mergeCell ref="H45:J45"/>
    <mergeCell ref="Q45:S45"/>
    <mergeCell ref="P39:P41"/>
    <mergeCell ref="N5:P5"/>
    <mergeCell ref="Q5:S5"/>
    <mergeCell ref="S131:V131"/>
    <mergeCell ref="S1:V1"/>
    <mergeCell ref="A7:A9"/>
    <mergeCell ref="G36:G38"/>
    <mergeCell ref="J36:J38"/>
    <mergeCell ref="M36:M38"/>
    <mergeCell ref="P36:P38"/>
    <mergeCell ref="S36:S38"/>
    <mergeCell ref="V36:V38"/>
    <mergeCell ref="T5:V5"/>
    <mergeCell ref="E19:G19"/>
    <mergeCell ref="H19:J19"/>
    <mergeCell ref="K19:M19"/>
    <mergeCell ref="E5:G5"/>
    <mergeCell ref="H5:J5"/>
    <mergeCell ref="K5:M5"/>
    <mergeCell ref="A10:A12"/>
    <mergeCell ref="A13:A15"/>
    <mergeCell ref="V33:V35"/>
    <mergeCell ref="B22:D22"/>
    <mergeCell ref="E20:G20"/>
    <mergeCell ref="H20:J20"/>
    <mergeCell ref="N19:P19"/>
    <mergeCell ref="Q19:S19"/>
    <mergeCell ref="V10:V12"/>
    <mergeCell ref="S13:S15"/>
    <mergeCell ref="V13:V15"/>
    <mergeCell ref="E22:G22"/>
    <mergeCell ref="H22:J22"/>
    <mergeCell ref="K22:M22"/>
    <mergeCell ref="N22:P22"/>
    <mergeCell ref="Q22:S22"/>
    <mergeCell ref="S10:S12"/>
    <mergeCell ref="G13:G15"/>
    <mergeCell ref="J13:J15"/>
    <mergeCell ref="M13:M15"/>
    <mergeCell ref="P13:P15"/>
    <mergeCell ref="K20:M20"/>
    <mergeCell ref="N20:P20"/>
    <mergeCell ref="Q20:S20"/>
    <mergeCell ref="E23:G23"/>
    <mergeCell ref="H23:J23"/>
    <mergeCell ref="K23:M23"/>
    <mergeCell ref="N23:P23"/>
    <mergeCell ref="Q23:S23"/>
    <mergeCell ref="G28:O28"/>
    <mergeCell ref="T31:V31"/>
    <mergeCell ref="H31:J31"/>
    <mergeCell ref="K31:M31"/>
    <mergeCell ref="N31:P31"/>
    <mergeCell ref="Q31:S31"/>
    <mergeCell ref="Q28:R28"/>
    <mergeCell ref="B29:G29"/>
    <mergeCell ref="E24:G24"/>
    <mergeCell ref="H24:J24"/>
    <mergeCell ref="K24:M24"/>
    <mergeCell ref="N24:P24"/>
    <mergeCell ref="Q24:S24"/>
    <mergeCell ref="N25:P25"/>
    <mergeCell ref="Q25:S25"/>
    <mergeCell ref="B23:D23"/>
    <mergeCell ref="B24:D24"/>
    <mergeCell ref="B25:D25"/>
    <mergeCell ref="G27:R27"/>
    <mergeCell ref="S59:S61"/>
    <mergeCell ref="N48:P48"/>
    <mergeCell ref="K45:M45"/>
    <mergeCell ref="N45:P45"/>
    <mergeCell ref="E50:G50"/>
    <mergeCell ref="H50:J50"/>
    <mergeCell ref="K50:M50"/>
    <mergeCell ref="S53:V53"/>
    <mergeCell ref="E51:G51"/>
    <mergeCell ref="G53:R53"/>
    <mergeCell ref="H48:J48"/>
    <mergeCell ref="V59:V61"/>
    <mergeCell ref="J39:J41"/>
    <mergeCell ref="M39:M41"/>
    <mergeCell ref="G59:G61"/>
    <mergeCell ref="J59:J61"/>
    <mergeCell ref="M59:M61"/>
    <mergeCell ref="P59:P61"/>
    <mergeCell ref="E57:G57"/>
    <mergeCell ref="H57:J57"/>
    <mergeCell ref="K57:M57"/>
    <mergeCell ref="N57:P57"/>
    <mergeCell ref="S62:S64"/>
    <mergeCell ref="V62:V64"/>
    <mergeCell ref="S65:S67"/>
    <mergeCell ref="V65:V67"/>
    <mergeCell ref="G79:R79"/>
    <mergeCell ref="E76:G76"/>
    <mergeCell ref="H76:J76"/>
    <mergeCell ref="K76:M76"/>
    <mergeCell ref="N76:P76"/>
    <mergeCell ref="Q76:S76"/>
    <mergeCell ref="E74:G74"/>
    <mergeCell ref="H74:J74"/>
    <mergeCell ref="K74:M74"/>
    <mergeCell ref="N74:P74"/>
    <mergeCell ref="Q74:S74"/>
    <mergeCell ref="E75:G75"/>
    <mergeCell ref="H75:J75"/>
    <mergeCell ref="Q71:S71"/>
    <mergeCell ref="K77:M77"/>
    <mergeCell ref="H77:J77"/>
    <mergeCell ref="Q72:S72"/>
    <mergeCell ref="P62:P64"/>
    <mergeCell ref="G65:G67"/>
    <mergeCell ref="J65:J67"/>
    <mergeCell ref="H128:J128"/>
    <mergeCell ref="V7:V9"/>
    <mergeCell ref="G10:G12"/>
    <mergeCell ref="J10:J12"/>
    <mergeCell ref="M10:M12"/>
    <mergeCell ref="P10:P12"/>
    <mergeCell ref="E100:G100"/>
    <mergeCell ref="H100:J100"/>
    <mergeCell ref="K100:M100"/>
    <mergeCell ref="N100:P100"/>
    <mergeCell ref="Q100:S100"/>
    <mergeCell ref="T83:V83"/>
    <mergeCell ref="E97:G97"/>
    <mergeCell ref="H97:J97"/>
    <mergeCell ref="K97:M97"/>
    <mergeCell ref="N97:P97"/>
    <mergeCell ref="Q97:S97"/>
    <mergeCell ref="G85:G87"/>
    <mergeCell ref="S7:S9"/>
    <mergeCell ref="V117:V119"/>
    <mergeCell ref="N124:P124"/>
    <mergeCell ref="Q124:S124"/>
    <mergeCell ref="Q127:S127"/>
    <mergeCell ref="K48:M48"/>
    <mergeCell ref="K155:M155"/>
    <mergeCell ref="N155:P155"/>
    <mergeCell ref="Q155:S155"/>
    <mergeCell ref="E154:G154"/>
    <mergeCell ref="H154:J154"/>
    <mergeCell ref="K154:M154"/>
    <mergeCell ref="N154:P154"/>
    <mergeCell ref="Q154:S154"/>
    <mergeCell ref="E149:G149"/>
    <mergeCell ref="H149:J149"/>
    <mergeCell ref="K149:M149"/>
    <mergeCell ref="N149:P149"/>
    <mergeCell ref="Q149:S149"/>
    <mergeCell ref="G1:R1"/>
    <mergeCell ref="G2:O2"/>
    <mergeCell ref="Q2:R2"/>
    <mergeCell ref="B3:G3"/>
    <mergeCell ref="E25:G25"/>
    <mergeCell ref="H25:J25"/>
    <mergeCell ref="K25:M25"/>
    <mergeCell ref="P140:P142"/>
    <mergeCell ref="G7:G9"/>
    <mergeCell ref="J7:J9"/>
    <mergeCell ref="M7:M9"/>
    <mergeCell ref="P7:P9"/>
    <mergeCell ref="K128:M128"/>
    <mergeCell ref="N128:P128"/>
    <mergeCell ref="N50:P50"/>
    <mergeCell ref="Q50:S50"/>
    <mergeCell ref="G33:G35"/>
    <mergeCell ref="J33:J35"/>
    <mergeCell ref="E48:G48"/>
    <mergeCell ref="G105:R105"/>
    <mergeCell ref="G106:O106"/>
    <mergeCell ref="Q106:R106"/>
    <mergeCell ref="S39:S41"/>
    <mergeCell ref="G39:G41"/>
    <mergeCell ref="M33:M35"/>
    <mergeCell ref="P33:P35"/>
    <mergeCell ref="S33:S35"/>
    <mergeCell ref="B155:D155"/>
    <mergeCell ref="B126:D126"/>
    <mergeCell ref="B127:D127"/>
    <mergeCell ref="B128:D128"/>
    <mergeCell ref="B129:D129"/>
    <mergeCell ref="B100:D100"/>
    <mergeCell ref="B101:D101"/>
    <mergeCell ref="B102:D102"/>
    <mergeCell ref="B103:D103"/>
    <mergeCell ref="B107:G107"/>
    <mergeCell ref="E155:G155"/>
    <mergeCell ref="B152:D152"/>
    <mergeCell ref="B153:D153"/>
    <mergeCell ref="B154:D154"/>
    <mergeCell ref="E152:G152"/>
    <mergeCell ref="E103:G103"/>
    <mergeCell ref="E128:G128"/>
    <mergeCell ref="Q103:S103"/>
    <mergeCell ref="E101:G101"/>
    <mergeCell ref="H101:J101"/>
    <mergeCell ref="K101:M101"/>
    <mergeCell ref="N101:P101"/>
    <mergeCell ref="Q101:S101"/>
    <mergeCell ref="E83:G83"/>
    <mergeCell ref="H83:J83"/>
    <mergeCell ref="K83:M83"/>
    <mergeCell ref="N83:P83"/>
    <mergeCell ref="Q83:S83"/>
    <mergeCell ref="S85:S87"/>
    <mergeCell ref="J88:J90"/>
    <mergeCell ref="M88:M90"/>
    <mergeCell ref="N102:P102"/>
    <mergeCell ref="Q102:S102"/>
    <mergeCell ref="H103:J103"/>
    <mergeCell ref="K103:M103"/>
    <mergeCell ref="G157:R157"/>
    <mergeCell ref="S157:V157"/>
    <mergeCell ref="G158:O158"/>
    <mergeCell ref="Q158:R158"/>
    <mergeCell ref="B159:G159"/>
    <mergeCell ref="E150:G150"/>
    <mergeCell ref="H150:J150"/>
    <mergeCell ref="K150:M150"/>
    <mergeCell ref="N150:P150"/>
    <mergeCell ref="Q150:S150"/>
    <mergeCell ref="K152:M152"/>
    <mergeCell ref="N152:P152"/>
    <mergeCell ref="Q152:S152"/>
    <mergeCell ref="E153:G153"/>
    <mergeCell ref="H153:J153"/>
    <mergeCell ref="K153:M153"/>
    <mergeCell ref="N153:P153"/>
    <mergeCell ref="Q153:S153"/>
    <mergeCell ref="H152:J152"/>
    <mergeCell ref="H155:J155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B207:D207"/>
    <mergeCell ref="E207:G207"/>
    <mergeCell ref="H207:J207"/>
    <mergeCell ref="K207:M207"/>
    <mergeCell ref="N207:P207"/>
    <mergeCell ref="Q207:S207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</mergeCells>
  <conditionalFormatting sqref="D7:D15">
    <cfRule type="cellIs" dxfId="322" priority="72" stopIfTrue="1" operator="equal">
      <formula>0</formula>
    </cfRule>
  </conditionalFormatting>
  <conditionalFormatting sqref="D33:D41">
    <cfRule type="cellIs" dxfId="321" priority="63" stopIfTrue="1" operator="equal">
      <formula>0</formula>
    </cfRule>
  </conditionalFormatting>
  <conditionalFormatting sqref="D59:D67">
    <cfRule type="cellIs" dxfId="320" priority="54" stopIfTrue="1" operator="equal">
      <formula>0</formula>
    </cfRule>
  </conditionalFormatting>
  <conditionalFormatting sqref="D85:D93">
    <cfRule type="cellIs" dxfId="319" priority="45" stopIfTrue="1" operator="equal">
      <formula>0</formula>
    </cfRule>
  </conditionalFormatting>
  <conditionalFormatting sqref="D111:D119">
    <cfRule type="cellIs" dxfId="318" priority="36" stopIfTrue="1" operator="equal">
      <formula>0</formula>
    </cfRule>
  </conditionalFormatting>
  <conditionalFormatting sqref="D137:D145">
    <cfRule type="cellIs" dxfId="317" priority="27" stopIfTrue="1" operator="equal">
      <formula>0</formula>
    </cfRule>
  </conditionalFormatting>
  <conditionalFormatting sqref="D163:D171">
    <cfRule type="cellIs" dxfId="316" priority="18" stopIfTrue="1" operator="equal">
      <formula>0</formula>
    </cfRule>
  </conditionalFormatting>
  <conditionalFormatting sqref="D189:D197">
    <cfRule type="cellIs" dxfId="315" priority="9" stopIfTrue="1" operator="equal">
      <formula>0</formula>
    </cfRule>
  </conditionalFormatting>
  <conditionalFormatting sqref="F7:F15">
    <cfRule type="cellIs" dxfId="314" priority="71" stopIfTrue="1" operator="equal">
      <formula>0</formula>
    </cfRule>
  </conditionalFormatting>
  <conditionalFormatting sqref="F33:F41">
    <cfRule type="cellIs" dxfId="313" priority="62" stopIfTrue="1" operator="equal">
      <formula>0</formula>
    </cfRule>
  </conditionalFormatting>
  <conditionalFormatting sqref="F59:F67">
    <cfRule type="cellIs" dxfId="312" priority="53" stopIfTrue="1" operator="equal">
      <formula>0</formula>
    </cfRule>
  </conditionalFormatting>
  <conditionalFormatting sqref="F85:F93">
    <cfRule type="cellIs" dxfId="311" priority="44" stopIfTrue="1" operator="equal">
      <formula>0</formula>
    </cfRule>
  </conditionalFormatting>
  <conditionalFormatting sqref="F111:F119">
    <cfRule type="cellIs" dxfId="310" priority="35" stopIfTrue="1" operator="equal">
      <formula>0</formula>
    </cfRule>
  </conditionalFormatting>
  <conditionalFormatting sqref="F137:F145">
    <cfRule type="cellIs" dxfId="309" priority="26" stopIfTrue="1" operator="equal">
      <formula>0</formula>
    </cfRule>
  </conditionalFormatting>
  <conditionalFormatting sqref="F163:F171">
    <cfRule type="cellIs" dxfId="308" priority="17" stopIfTrue="1" operator="equal">
      <formula>0</formula>
    </cfRule>
  </conditionalFormatting>
  <conditionalFormatting sqref="F189:F197">
    <cfRule type="cellIs" dxfId="307" priority="8" stopIfTrue="1" operator="equal">
      <formula>0</formula>
    </cfRule>
  </conditionalFormatting>
  <conditionalFormatting sqref="I7:I15">
    <cfRule type="cellIs" dxfId="306" priority="70" stopIfTrue="1" operator="equal">
      <formula>0</formula>
    </cfRule>
  </conditionalFormatting>
  <conditionalFormatting sqref="I33:I41">
    <cfRule type="cellIs" dxfId="305" priority="61" stopIfTrue="1" operator="equal">
      <formula>0</formula>
    </cfRule>
  </conditionalFormatting>
  <conditionalFormatting sqref="I59:I67">
    <cfRule type="cellIs" dxfId="304" priority="52" stopIfTrue="1" operator="equal">
      <formula>0</formula>
    </cfRule>
  </conditionalFormatting>
  <conditionalFormatting sqref="I85:I93">
    <cfRule type="cellIs" dxfId="303" priority="43" stopIfTrue="1" operator="equal">
      <formula>0</formula>
    </cfRule>
  </conditionalFormatting>
  <conditionalFormatting sqref="I111:I119">
    <cfRule type="cellIs" dxfId="302" priority="34" stopIfTrue="1" operator="equal">
      <formula>0</formula>
    </cfRule>
  </conditionalFormatting>
  <conditionalFormatting sqref="I137:I145">
    <cfRule type="cellIs" dxfId="301" priority="25" stopIfTrue="1" operator="equal">
      <formula>0</formula>
    </cfRule>
  </conditionalFormatting>
  <conditionalFormatting sqref="I163:I171">
    <cfRule type="cellIs" dxfId="300" priority="16" stopIfTrue="1" operator="equal">
      <formula>0</formula>
    </cfRule>
  </conditionalFormatting>
  <conditionalFormatting sqref="I189:I197">
    <cfRule type="cellIs" dxfId="299" priority="7" stopIfTrue="1" operator="equal">
      <formula>0</formula>
    </cfRule>
  </conditionalFormatting>
  <conditionalFormatting sqref="L7:L15">
    <cfRule type="cellIs" dxfId="298" priority="69" stopIfTrue="1" operator="equal">
      <formula>0</formula>
    </cfRule>
  </conditionalFormatting>
  <conditionalFormatting sqref="L33:L41">
    <cfRule type="cellIs" dxfId="297" priority="60" stopIfTrue="1" operator="equal">
      <formula>0</formula>
    </cfRule>
  </conditionalFormatting>
  <conditionalFormatting sqref="L59:L67">
    <cfRule type="cellIs" dxfId="296" priority="51" stopIfTrue="1" operator="equal">
      <formula>0</formula>
    </cfRule>
  </conditionalFormatting>
  <conditionalFormatting sqref="L85:L93">
    <cfRule type="cellIs" dxfId="295" priority="42" stopIfTrue="1" operator="equal">
      <formula>0</formula>
    </cfRule>
  </conditionalFormatting>
  <conditionalFormatting sqref="L111:L119">
    <cfRule type="cellIs" dxfId="294" priority="33" stopIfTrue="1" operator="equal">
      <formula>0</formula>
    </cfRule>
  </conditionalFormatting>
  <conditionalFormatting sqref="L137:L145">
    <cfRule type="cellIs" dxfId="293" priority="24" stopIfTrue="1" operator="equal">
      <formula>0</formula>
    </cfRule>
  </conditionalFormatting>
  <conditionalFormatting sqref="L163:L171">
    <cfRule type="cellIs" dxfId="292" priority="15" stopIfTrue="1" operator="equal">
      <formula>0</formula>
    </cfRule>
  </conditionalFormatting>
  <conditionalFormatting sqref="L189:L197">
    <cfRule type="cellIs" dxfId="291" priority="6" stopIfTrue="1" operator="equal">
      <formula>0</formula>
    </cfRule>
  </conditionalFormatting>
  <conditionalFormatting sqref="O7:O15">
    <cfRule type="cellIs" dxfId="290" priority="68" stopIfTrue="1" operator="equal">
      <formula>0</formula>
    </cfRule>
  </conditionalFormatting>
  <conditionalFormatting sqref="O33:O41">
    <cfRule type="cellIs" dxfId="289" priority="59" stopIfTrue="1" operator="equal">
      <formula>0</formula>
    </cfRule>
  </conditionalFormatting>
  <conditionalFormatting sqref="O59:O67">
    <cfRule type="cellIs" dxfId="288" priority="50" stopIfTrue="1" operator="equal">
      <formula>0</formula>
    </cfRule>
  </conditionalFormatting>
  <conditionalFormatting sqref="O85:O93">
    <cfRule type="cellIs" dxfId="287" priority="41" stopIfTrue="1" operator="equal">
      <formula>0</formula>
    </cfRule>
  </conditionalFormatting>
  <conditionalFormatting sqref="O111:O119">
    <cfRule type="cellIs" dxfId="286" priority="32" stopIfTrue="1" operator="equal">
      <formula>0</formula>
    </cfRule>
  </conditionalFormatting>
  <conditionalFormatting sqref="O137:O145">
    <cfRule type="cellIs" dxfId="285" priority="23" stopIfTrue="1" operator="equal">
      <formula>0</formula>
    </cfRule>
  </conditionalFormatting>
  <conditionalFormatting sqref="O163:O171">
    <cfRule type="cellIs" dxfId="284" priority="14" stopIfTrue="1" operator="equal">
      <formula>0</formula>
    </cfRule>
  </conditionalFormatting>
  <conditionalFormatting sqref="O189:O197">
    <cfRule type="cellIs" dxfId="283" priority="5" stopIfTrue="1" operator="equal">
      <formula>0</formula>
    </cfRule>
  </conditionalFormatting>
  <conditionalFormatting sqref="R7:R15">
    <cfRule type="cellIs" dxfId="282" priority="67" stopIfTrue="1" operator="equal">
      <formula>0</formula>
    </cfRule>
  </conditionalFormatting>
  <conditionalFormatting sqref="R33:R41">
    <cfRule type="cellIs" dxfId="281" priority="58" stopIfTrue="1" operator="equal">
      <formula>0</formula>
    </cfRule>
  </conditionalFormatting>
  <conditionalFormatting sqref="R59:R67">
    <cfRule type="cellIs" dxfId="280" priority="49" stopIfTrue="1" operator="equal">
      <formula>0</formula>
    </cfRule>
  </conditionalFormatting>
  <conditionalFormatting sqref="R85:R93">
    <cfRule type="cellIs" dxfId="279" priority="40" stopIfTrue="1" operator="equal">
      <formula>0</formula>
    </cfRule>
  </conditionalFormatting>
  <conditionalFormatting sqref="R111:R119">
    <cfRule type="cellIs" dxfId="278" priority="31" stopIfTrue="1" operator="equal">
      <formula>0</formula>
    </cfRule>
  </conditionalFormatting>
  <conditionalFormatting sqref="R137:R145">
    <cfRule type="cellIs" dxfId="277" priority="22" stopIfTrue="1" operator="equal">
      <formula>0</formula>
    </cfRule>
  </conditionalFormatting>
  <conditionalFormatting sqref="R163:R171">
    <cfRule type="cellIs" dxfId="276" priority="13" stopIfTrue="1" operator="equal">
      <formula>0</formula>
    </cfRule>
  </conditionalFormatting>
  <conditionalFormatting sqref="R189:R197">
    <cfRule type="cellIs" dxfId="275" priority="4" stopIfTrue="1" operator="equal">
      <formula>0</formula>
    </cfRule>
  </conditionalFormatting>
  <conditionalFormatting sqref="U7:U15">
    <cfRule type="cellIs" dxfId="274" priority="64" stopIfTrue="1" operator="equal">
      <formula>0</formula>
    </cfRule>
  </conditionalFormatting>
  <conditionalFormatting sqref="U33:U41">
    <cfRule type="cellIs" dxfId="273" priority="55" stopIfTrue="1" operator="equal">
      <formula>0</formula>
    </cfRule>
  </conditionalFormatting>
  <conditionalFormatting sqref="U59:U67">
    <cfRule type="cellIs" dxfId="272" priority="46" stopIfTrue="1" operator="equal">
      <formula>0</formula>
    </cfRule>
  </conditionalFormatting>
  <conditionalFormatting sqref="U85:U93">
    <cfRule type="cellIs" dxfId="271" priority="37" stopIfTrue="1" operator="equal">
      <formula>0</formula>
    </cfRule>
  </conditionalFormatting>
  <conditionalFormatting sqref="U111:U119">
    <cfRule type="cellIs" dxfId="270" priority="28" stopIfTrue="1" operator="equal">
      <formula>0</formula>
    </cfRule>
  </conditionalFormatting>
  <conditionalFormatting sqref="U137:U145">
    <cfRule type="cellIs" dxfId="269" priority="19" stopIfTrue="1" operator="equal">
      <formula>0</formula>
    </cfRule>
  </conditionalFormatting>
  <conditionalFormatting sqref="U163:U171">
    <cfRule type="cellIs" dxfId="268" priority="10" stopIfTrue="1" operator="equal">
      <formula>0</formula>
    </cfRule>
  </conditionalFormatting>
  <conditionalFormatting sqref="U189:U197">
    <cfRule type="cellIs" dxfId="267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M39 M33 Q33:R41 P39 P33 M65 M59 Q59:R67 P65 P59 M91 M85 Q85:R93 P91 P85 P10 E7:F15 Q137:R145 P143 P137 H7:I15 G13 G7 G10 K7:L15 J13 J7 J10 N7:O15 M10 P36 E33:F41 S13 S7 S10 H33:I41 G39 G33 G36 K33:L41 J39 J33 J36 N33:O41 M36 P62 E59:F67 S39 S33 S36 H59:I67 G65 G59 G62 K59:L67 J65 J59 J62 N59:O67 M62 P88 E85:F93 S65 S59 S62 H85:I93 G91 G85 G88 K85:L93 J91 J85 J88 N85:O93 M88 P114 E111:F119 S91 S85 S88 H111:I119 G117 G111 G114 K111:L119 J117 J111 J114 N111:O119 M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12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31"/>
  <sheetViews>
    <sheetView workbookViewId="0">
      <selection activeCell="C15" sqref="C15"/>
    </sheetView>
  </sheetViews>
  <sheetFormatPr baseColWidth="10" defaultRowHeight="13.2"/>
  <cols>
    <col min="1" max="1" width="4.6640625" style="6" customWidth="1"/>
    <col min="2" max="2" width="15" style="6" customWidth="1"/>
    <col min="3" max="3" width="28.44140625" customWidth="1"/>
    <col min="5" max="5" width="11.44140625" customWidth="1"/>
  </cols>
  <sheetData>
    <row r="1" spans="1:5">
      <c r="A1" s="6">
        <v>1</v>
      </c>
      <c r="B1" s="258">
        <v>45211</v>
      </c>
      <c r="C1" s="259" t="s">
        <v>1937</v>
      </c>
      <c r="E1" t="s">
        <v>2255</v>
      </c>
    </row>
    <row r="2" spans="1:5">
      <c r="A2" s="6">
        <v>2</v>
      </c>
      <c r="B2" s="258">
        <v>45717</v>
      </c>
      <c r="C2" s="259" t="s">
        <v>1954</v>
      </c>
      <c r="E2" t="s">
        <v>1938</v>
      </c>
    </row>
    <row r="3" spans="1:5">
      <c r="A3" s="6">
        <v>3</v>
      </c>
      <c r="B3" s="258">
        <v>45752</v>
      </c>
      <c r="C3" s="259" t="s">
        <v>1945</v>
      </c>
      <c r="E3" t="s">
        <v>1939</v>
      </c>
    </row>
    <row r="4" spans="1:5">
      <c r="A4" s="6">
        <v>4</v>
      </c>
      <c r="B4" s="260">
        <v>45787</v>
      </c>
      <c r="C4" s="259" t="s">
        <v>2255</v>
      </c>
      <c r="E4" t="s">
        <v>1937</v>
      </c>
    </row>
    <row r="5" spans="1:5">
      <c r="A5" s="6">
        <v>5</v>
      </c>
      <c r="B5" s="333">
        <v>45794</v>
      </c>
      <c r="C5" s="334" t="s">
        <v>1948</v>
      </c>
      <c r="E5" t="s">
        <v>1940</v>
      </c>
    </row>
    <row r="6" spans="1:5">
      <c r="A6" s="6">
        <v>6</v>
      </c>
      <c r="B6" s="258">
        <v>45808</v>
      </c>
      <c r="C6" s="259" t="s">
        <v>2256</v>
      </c>
      <c r="E6" t="s">
        <v>1956</v>
      </c>
    </row>
    <row r="7" spans="1:5">
      <c r="A7" s="6">
        <v>7</v>
      </c>
      <c r="B7" s="258">
        <v>45829</v>
      </c>
      <c r="C7" s="259" t="s">
        <v>1937</v>
      </c>
      <c r="E7" t="s">
        <v>1941</v>
      </c>
    </row>
    <row r="8" spans="1:5">
      <c r="E8" t="s">
        <v>1942</v>
      </c>
    </row>
    <row r="9" spans="1:5">
      <c r="E9" t="s">
        <v>1943</v>
      </c>
    </row>
    <row r="10" spans="1:5">
      <c r="E10" t="s">
        <v>1944</v>
      </c>
    </row>
    <row r="11" spans="1:5">
      <c r="E11" t="s">
        <v>1945</v>
      </c>
    </row>
    <row r="12" spans="1:5">
      <c r="E12" t="s">
        <v>1946</v>
      </c>
    </row>
    <row r="13" spans="1:5">
      <c r="E13" t="s">
        <v>1947</v>
      </c>
    </row>
    <row r="14" spans="1:5">
      <c r="E14" t="s">
        <v>1948</v>
      </c>
    </row>
    <row r="15" spans="1:5">
      <c r="E15" t="s">
        <v>1949</v>
      </c>
    </row>
    <row r="16" spans="1:5">
      <c r="E16" t="s">
        <v>1950</v>
      </c>
    </row>
    <row r="17" spans="1:5">
      <c r="E17" t="s">
        <v>2256</v>
      </c>
    </row>
    <row r="18" spans="1:5">
      <c r="A18" s="337" t="s">
        <v>2055</v>
      </c>
      <c r="B18" s="337"/>
      <c r="C18" s="261" t="s">
        <v>2343</v>
      </c>
      <c r="E18" t="s">
        <v>1951</v>
      </c>
    </row>
    <row r="19" spans="1:5">
      <c r="E19" t="s">
        <v>1952</v>
      </c>
    </row>
    <row r="20" spans="1:5">
      <c r="A20" s="338" t="s">
        <v>2056</v>
      </c>
      <c r="B20" s="338"/>
      <c r="E20" t="s">
        <v>1953</v>
      </c>
    </row>
    <row r="21" spans="1:5">
      <c r="A21" s="262">
        <v>8</v>
      </c>
      <c r="B21" s="186" t="s">
        <v>1805</v>
      </c>
      <c r="E21" t="s">
        <v>1954</v>
      </c>
    </row>
    <row r="22" spans="1:5">
      <c r="A22" s="262">
        <v>7</v>
      </c>
      <c r="B22" s="243" t="s">
        <v>2057</v>
      </c>
      <c r="E22" t="s">
        <v>1955</v>
      </c>
    </row>
    <row r="23" spans="1:5">
      <c r="A23" s="262">
        <v>5</v>
      </c>
      <c r="B23" s="243" t="s">
        <v>2058</v>
      </c>
    </row>
    <row r="25" spans="1:5">
      <c r="A25" s="279">
        <v>0.8</v>
      </c>
      <c r="B25" s="243" t="s">
        <v>2263</v>
      </c>
    </row>
    <row r="26" spans="1:5">
      <c r="A26" s="244" t="s">
        <v>2265</v>
      </c>
      <c r="B26" s="278">
        <v>160</v>
      </c>
    </row>
    <row r="29" spans="1:5">
      <c r="A29" s="339" t="s">
        <v>2345</v>
      </c>
      <c r="B29" s="339"/>
    </row>
    <row r="30" spans="1:5">
      <c r="A30" s="262">
        <v>1</v>
      </c>
      <c r="B30" s="243" t="s">
        <v>2385</v>
      </c>
    </row>
    <row r="31" spans="1:5">
      <c r="A31" s="262">
        <v>2</v>
      </c>
      <c r="B31" s="243" t="s">
        <v>2386</v>
      </c>
    </row>
  </sheetData>
  <sheetProtection password="D19C" sheet="1" objects="1" scenarios="1"/>
  <sortState xmlns:xlrd2="http://schemas.microsoft.com/office/spreadsheetml/2017/richdata2" ref="E1:E31">
    <sortCondition ref="E1:E31"/>
  </sortState>
  <mergeCells count="3">
    <mergeCell ref="A18:B18"/>
    <mergeCell ref="A20:B20"/>
    <mergeCell ref="A29:B29"/>
  </mergeCells>
  <dataValidations count="1">
    <dataValidation type="list" allowBlank="1" showInputMessage="1" showErrorMessage="1" sqref="C1:C7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E24"/>
  <sheetViews>
    <sheetView workbookViewId="0">
      <selection activeCell="V24" sqref="V24"/>
    </sheetView>
  </sheetViews>
  <sheetFormatPr baseColWidth="10" defaultRowHeight="13.2"/>
  <cols>
    <col min="1" max="1" width="4.2187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44140625" customWidth="1"/>
    <col min="14" max="14" width="7.6640625" customWidth="1"/>
    <col min="16" max="16" width="4.44140625" customWidth="1"/>
    <col min="17" max="17" width="11.44140625" customWidth="1"/>
    <col min="18" max="18" width="14.33203125" customWidth="1"/>
    <col min="19" max="26" width="11.44140625" customWidth="1"/>
    <col min="27" max="27" width="14.44140625" style="169" bestFit="1" customWidth="1"/>
    <col min="28" max="28" width="6.44140625" style="169" bestFit="1" customWidth="1"/>
    <col min="29" max="29" width="11" style="169" bestFit="1" customWidth="1"/>
    <col min="30" max="30" width="5.21875" style="169" bestFit="1" customWidth="1"/>
    <col min="31" max="31" width="6" style="169" bestFit="1" customWidth="1"/>
    <col min="32" max="50" width="11.44140625" customWidth="1"/>
  </cols>
  <sheetData>
    <row r="1" spans="1:31" ht="28.5" customHeight="1">
      <c r="A1" s="449" t="str">
        <f>Schlüssel!$C$1</f>
        <v>Landesliga Jugend</v>
      </c>
      <c r="B1" s="449"/>
      <c r="C1" s="449" t="s">
        <v>1786</v>
      </c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>
        <f>Schlüssel!BA1</f>
        <v>45752</v>
      </c>
      <c r="O1" s="449"/>
      <c r="P1" s="55"/>
      <c r="Q1" s="55"/>
      <c r="AA1" s="169" t="s">
        <v>2091</v>
      </c>
    </row>
    <row r="2" spans="1:31" ht="28.5" customHeight="1">
      <c r="A2" s="450" t="str">
        <f>"Saison "&amp;Spielorte!C18&amp;"     -     Spieltag "&amp;Erfassung3!S2&amp;"     -     "&amp;TEXT(Erfassung3!S1,"T. MMMM JJJJ")</f>
        <v>Saison 2024/2025     -     Spieltag 3     -     5. April 2025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55"/>
      <c r="Q2" s="55"/>
    </row>
    <row r="3" spans="1:31" ht="28.5" customHeight="1">
      <c r="A3" s="450" t="str">
        <f>Schlüssel!$AQ$2</f>
        <v>München Hollywood Super Bowling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55"/>
      <c r="Q3" s="55"/>
    </row>
    <row r="4" spans="1:31" ht="13.8" thickBot="1"/>
    <row r="5" spans="1:31">
      <c r="A5" s="451" t="s">
        <v>1804</v>
      </c>
      <c r="B5" s="447" t="s">
        <v>1805</v>
      </c>
      <c r="C5" s="443" t="s">
        <v>1793</v>
      </c>
      <c r="D5" s="444"/>
      <c r="E5" s="443" t="s">
        <v>1794</v>
      </c>
      <c r="F5" s="444"/>
      <c r="G5" s="443" t="s">
        <v>1795</v>
      </c>
      <c r="H5" s="444"/>
      <c r="I5" s="443" t="s">
        <v>1796</v>
      </c>
      <c r="J5" s="444"/>
      <c r="K5" s="443" t="s">
        <v>1797</v>
      </c>
      <c r="L5" s="444"/>
      <c r="M5" s="443" t="s">
        <v>1792</v>
      </c>
      <c r="N5" s="444"/>
      <c r="O5" s="445" t="s">
        <v>1806</v>
      </c>
      <c r="P5" s="55"/>
      <c r="Q5" s="55"/>
    </row>
    <row r="6" spans="1:31" ht="13.8" thickBot="1">
      <c r="A6" s="452"/>
      <c r="B6" s="448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6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>
      <c r="A7" s="163">
        <v>1</v>
      </c>
      <c r="B7" s="104" t="str">
        <f>INDEX(Erfassung3!$B:$B,MATCH($A7,Erfassung3!$BE:$BE,0)-14)</f>
        <v>BK München 1</v>
      </c>
      <c r="C7" s="82">
        <f>INDEX(Erfassung3!F:F,MATCH($A7,Erfassung3!$BE:$BE,0)-1)</f>
        <v>586</v>
      </c>
      <c r="D7" s="83">
        <f>INDEX(Erfassung3!G:G,MATCH($A7,Erfassung3!$BE:$BE,0))</f>
        <v>4</v>
      </c>
      <c r="E7" s="82">
        <f>INDEX(Erfassung3!I:I,MATCH($A7,Erfassung3!$BE:$BE,0)-1)</f>
        <v>575</v>
      </c>
      <c r="F7" s="83">
        <f>INDEX(Erfassung3!J:J,MATCH($A7,Erfassung3!$BE:$BE,0))</f>
        <v>4</v>
      </c>
      <c r="G7" s="82">
        <f>INDEX(Erfassung3!L:L,MATCH($A7,Erfassung3!$BE:$BE,0)-1)</f>
        <v>606</v>
      </c>
      <c r="H7" s="83">
        <f>INDEX(Erfassung3!M:M,MATCH($A7,Erfassung3!$BE:$BE,0))</f>
        <v>4</v>
      </c>
      <c r="I7" s="82">
        <f>INDEX(Erfassung3!O:O,MATCH($A7,Erfassung3!$BE:$BE,0)-1)</f>
        <v>483</v>
      </c>
      <c r="J7" s="83">
        <f>INDEX(Erfassung3!P:P,MATCH($A7,Erfassung3!$BE:$BE,0))</f>
        <v>4</v>
      </c>
      <c r="K7" s="82">
        <f>INDEX(Erfassung3!R:R,MATCH($A7,Erfassung3!$BE:$BE,0)-1)</f>
        <v>686</v>
      </c>
      <c r="L7" s="83">
        <f>INDEX(Erfassung3!S:S,MATCH($A7,Erfassung3!$BE:$BE,0))</f>
        <v>5</v>
      </c>
      <c r="M7" s="84">
        <f t="shared" ref="M7:N12" si="0">SUM(C7+E7+G7+I7+K7)</f>
        <v>2936</v>
      </c>
      <c r="N7" s="85">
        <f t="shared" si="0"/>
        <v>21</v>
      </c>
      <c r="O7" s="65">
        <f>IFERROR(M7/INDEX(Erfassung3!AW:AW,MATCH(A7,Erfassung3!BE:BE,0)),0)</f>
        <v>195.73333333333332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INDEX(Tabelle2!AA:AA,MATCH(B7,Tabelle2!B:B,0))+M7</f>
        <v>9051</v>
      </c>
      <c r="AB7" s="167">
        <f>INDEX(Tabelle2!AB:AB,MATCH(B7,Tabelle2!B:B,0))+N7</f>
        <v>66</v>
      </c>
      <c r="AC7" s="169">
        <f>+AB7+AA7/1000000000</f>
        <v>66.000009051000006</v>
      </c>
      <c r="AD7" s="169">
        <f>RANK(AC7,AC:AC)</f>
        <v>1</v>
      </c>
      <c r="AE7" s="169">
        <f>INDEX(Tabelle2!AE:AE,MATCH(B7,Tabelle2!B:B,0))+SUMIF(Erfassung3!BH:BH,B7,Erfassung3!AW:AW)</f>
        <v>45</v>
      </c>
    </row>
    <row r="8" spans="1:31" ht="42" customHeight="1" thickBot="1">
      <c r="A8" s="163">
        <v>2</v>
      </c>
      <c r="B8" s="104" t="str">
        <f>INDEX(Erfassung3!$B:$B,MATCH($A8,Erfassung3!$BE:$BE,0)-14)</f>
        <v>Highroller Rosenheim 1</v>
      </c>
      <c r="C8" s="82">
        <f>INDEX(Erfassung3!F:F,MATCH($A8,Erfassung3!$BE:$BE,0)-1)</f>
        <v>545</v>
      </c>
      <c r="D8" s="83">
        <f>INDEX(Erfassung3!G:G,MATCH($A8,Erfassung3!$BE:$BE,0))</f>
        <v>5</v>
      </c>
      <c r="E8" s="82">
        <f>INDEX(Erfassung3!I:I,MATCH($A8,Erfassung3!$BE:$BE,0)-1)</f>
        <v>505</v>
      </c>
      <c r="F8" s="83">
        <f>INDEX(Erfassung3!J:J,MATCH($A8,Erfassung3!$BE:$BE,0))</f>
        <v>4</v>
      </c>
      <c r="G8" s="82">
        <f>INDEX(Erfassung3!L:L,MATCH($A8,Erfassung3!$BE:$BE,0)-1)</f>
        <v>492</v>
      </c>
      <c r="H8" s="83">
        <f>INDEX(Erfassung3!M:M,MATCH($A8,Erfassung3!$BE:$BE,0))</f>
        <v>4</v>
      </c>
      <c r="I8" s="82">
        <f>INDEX(Erfassung3!O:O,MATCH($A8,Erfassung3!$BE:$BE,0)-1)</f>
        <v>527</v>
      </c>
      <c r="J8" s="83">
        <f>INDEX(Erfassung3!P:P,MATCH($A8,Erfassung3!$BE:$BE,0))</f>
        <v>2</v>
      </c>
      <c r="K8" s="82">
        <f>INDEX(Erfassung3!R:R,MATCH($A8,Erfassung3!$BE:$BE,0)-1)</f>
        <v>518</v>
      </c>
      <c r="L8" s="83">
        <f>INDEX(Erfassung3!S:S,MATCH($A8,Erfassung3!$BE:$BE,0))</f>
        <v>4</v>
      </c>
      <c r="M8" s="84">
        <f t="shared" si="0"/>
        <v>2587</v>
      </c>
      <c r="N8" s="85">
        <f t="shared" si="0"/>
        <v>19</v>
      </c>
      <c r="O8" s="65">
        <f>IFERROR(M8/INDEX(Erfassung3!AW:AW,MATCH(A8,Erfassung3!BE:BE,0)),0)</f>
        <v>172.46666666666667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>
        <f>INDEX(Tabelle2!AA:AA,MATCH(B8,Tabelle2!B:B,0))+M8</f>
        <v>7117</v>
      </c>
      <c r="AB8" s="167">
        <f>INDEX(Tabelle2!AB:AB,MATCH(B8,Tabelle2!B:B,0))+N8</f>
        <v>36</v>
      </c>
      <c r="AC8" s="169">
        <f>+AB8+AA8/1000000000</f>
        <v>36.000007117000003</v>
      </c>
      <c r="AD8" s="169">
        <f>RANK(AC8,AC:AC)</f>
        <v>6</v>
      </c>
      <c r="AE8" s="169">
        <f>INDEX(Tabelle2!AE:AE,MATCH(B8,Tabelle2!B:B,0))+SUMIF(Erfassung3!BH:BH,B8,Erfassung3!AW:AW)</f>
        <v>45</v>
      </c>
    </row>
    <row r="9" spans="1:31" ht="42" customHeight="1" thickBot="1">
      <c r="A9" s="163">
        <v>3</v>
      </c>
      <c r="B9" s="104" t="str">
        <f>INDEX(Erfassung3!$B:$B,MATCH($A9,Erfassung3!$BE:$BE,0)-14)</f>
        <v>Bad Tölz 1</v>
      </c>
      <c r="C9" s="82">
        <f>INDEX(Erfassung3!F:F,MATCH($A9,Erfassung3!$BE:$BE,0)-1)</f>
        <v>573</v>
      </c>
      <c r="D9" s="83">
        <f>INDEX(Erfassung3!G:G,MATCH($A9,Erfassung3!$BE:$BE,0))</f>
        <v>1</v>
      </c>
      <c r="E9" s="82">
        <f>INDEX(Erfassung3!I:I,MATCH($A9,Erfassung3!$BE:$BE,0)-1)</f>
        <v>484</v>
      </c>
      <c r="F9" s="83">
        <f>INDEX(Erfassung3!J:J,MATCH($A9,Erfassung3!$BE:$BE,0))</f>
        <v>5</v>
      </c>
      <c r="G9" s="82">
        <f>INDEX(Erfassung3!L:L,MATCH($A9,Erfassung3!$BE:$BE,0)-1)</f>
        <v>522</v>
      </c>
      <c r="H9" s="83">
        <f>INDEX(Erfassung3!M:M,MATCH($A9,Erfassung3!$BE:$BE,0))</f>
        <v>3</v>
      </c>
      <c r="I9" s="82">
        <f>INDEX(Erfassung3!O:O,MATCH($A9,Erfassung3!$BE:$BE,0)-1)</f>
        <v>537</v>
      </c>
      <c r="J9" s="83">
        <f>INDEX(Erfassung3!P:P,MATCH($A9,Erfassung3!$BE:$BE,0))</f>
        <v>3</v>
      </c>
      <c r="K9" s="82">
        <f>INDEX(Erfassung3!R:R,MATCH($A9,Erfassung3!$BE:$BE,0)-1)</f>
        <v>538</v>
      </c>
      <c r="L9" s="83">
        <f>INDEX(Erfassung3!S:S,MATCH($A9,Erfassung3!$BE:$BE,0))</f>
        <v>4</v>
      </c>
      <c r="M9" s="84">
        <f t="shared" si="0"/>
        <v>2654</v>
      </c>
      <c r="N9" s="85">
        <f t="shared" si="0"/>
        <v>16</v>
      </c>
      <c r="O9" s="65">
        <f>IFERROR(M9/INDEX(Erfassung3!AW:AW,MATCH(A9,Erfassung3!BE:BE,0)),0)</f>
        <v>176.93333333333334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>
        <f>INDEX(Tabelle2!AA:AA,MATCH(B9,Tabelle2!B:B,0))+M9</f>
        <v>7111</v>
      </c>
      <c r="AB9" s="167">
        <f>INDEX(Tabelle2!AB:AB,MATCH(B9,Tabelle2!B:B,0))+N9</f>
        <v>41.5</v>
      </c>
      <c r="AC9" s="169">
        <f>+AB9+AA9/1000000000</f>
        <v>41.500007111000002</v>
      </c>
      <c r="AD9" s="169">
        <f>RANK(AC9,AC:AC)</f>
        <v>2</v>
      </c>
      <c r="AE9" s="169">
        <f>INDEX(Tabelle2!AE:AE,MATCH(B9,Tabelle2!B:B,0))+SUMIF(Erfassung3!BH:BH,B9,Erfassung3!AW:AW)</f>
        <v>40</v>
      </c>
    </row>
    <row r="10" spans="1:31" ht="42" customHeight="1" thickBot="1">
      <c r="A10" s="163">
        <v>4</v>
      </c>
      <c r="B10" s="104" t="str">
        <f>INDEX(Erfassung3!$B:$B,MATCH($A10,Erfassung3!$BE:$BE,0)-14)</f>
        <v>Bowling Jugend Bayern 1</v>
      </c>
      <c r="C10" s="82">
        <f>INDEX(Erfassung3!F:F,MATCH($A10,Erfassung3!$BE:$BE,0)-1)</f>
        <v>536</v>
      </c>
      <c r="D10" s="83">
        <f>INDEX(Erfassung3!G:G,MATCH($A10,Erfassung3!$BE:$BE,0))</f>
        <v>5</v>
      </c>
      <c r="E10" s="82">
        <f>INDEX(Erfassung3!I:I,MATCH($A10,Erfassung3!$BE:$BE,0)-1)</f>
        <v>515</v>
      </c>
      <c r="F10" s="83">
        <f>INDEX(Erfassung3!J:J,MATCH($A10,Erfassung3!$BE:$BE,0))</f>
        <v>1</v>
      </c>
      <c r="G10" s="82">
        <f>INDEX(Erfassung3!L:L,MATCH($A10,Erfassung3!$BE:$BE,0)-1)</f>
        <v>507</v>
      </c>
      <c r="H10" s="83">
        <f>INDEX(Erfassung3!M:M,MATCH($A10,Erfassung3!$BE:$BE,0))</f>
        <v>2</v>
      </c>
      <c r="I10" s="82">
        <f>INDEX(Erfassung3!O:O,MATCH($A10,Erfassung3!$BE:$BE,0)-1)</f>
        <v>506</v>
      </c>
      <c r="J10" s="83">
        <f>INDEX(Erfassung3!P:P,MATCH($A10,Erfassung3!$BE:$BE,0))</f>
        <v>3</v>
      </c>
      <c r="K10" s="82">
        <f>INDEX(Erfassung3!R:R,MATCH($A10,Erfassung3!$BE:$BE,0)-1)</f>
        <v>470</v>
      </c>
      <c r="L10" s="83">
        <f>INDEX(Erfassung3!S:S,MATCH($A10,Erfassung3!$BE:$BE,0))</f>
        <v>1</v>
      </c>
      <c r="M10" s="84">
        <f t="shared" si="0"/>
        <v>2534</v>
      </c>
      <c r="N10" s="85">
        <f t="shared" si="0"/>
        <v>12</v>
      </c>
      <c r="O10" s="65">
        <f>IFERROR(M10/INDEX(Erfassung3!AW:AW,MATCH(A10,Erfassung3!BE:BE,0)),0)</f>
        <v>168.93333333333334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>
        <f>INDEX(Tabelle2!AA:AA,MATCH(B10,Tabelle2!B:B,0))+M10</f>
        <v>7387</v>
      </c>
      <c r="AB10" s="167">
        <f>INDEX(Tabelle2!AB:AB,MATCH(B10,Tabelle2!B:B,0))+N10</f>
        <v>40.5</v>
      </c>
      <c r="AC10" s="169">
        <f>+AB10+AA10/1000000000</f>
        <v>40.500007386999997</v>
      </c>
      <c r="AD10" s="169">
        <f>RANK(AC10,AC:AC)</f>
        <v>3</v>
      </c>
      <c r="AE10" s="169">
        <f>INDEX(Tabelle2!AE:AE,MATCH(B10,Tabelle2!B:B,0))+SUMIF(Erfassung3!BH:BH,B10,Erfassung3!AW:AW)</f>
        <v>45</v>
      </c>
    </row>
    <row r="11" spans="1:31" ht="42" customHeight="1" thickBot="1">
      <c r="A11" s="163">
        <v>5</v>
      </c>
      <c r="B11" s="104" t="str">
        <f>INDEX(Erfassung3!$B:$B,MATCH($A11,Erfassung3!$BE:$BE,0)-14)</f>
        <v>Berchtesgaden 1</v>
      </c>
      <c r="C11" s="82">
        <f>INDEX(Erfassung3!F:F,MATCH($A11,Erfassung3!$BE:$BE,0)-1)</f>
        <v>429</v>
      </c>
      <c r="D11" s="83">
        <f>INDEX(Erfassung3!G:G,MATCH($A11,Erfassung3!$BE:$BE,0))</f>
        <v>0</v>
      </c>
      <c r="E11" s="82">
        <f>INDEX(Erfassung3!I:I,MATCH($A11,Erfassung3!$BE:$BE,0)-1)</f>
        <v>452</v>
      </c>
      <c r="F11" s="83">
        <f>INDEX(Erfassung3!J:J,MATCH($A11,Erfassung3!$BE:$BE,0))</f>
        <v>4</v>
      </c>
      <c r="G11" s="82">
        <f>INDEX(Erfassung3!L:L,MATCH($A11,Erfassung3!$BE:$BE,0)-1)</f>
        <v>494</v>
      </c>
      <c r="H11" s="83">
        <f>INDEX(Erfassung3!M:M,MATCH($A11,Erfassung3!$BE:$BE,0))</f>
        <v>4.5</v>
      </c>
      <c r="I11" s="82">
        <f>INDEX(Erfassung3!O:O,MATCH($A11,Erfassung3!$BE:$BE,0)-1)</f>
        <v>460</v>
      </c>
      <c r="J11" s="83">
        <f>INDEX(Erfassung3!P:P,MATCH($A11,Erfassung3!$BE:$BE,0))</f>
        <v>2</v>
      </c>
      <c r="K11" s="82">
        <f>INDEX(Erfassung3!R:R,MATCH($A11,Erfassung3!$BE:$BE,0)-1)</f>
        <v>450</v>
      </c>
      <c r="L11" s="83">
        <f>INDEX(Erfassung3!S:S,MATCH($A11,Erfassung3!$BE:$BE,0))</f>
        <v>1</v>
      </c>
      <c r="M11" s="84">
        <f t="shared" si="0"/>
        <v>2285</v>
      </c>
      <c r="N11" s="85">
        <f t="shared" si="0"/>
        <v>11.5</v>
      </c>
      <c r="O11" s="65">
        <f>IFERROR(M11/INDEX(Erfassung3!AW:AW,MATCH(A11,Erfassung3!BE:BE,0)),0)</f>
        <v>152.33333333333334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>
        <f>INDEX(Tabelle2!AA:AA,MATCH(B11,Tabelle2!B:B,0))+M11</f>
        <v>7029</v>
      </c>
      <c r="AB11" s="167">
        <f>INDEX(Tabelle2!AB:AB,MATCH(B11,Tabelle2!B:B,0))+N11</f>
        <v>36.5</v>
      </c>
      <c r="AC11" s="169">
        <f>+AB11+AA11/1000000000</f>
        <v>36.500007029000002</v>
      </c>
      <c r="AD11" s="169">
        <f>RANK(AC11,AC:AC)</f>
        <v>5</v>
      </c>
      <c r="AE11" s="169">
        <f>INDEX(Tabelle2!AE:AE,MATCH(B11,Tabelle2!B:B,0))+SUMIF(Erfassung3!BH:BH,B11,Erfassung3!AW:AW)</f>
        <v>45</v>
      </c>
    </row>
    <row r="12" spans="1:31" ht="42" customHeight="1" thickBot="1">
      <c r="A12" s="163">
        <v>6</v>
      </c>
      <c r="B12" s="104" t="str">
        <f>INDEX(Erfassung3!$B:$B,MATCH($A12,Erfassung3!$BE:$BE,0)-14)</f>
        <v>EMAX 1</v>
      </c>
      <c r="C12" s="82">
        <f>INDEX(Erfassung3!F:F,MATCH($A12,Erfassung3!$BE:$BE,0)-1)</f>
        <v>502</v>
      </c>
      <c r="D12" s="83">
        <f>INDEX(Erfassung3!G:G,MATCH($A12,Erfassung3!$BE:$BE,0))</f>
        <v>4.5</v>
      </c>
      <c r="E12" s="82">
        <f>INDEX(Erfassung3!I:I,MATCH($A12,Erfassung3!$BE:$BE,0)-1)</f>
        <v>434</v>
      </c>
      <c r="F12" s="83">
        <f>INDEX(Erfassung3!J:J,MATCH($A12,Erfassung3!$BE:$BE,0))</f>
        <v>1</v>
      </c>
      <c r="G12" s="82">
        <f>INDEX(Erfassung3!L:L,MATCH($A12,Erfassung3!$BE:$BE,0)-1)</f>
        <v>426</v>
      </c>
      <c r="H12" s="83">
        <f>INDEX(Erfassung3!M:M,MATCH($A12,Erfassung3!$BE:$BE,0))</f>
        <v>1</v>
      </c>
      <c r="I12" s="82">
        <f>INDEX(Erfassung3!O:O,MATCH($A12,Erfassung3!$BE:$BE,0)-1)</f>
        <v>432</v>
      </c>
      <c r="J12" s="83">
        <f>INDEX(Erfassung3!P:P,MATCH($A12,Erfassung3!$BE:$BE,0))</f>
        <v>1</v>
      </c>
      <c r="K12" s="82">
        <f>INDEX(Erfassung3!R:R,MATCH($A12,Erfassung3!$BE:$BE,0)-1)</f>
        <v>456</v>
      </c>
      <c r="L12" s="83">
        <f>INDEX(Erfassung3!S:S,MATCH($A12,Erfassung3!$BE:$BE,0))</f>
        <v>1</v>
      </c>
      <c r="M12" s="84">
        <f t="shared" si="0"/>
        <v>2250</v>
      </c>
      <c r="N12" s="85">
        <f t="shared" si="0"/>
        <v>8.5</v>
      </c>
      <c r="O12" s="65">
        <f>IFERROR(M12/INDEX(Erfassung3!AW:AW,MATCH(A12,Erfassung3!BE:BE,0)),0)</f>
        <v>150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>
        <f>INDEX(Tabelle2!AA:AA,MATCH(B12,Tabelle2!B:B,0))+M12</f>
        <v>7044</v>
      </c>
      <c r="AB12" s="167">
        <f>INDEX(Tabelle2!AB:AB,MATCH(B12,Tabelle2!B:B,0))+N12</f>
        <v>38.5</v>
      </c>
      <c r="AC12" s="169">
        <f t="shared" ref="AC12:AC14" si="1">+AB12+AA12/1000000000</f>
        <v>38.500007044</v>
      </c>
      <c r="AD12" s="169">
        <f t="shared" ref="AD12:AD14" si="2">RANK(AC12,AC:AC)</f>
        <v>4</v>
      </c>
      <c r="AE12" s="169">
        <f>INDEX(Tabelle2!AE:AE,MATCH(B12,Tabelle2!B:B,0))+SUMIF(Erfassung3!BH:BH,B12,Erfassung3!AW:AW)</f>
        <v>45</v>
      </c>
    </row>
    <row r="13" spans="1:31" ht="42" customHeight="1" thickBot="1">
      <c r="A13" s="163">
        <v>7</v>
      </c>
      <c r="B13" s="104" t="str">
        <f>INDEX(Erfassung3!$B:$B,MATCH($A13,Erfassung3!$BE:$BE,0)-14)</f>
        <v>Highroller Rosenheim 3</v>
      </c>
      <c r="C13" s="82">
        <f>INDEX(Erfassung3!F:F,MATCH($A13,Erfassung3!$BE:$BE,0)-1)</f>
        <v>426</v>
      </c>
      <c r="D13" s="83">
        <f>INDEX(Erfassung3!G:G,MATCH($A13,Erfassung3!$BE:$BE,0))</f>
        <v>0</v>
      </c>
      <c r="E13" s="82">
        <f>INDEX(Erfassung3!I:I,MATCH($A13,Erfassung3!$BE:$BE,0)-1)</f>
        <v>460</v>
      </c>
      <c r="F13" s="83">
        <f>INDEX(Erfassung3!J:J,MATCH($A13,Erfassung3!$BE:$BE,0))</f>
        <v>0</v>
      </c>
      <c r="G13" s="82">
        <f>INDEX(Erfassung3!L:L,MATCH($A13,Erfassung3!$BE:$BE,0)-1)</f>
        <v>467</v>
      </c>
      <c r="H13" s="83">
        <f>INDEX(Erfassung3!M:M,MATCH($A13,Erfassung3!$BE:$BE,0))</f>
        <v>1</v>
      </c>
      <c r="I13" s="82">
        <f>INDEX(Erfassung3!O:O,MATCH($A13,Erfassung3!$BE:$BE,0)-1)</f>
        <v>424</v>
      </c>
      <c r="J13" s="83">
        <f>INDEX(Erfassung3!P:P,MATCH($A13,Erfassung3!$BE:$BE,0))</f>
        <v>1</v>
      </c>
      <c r="K13" s="82">
        <f>INDEX(Erfassung3!R:R,MATCH($A13,Erfassung3!$BE:$BE,0)-1)</f>
        <v>529</v>
      </c>
      <c r="L13" s="83">
        <f>INDEX(Erfassung3!S:S,MATCH($A13,Erfassung3!$BE:$BE,0))</f>
        <v>4</v>
      </c>
      <c r="M13" s="84">
        <f t="shared" ref="M13:M14" si="3">SUM(C13+E13+G13+I13+K13)</f>
        <v>2306</v>
      </c>
      <c r="N13" s="85">
        <f t="shared" ref="N13:N14" si="4">SUM(D13+F13+H13+J13+L13)</f>
        <v>6</v>
      </c>
      <c r="O13" s="65">
        <f>IFERROR(M13/INDEX(Erfassung3!AW:AW,MATCH(A13,Erfassung3!BE:BE,0)),0)</f>
        <v>153.73333333333332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>
        <f>INDEX(Tabelle2!AA:AA,MATCH(B13,Tabelle2!B:B,0))+M13</f>
        <v>6931</v>
      </c>
      <c r="AB13" s="167">
        <f>INDEX(Tabelle2!AB:AB,MATCH(B13,Tabelle2!B:B,0))+N13</f>
        <v>22</v>
      </c>
      <c r="AC13" s="169">
        <f t="shared" si="1"/>
        <v>22.000006931000001</v>
      </c>
      <c r="AD13" s="169">
        <f t="shared" si="2"/>
        <v>7</v>
      </c>
      <c r="AE13" s="169">
        <f>INDEX(Tabelle2!AE:AE,MATCH(B13,Tabelle2!B:B,0))+SUMIF(Erfassung3!BH:BH,B13,Erfassung3!AW:AW)</f>
        <v>45</v>
      </c>
    </row>
    <row r="14" spans="1:31" ht="42" customHeight="1" thickBot="1">
      <c r="A14" s="163">
        <v>8</v>
      </c>
      <c r="B14" s="104" t="str">
        <f>INDEX(Erfassung3!$B:$B,MATCH($A14,Erfassung3!$BE:$BE,0)-14)</f>
        <v>Highroller Rosenheim 2</v>
      </c>
      <c r="C14" s="82">
        <f>INDEX(Erfassung3!F:F,MATCH($A14,Erfassung3!$BE:$BE,0)-1)</f>
        <v>479</v>
      </c>
      <c r="D14" s="83">
        <f>INDEX(Erfassung3!G:G,MATCH($A14,Erfassung3!$BE:$BE,0))</f>
        <v>0.5</v>
      </c>
      <c r="E14" s="82">
        <f>INDEX(Erfassung3!I:I,MATCH($A14,Erfassung3!$BE:$BE,0)-1)</f>
        <v>462</v>
      </c>
      <c r="F14" s="83">
        <f>INDEX(Erfassung3!J:J,MATCH($A14,Erfassung3!$BE:$BE,0))</f>
        <v>1</v>
      </c>
      <c r="G14" s="82">
        <f>INDEX(Erfassung3!L:L,MATCH($A14,Erfassung3!$BE:$BE,0)-1)</f>
        <v>409</v>
      </c>
      <c r="H14" s="83">
        <f>INDEX(Erfassung3!M:M,MATCH($A14,Erfassung3!$BE:$BE,0))</f>
        <v>0.5</v>
      </c>
      <c r="I14" s="82">
        <f>INDEX(Erfassung3!O:O,MATCH($A14,Erfassung3!$BE:$BE,0)-1)</f>
        <v>449</v>
      </c>
      <c r="J14" s="83">
        <f>INDEX(Erfassung3!P:P,MATCH($A14,Erfassung3!$BE:$BE,0))</f>
        <v>4</v>
      </c>
      <c r="K14" s="82">
        <f>INDEX(Erfassung3!R:R,MATCH($A14,Erfassung3!$BE:$BE,0)-1)</f>
        <v>407</v>
      </c>
      <c r="L14" s="83">
        <f>INDEX(Erfassung3!S:S,MATCH($A14,Erfassung3!$BE:$BE,0))</f>
        <v>0</v>
      </c>
      <c r="M14" s="84">
        <f t="shared" si="3"/>
        <v>2206</v>
      </c>
      <c r="N14" s="85">
        <f t="shared" si="4"/>
        <v>6</v>
      </c>
      <c r="O14" s="65">
        <f>IFERROR(M14/INDEX(Erfassung3!AW:AW,MATCH(A14,Erfassung3!BE:BE,0)),0)</f>
        <v>147.06666666666666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>
        <f>INDEX(Tabelle2!AA:AA,MATCH(B14,Tabelle2!B:B,0))+M14</f>
        <v>6680</v>
      </c>
      <c r="AB14" s="167">
        <f>INDEX(Tabelle2!AB:AB,MATCH(B14,Tabelle2!B:B,0))+N14</f>
        <v>19</v>
      </c>
      <c r="AC14" s="169">
        <f t="shared" si="1"/>
        <v>19.000006679999998</v>
      </c>
      <c r="AD14" s="169">
        <f t="shared" si="2"/>
        <v>8</v>
      </c>
      <c r="AE14" s="169">
        <f>INDEX(Tabelle2!AE:AE,MATCH(B14,Tabelle2!B:B,0))+SUMIF(Erfassung3!BH:BH,B14,Erfassung3!AW:AW)</f>
        <v>45</v>
      </c>
    </row>
    <row r="17" spans="2:18" ht="15.6">
      <c r="B17" s="442" t="s">
        <v>2380</v>
      </c>
      <c r="C17" s="442"/>
      <c r="D17" s="442"/>
      <c r="E17" s="442"/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89"/>
      <c r="Q17" s="89"/>
      <c r="R17" s="89"/>
    </row>
    <row r="18" spans="2:18">
      <c r="C18" s="453"/>
      <c r="D18" s="453"/>
      <c r="E18" s="453"/>
      <c r="F18" s="453"/>
      <c r="G18" s="453"/>
      <c r="H18" s="453"/>
    </row>
    <row r="19" spans="2:18">
      <c r="B19" s="89" t="s">
        <v>1817</v>
      </c>
      <c r="C19" t="str">
        <f>IFERROR(INDEX(Erfassung3!B:B,MATCH(1,Erfassung3!BI:BI,0)),"")</f>
        <v>Jakobi, Moritz</v>
      </c>
      <c r="H19" t="str">
        <f>INDEX(Erfassung3!BH:BH,MATCH(C19,Erfassung3!B:B,0))</f>
        <v>BK München 1</v>
      </c>
      <c r="N19" s="87">
        <f>IFERROR(ROUND(INDEX(Erfassung3!BG:BG,MATCH(1,Erfassung3!BI:BI,0)),0),"")</f>
        <v>257</v>
      </c>
    </row>
    <row r="20" spans="2:18">
      <c r="B20" s="89"/>
      <c r="C20" t="str">
        <f>IF(N20="","",IFERROR(INDEX(Erfassung3!B:B,MATCH(2,Erfassung3!BI:BI,0)),""))</f>
        <v/>
      </c>
      <c r="H20" t="str">
        <f>IF(C20="","",INDEX(Erfassung3!BH:BH,MATCH(C20,Erfassung3!B:B,0)))</f>
        <v/>
      </c>
      <c r="N20" s="88" t="str">
        <f>IF(IFERROR(ROUND(INDEX(Erfassung3!BG:BG,MATCH(2,Erfassung3!BI:BI,0)),0),0)=0,"",IFERROR(ROUND(INDEX(Erfassung3!BG:BG,MATCH(2,Erfassung3!BI:BI,0)),0),0))</f>
        <v/>
      </c>
    </row>
    <row r="21" spans="2:18">
      <c r="B21" s="89"/>
      <c r="C21" t="str">
        <f>IF(N21="","",IFERROR(INDEX(Erfassung3!B:B,MATCH(3,Erfassung3!BI:BI,0)),""))</f>
        <v/>
      </c>
      <c r="H21" t="str">
        <f>IF(C21="","",INDEX(Erfassung3!BH:BH,MATCH(C21,Erfassung3!B:B,0)))</f>
        <v/>
      </c>
      <c r="N21" s="88" t="str">
        <f>IF(IFERROR(ROUND(INDEX(Erfassung3!BG:BG,MATCH(3,Erfassung3!BI:BI,0)),0),0)=0,"",IFERROR(ROUND(INDEX(Erfassung3!BG:BG,MATCH(3,Erfassung3!BI:BI,0)),0),""))</f>
        <v/>
      </c>
    </row>
    <row r="22" spans="2:18">
      <c r="B22" s="89" t="s">
        <v>1818</v>
      </c>
      <c r="C22" t="str">
        <f>IFERROR(INDEX(Erfassung3!B:B,MATCH(1,Erfassung3!BM:BM,0)),"")</f>
        <v>Kugler, Laurin</v>
      </c>
      <c r="H22" t="str">
        <f>INDEX(Erfassung3!BH:BH,MATCH(C22,Erfassung3!B:B,0))</f>
        <v>Bad Tölz 1</v>
      </c>
      <c r="N22" s="441" t="str">
        <f>IFERROR(ROUND(INDEX(Erfassung3!BJ:BJ,MATCH(1,Erfassung3!BM:BM,0)),0),"")&amp;"  /  "&amp;ROUND(IFERROR(ROUND(INDEX(Erfassung3!BJ:BJ,MATCH(1,Erfassung3!BM:BM,0)),0),"")/5,2)</f>
        <v>1026  /  205,2</v>
      </c>
      <c r="O22" s="441"/>
      <c r="P22" s="78"/>
    </row>
    <row r="23" spans="2:18">
      <c r="C23" t="str">
        <f>IF(N23="","",IFERROR(INDEX(Erfassung3!B:B,MATCH(2,Erfassung3!BM:BM,0)),""))</f>
        <v/>
      </c>
      <c r="E23" s="6"/>
      <c r="H23" t="str">
        <f>IF(C23="","",INDEX(Erfassung3!BH:BH,MATCH(C23,Erfassung3!B:B,0)))</f>
        <v/>
      </c>
      <c r="N23" s="88" t="str">
        <f>IF(IFERROR(ROUND(INDEX(Erfassung3!BJ:BJ,MATCH(2,Erfassung3!BM:BM,0)),0),0)=0,"",IFERROR(ROUND(INDEX(Erfassung3!BJ:BJ,MATCH(2,Erfassung3!BM:BM,0)),0),0))</f>
        <v/>
      </c>
    </row>
    <row r="24" spans="2:18">
      <c r="C24" t="str">
        <f>IF(N24="","",IFERROR(INDEX(Erfassung3!B:B,MATCH(3,Erfassung3!BM:BM,0)),""))</f>
        <v/>
      </c>
      <c r="E24" s="6"/>
      <c r="H24" t="str">
        <f>IF(C24="","",INDEX(Erfassung3!BH:BH,MATCH(C24,Erfassung3!B:B,0)))</f>
        <v/>
      </c>
      <c r="N24" s="88" t="str">
        <f>IF(IFERROR(ROUND(INDEX(Erfassung3!BJ:BJ,MATCH(3,Erfassung3!BM:BM,0)),0),0)=0,"",IFERROR(ROUND(INDEX(Erfassung3!BJ:BJ,MATCH(3,Erfassung3!BM:BM,0)),0),0))</f>
        <v/>
      </c>
    </row>
  </sheetData>
  <sheetProtection sheet="1" objects="1" scenarios="1" formatCells="0" formatColumns="0" formatRows="0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C18:H18"/>
    <mergeCell ref="N22:O22"/>
    <mergeCell ref="M5:N5"/>
    <mergeCell ref="O5:O6"/>
    <mergeCell ref="K5:L5"/>
    <mergeCell ref="B17:O17"/>
  </mergeCells>
  <conditionalFormatting sqref="C7:L14">
    <cfRule type="top10" dxfId="266" priority="6" stopIfTrue="1" rank="1"/>
  </conditionalFormatting>
  <conditionalFormatting sqref="M7:M14">
    <cfRule type="top10" dxfId="265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4" fitToWidth="0" orientation="landscape" r:id="rId1"/>
  <headerFooter alignWithMargins="0">
    <oddHeader>&amp;R&amp;G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L14"/>
  <sheetViews>
    <sheetView workbookViewId="0">
      <selection activeCell="V24" sqref="V24"/>
    </sheetView>
  </sheetViews>
  <sheetFormatPr baseColWidth="10" defaultRowHeight="13.2"/>
  <cols>
    <col min="1" max="1" width="4.21875" customWidth="1"/>
    <col min="2" max="2" width="18.44140625" customWidth="1"/>
    <col min="3" max="8" width="8.6640625" customWidth="1"/>
    <col min="9" max="9" width="13.44140625" customWidth="1"/>
    <col min="10" max="10" width="9.44140625" customWidth="1"/>
    <col min="12" max="12" width="6.44140625" customWidth="1"/>
  </cols>
  <sheetData>
    <row r="1" spans="1:12" ht="28.5" customHeight="1">
      <c r="A1" s="449" t="str">
        <f>Schlüssel!$C$1</f>
        <v>Landesliga Jugend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</row>
    <row r="2" spans="1:12" ht="28.5" customHeight="1">
      <c r="A2" s="450" t="str">
        <f>"Saison "&amp;Spielorte!C18&amp;"     -     Spieltag "&amp;Erfassung3!S2&amp;"     -     "&amp;TEXT(Erfassung3!S1,"T. MMMM JJJJ")</f>
        <v>Saison 2024/2025     -     Spieltag 3     -     5. April 2025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</row>
    <row r="3" spans="1:12" ht="28.5" customHeight="1">
      <c r="A3" s="449" t="s">
        <v>1863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</row>
    <row r="4" spans="1:12" ht="28.5" customHeight="1" thickBot="1">
      <c r="A4" s="164"/>
      <c r="B4" s="164"/>
      <c r="C4" s="73"/>
      <c r="D4" s="165"/>
      <c r="E4" s="165"/>
      <c r="F4" s="165"/>
      <c r="G4" s="165"/>
      <c r="H4" s="165"/>
      <c r="I4" s="165"/>
      <c r="J4" s="74"/>
      <c r="K4" s="147"/>
    </row>
    <row r="5" spans="1:12">
      <c r="A5" s="451" t="s">
        <v>1804</v>
      </c>
      <c r="B5" s="447" t="s">
        <v>1805</v>
      </c>
      <c r="C5" s="443" t="s">
        <v>1808</v>
      </c>
      <c r="D5" s="444"/>
      <c r="E5" s="443" t="s">
        <v>1809</v>
      </c>
      <c r="F5" s="444"/>
      <c r="G5" s="443" t="s">
        <v>1810</v>
      </c>
      <c r="H5" s="444"/>
      <c r="I5" s="443" t="s">
        <v>1792</v>
      </c>
      <c r="J5" s="444"/>
      <c r="K5" s="445" t="s">
        <v>1806</v>
      </c>
    </row>
    <row r="6" spans="1:12" ht="13.8" thickBot="1">
      <c r="A6" s="452"/>
      <c r="B6" s="448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446"/>
    </row>
    <row r="7" spans="1:12" ht="42" customHeight="1" thickBot="1">
      <c r="A7" s="172">
        <v>1</v>
      </c>
      <c r="B7" s="104" t="str">
        <f>INDEX(Tabelle3!B:B,MATCH(A7,Tabelle3!AD:AD,0))</f>
        <v>BK München 1</v>
      </c>
      <c r="C7" s="148">
        <f>INDEX(Tabelle1!M:M,MATCH(B7,Tabelle1!B:B,0))</f>
        <v>2969</v>
      </c>
      <c r="D7" s="149">
        <f>INDEX(Tabelle1!N:N,MATCH(B7,Tabelle1!B:B,0))</f>
        <v>23</v>
      </c>
      <c r="E7" s="148">
        <f>INDEX(Tabelle2!M:M,MATCH(B7,Tabelle2!B:B,0))</f>
        <v>3146</v>
      </c>
      <c r="F7" s="149">
        <f>INDEX(Tabelle2!N:N,MATCH(B7,Tabelle2!B:B,0))</f>
        <v>22</v>
      </c>
      <c r="G7" s="148">
        <f>INDEX(Tabelle3!M:M,MATCH(B7,Tabelle3!B:B,0))</f>
        <v>2936</v>
      </c>
      <c r="H7" s="150">
        <f>INDEX(Tabelle3!N:N,MATCH(B7,Tabelle3!B:B,0))</f>
        <v>21</v>
      </c>
      <c r="I7" s="173">
        <f t="shared" ref="I7:J12" si="0">SUM(C7+E7+G7)</f>
        <v>9051</v>
      </c>
      <c r="J7" s="174">
        <f t="shared" si="0"/>
        <v>66</v>
      </c>
      <c r="K7" s="175">
        <f>I7/INDEX(Tabelle3!$AE:$AE,MATCH($B7,Tabelle3!$B:$B,0))</f>
        <v>201.13333333333333</v>
      </c>
      <c r="L7" s="70"/>
    </row>
    <row r="8" spans="1:12" ht="42" customHeight="1" thickBot="1">
      <c r="A8" s="172">
        <v>2</v>
      </c>
      <c r="B8" s="104" t="str">
        <f>INDEX(Tabelle3!B:B,MATCH(A8,Tabelle3!AD:AD,0))</f>
        <v>Bad Tölz 1</v>
      </c>
      <c r="C8" s="148">
        <f>INDEX(Tabelle1!M:M,MATCH(B8,Tabelle1!B:B,0))</f>
        <v>1841</v>
      </c>
      <c r="D8" s="149">
        <f>INDEX(Tabelle1!N:N,MATCH(B8,Tabelle1!B:B,0))</f>
        <v>8</v>
      </c>
      <c r="E8" s="148">
        <f>INDEX(Tabelle2!M:M,MATCH(B8,Tabelle2!B:B,0))</f>
        <v>2616</v>
      </c>
      <c r="F8" s="149">
        <f>INDEX(Tabelle2!N:N,MATCH(B8,Tabelle2!B:B,0))</f>
        <v>17.5</v>
      </c>
      <c r="G8" s="148">
        <f>INDEX(Tabelle3!M:M,MATCH(B8,Tabelle3!B:B,0))</f>
        <v>2654</v>
      </c>
      <c r="H8" s="150">
        <f>INDEX(Tabelle3!N:N,MATCH(B8,Tabelle3!B:B,0))</f>
        <v>16</v>
      </c>
      <c r="I8" s="173">
        <f t="shared" si="0"/>
        <v>7111</v>
      </c>
      <c r="J8" s="174">
        <f t="shared" si="0"/>
        <v>41.5</v>
      </c>
      <c r="K8" s="175">
        <f>I8/INDEX(Tabelle3!$AE:$AE,MATCH($B8,Tabelle3!$B:$B,0))</f>
        <v>177.77500000000001</v>
      </c>
      <c r="L8" s="70"/>
    </row>
    <row r="9" spans="1:12" ht="42" customHeight="1" thickBot="1">
      <c r="A9" s="172">
        <v>3</v>
      </c>
      <c r="B9" s="104" t="str">
        <f>INDEX(Tabelle3!B:B,MATCH(A9,Tabelle3!AD:AD,0))</f>
        <v>Bowling Jugend Bayern 1</v>
      </c>
      <c r="C9" s="148">
        <f>INDEX(Tabelle1!M:M,MATCH(B9,Tabelle1!B:B,0))</f>
        <v>2296</v>
      </c>
      <c r="D9" s="149">
        <f>INDEX(Tabelle1!N:N,MATCH(B9,Tabelle1!B:B,0))</f>
        <v>14</v>
      </c>
      <c r="E9" s="148">
        <f>INDEX(Tabelle2!M:M,MATCH(B9,Tabelle2!B:B,0))</f>
        <v>2557</v>
      </c>
      <c r="F9" s="149">
        <f>INDEX(Tabelle2!N:N,MATCH(B9,Tabelle2!B:B,0))</f>
        <v>14.5</v>
      </c>
      <c r="G9" s="148">
        <f>INDEX(Tabelle3!M:M,MATCH(B9,Tabelle3!B:B,0))</f>
        <v>2534</v>
      </c>
      <c r="H9" s="150">
        <f>INDEX(Tabelle3!N:N,MATCH(B9,Tabelle3!B:B,0))</f>
        <v>12</v>
      </c>
      <c r="I9" s="173">
        <f t="shared" si="0"/>
        <v>7387</v>
      </c>
      <c r="J9" s="174">
        <f t="shared" si="0"/>
        <v>40.5</v>
      </c>
      <c r="K9" s="175">
        <f>I9/INDEX(Tabelle3!$AE:$AE,MATCH($B9,Tabelle3!$B:$B,0))</f>
        <v>164.15555555555557</v>
      </c>
      <c r="L9" s="70"/>
    </row>
    <row r="10" spans="1:12" ht="42" customHeight="1" thickBot="1">
      <c r="A10" s="172">
        <v>4</v>
      </c>
      <c r="B10" s="104" t="str">
        <f>INDEX(Tabelle3!B:B,MATCH(A10,Tabelle3!AD:AD,0))</f>
        <v>EMAX 1</v>
      </c>
      <c r="C10" s="148">
        <f>INDEX(Tabelle1!M:M,MATCH(B10,Tabelle1!B:B,0))</f>
        <v>2281</v>
      </c>
      <c r="D10" s="149">
        <f>INDEX(Tabelle1!N:N,MATCH(B10,Tabelle1!B:B,0))</f>
        <v>14</v>
      </c>
      <c r="E10" s="148">
        <f>INDEX(Tabelle2!M:M,MATCH(B10,Tabelle2!B:B,0))</f>
        <v>2513</v>
      </c>
      <c r="F10" s="149">
        <f>INDEX(Tabelle2!N:N,MATCH(B10,Tabelle2!B:B,0))</f>
        <v>16</v>
      </c>
      <c r="G10" s="148">
        <f>INDEX(Tabelle3!M:M,MATCH(B10,Tabelle3!B:B,0))</f>
        <v>2250</v>
      </c>
      <c r="H10" s="150">
        <f>INDEX(Tabelle3!N:N,MATCH(B10,Tabelle3!B:B,0))</f>
        <v>8.5</v>
      </c>
      <c r="I10" s="173">
        <f t="shared" si="0"/>
        <v>7044</v>
      </c>
      <c r="J10" s="174">
        <f t="shared" si="0"/>
        <v>38.5</v>
      </c>
      <c r="K10" s="175">
        <f>I10/INDEX(Tabelle3!$AE:$AE,MATCH($B10,Tabelle3!$B:$B,0))</f>
        <v>156.53333333333333</v>
      </c>
      <c r="L10" s="70"/>
    </row>
    <row r="11" spans="1:12" ht="42" customHeight="1" thickBot="1">
      <c r="A11" s="172">
        <v>5</v>
      </c>
      <c r="B11" s="104" t="str">
        <f>INDEX(Tabelle3!B:B,MATCH(A11,Tabelle3!AD:AD,0))</f>
        <v>Berchtesgaden 1</v>
      </c>
      <c r="C11" s="148">
        <f>INDEX(Tabelle1!M:M,MATCH(B11,Tabelle1!B:B,0))</f>
        <v>2355</v>
      </c>
      <c r="D11" s="149">
        <f>INDEX(Tabelle1!N:N,MATCH(B11,Tabelle1!B:B,0))</f>
        <v>18</v>
      </c>
      <c r="E11" s="148">
        <f>INDEX(Tabelle2!M:M,MATCH(B11,Tabelle2!B:B,0))</f>
        <v>2389</v>
      </c>
      <c r="F11" s="149">
        <f>INDEX(Tabelle2!N:N,MATCH(B11,Tabelle2!B:B,0))</f>
        <v>7</v>
      </c>
      <c r="G11" s="148">
        <f>INDEX(Tabelle3!M:M,MATCH(B11,Tabelle3!B:B,0))</f>
        <v>2285</v>
      </c>
      <c r="H11" s="150">
        <f>INDEX(Tabelle3!N:N,MATCH(B11,Tabelle3!B:B,0))</f>
        <v>11.5</v>
      </c>
      <c r="I11" s="173">
        <f t="shared" si="0"/>
        <v>7029</v>
      </c>
      <c r="J11" s="174">
        <f t="shared" si="0"/>
        <v>36.5</v>
      </c>
      <c r="K11" s="175">
        <f>I11/INDEX(Tabelle3!$AE:$AE,MATCH($B11,Tabelle3!$B:$B,0))</f>
        <v>156.19999999999999</v>
      </c>
      <c r="L11" s="70"/>
    </row>
    <row r="12" spans="1:12" ht="42" customHeight="1" thickBot="1">
      <c r="A12" s="172">
        <v>6</v>
      </c>
      <c r="B12" s="104" t="str">
        <f>INDEX(Tabelle3!B:B,MATCH(A12,Tabelle3!AD:AD,0))</f>
        <v>Highroller Rosenheim 1</v>
      </c>
      <c r="C12" s="148">
        <f>INDEX(Tabelle1!M:M,MATCH(B12,Tabelle1!B:B,0))</f>
        <v>2241</v>
      </c>
      <c r="D12" s="149">
        <f>INDEX(Tabelle1!N:N,MATCH(B12,Tabelle1!B:B,0))</f>
        <v>10</v>
      </c>
      <c r="E12" s="148">
        <f>INDEX(Tabelle2!M:M,MATCH(B12,Tabelle2!B:B,0))</f>
        <v>2289</v>
      </c>
      <c r="F12" s="149">
        <f>INDEX(Tabelle2!N:N,MATCH(B12,Tabelle2!B:B,0))</f>
        <v>7</v>
      </c>
      <c r="G12" s="148">
        <f>INDEX(Tabelle3!M:M,MATCH(B12,Tabelle3!B:B,0))</f>
        <v>2587</v>
      </c>
      <c r="H12" s="150">
        <f>INDEX(Tabelle3!N:N,MATCH(B12,Tabelle3!B:B,0))</f>
        <v>19</v>
      </c>
      <c r="I12" s="173">
        <f t="shared" si="0"/>
        <v>7117</v>
      </c>
      <c r="J12" s="174">
        <f t="shared" si="0"/>
        <v>36</v>
      </c>
      <c r="K12" s="175">
        <f>IFERROR(I12/INDEX(Tabelle3!$AE:$AE,MATCH($B12,Tabelle3!$B:$B,0)),0)</f>
        <v>158.15555555555557</v>
      </c>
      <c r="L12" s="70"/>
    </row>
    <row r="13" spans="1:12" ht="42" customHeight="1" thickBot="1">
      <c r="A13" s="172">
        <v>7</v>
      </c>
      <c r="B13" s="104" t="str">
        <f>INDEX(Tabelle3!B:B,MATCH(A13,Tabelle3!AD:AD,0))</f>
        <v>Highroller Rosenheim 3</v>
      </c>
      <c r="C13" s="148">
        <f>INDEX(Tabelle1!M:M,MATCH(B13,Tabelle1!B:B,0))</f>
        <v>2197</v>
      </c>
      <c r="D13" s="149">
        <f>INDEX(Tabelle1!N:N,MATCH(B13,Tabelle1!B:B,0))</f>
        <v>4.5</v>
      </c>
      <c r="E13" s="148">
        <f>INDEX(Tabelle2!M:M,MATCH(B13,Tabelle2!B:B,0))</f>
        <v>2428</v>
      </c>
      <c r="F13" s="149">
        <f>INDEX(Tabelle2!N:N,MATCH(B13,Tabelle2!B:B,0))</f>
        <v>11.5</v>
      </c>
      <c r="G13" s="148">
        <f>INDEX(Tabelle3!M:M,MATCH(B13,Tabelle3!B:B,0))</f>
        <v>2306</v>
      </c>
      <c r="H13" s="150">
        <f>INDEX(Tabelle3!N:N,MATCH(B13,Tabelle3!B:B,0))</f>
        <v>6</v>
      </c>
      <c r="I13" s="173">
        <f t="shared" ref="I13:I14" si="1">SUM(C13+E13+G13)</f>
        <v>6931</v>
      </c>
      <c r="J13" s="174">
        <f t="shared" ref="J13:J14" si="2">SUM(D13+F13+H13)</f>
        <v>22</v>
      </c>
      <c r="K13" s="175">
        <f>IFERROR(I13/INDEX(Tabelle3!$AE:$AE,MATCH($B13,Tabelle3!$B:$B,0)),0)</f>
        <v>154.02222222222221</v>
      </c>
      <c r="L13" s="70"/>
    </row>
    <row r="14" spans="1:12" ht="42" customHeight="1" thickBot="1">
      <c r="A14" s="172">
        <v>8</v>
      </c>
      <c r="B14" s="104" t="str">
        <f>INDEX(Tabelle3!B:B,MATCH(A14,Tabelle3!AD:AD,0))</f>
        <v>Highroller Rosenheim 2</v>
      </c>
      <c r="C14" s="148">
        <f>INDEX(Tabelle1!M:M,MATCH(B14,Tabelle1!B:B,0))</f>
        <v>2177</v>
      </c>
      <c r="D14" s="149">
        <f>INDEX(Tabelle1!N:N,MATCH(B14,Tabelle1!B:B,0))</f>
        <v>8.5</v>
      </c>
      <c r="E14" s="148">
        <f>INDEX(Tabelle2!M:M,MATCH(B14,Tabelle2!B:B,0))</f>
        <v>2297</v>
      </c>
      <c r="F14" s="149">
        <f>INDEX(Tabelle2!N:N,MATCH(B14,Tabelle2!B:B,0))</f>
        <v>4.5</v>
      </c>
      <c r="G14" s="148">
        <f>INDEX(Tabelle3!M:M,MATCH(B14,Tabelle3!B:B,0))</f>
        <v>2206</v>
      </c>
      <c r="H14" s="150">
        <f>INDEX(Tabelle3!N:N,MATCH(B14,Tabelle3!B:B,0))</f>
        <v>6</v>
      </c>
      <c r="I14" s="173">
        <f t="shared" si="1"/>
        <v>6680</v>
      </c>
      <c r="J14" s="174">
        <f t="shared" si="2"/>
        <v>19</v>
      </c>
      <c r="K14" s="175">
        <f>IFERROR(I14/INDEX(Tabelle3!$AE:$AE,MATCH($B14,Tabelle3!$B:$B,0)),0)</f>
        <v>148.44444444444446</v>
      </c>
      <c r="L14" s="70"/>
    </row>
  </sheetData>
  <sheetProtection password="D19C" sheet="1" objects="1" scenarios="1" formatCells="0" formatColumns="0" formatRows="0"/>
  <mergeCells count="10">
    <mergeCell ref="K5:K6"/>
    <mergeCell ref="A1:K1"/>
    <mergeCell ref="A2:K2"/>
    <mergeCell ref="A3:K3"/>
    <mergeCell ref="I5:J5"/>
    <mergeCell ref="G5:H5"/>
    <mergeCell ref="A5:A6"/>
    <mergeCell ref="B5:B6"/>
    <mergeCell ref="C5:D5"/>
    <mergeCell ref="E5:F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 r:id="rId1"/>
  <headerFooter>
    <oddHeader>&amp;R&amp;G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22" sqref="E22:J22"/>
    </sheetView>
  </sheetViews>
  <sheetFormatPr baseColWidth="10" defaultColWidth="11.44140625" defaultRowHeight="13.2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44140625" style="91"/>
    <col min="10" max="11" width="11.44140625" style="91" customWidth="1"/>
    <col min="12" max="16" width="11.44140625" style="91" hidden="1" customWidth="1"/>
    <col min="17" max="20" width="11.44140625" style="91" customWidth="1"/>
    <col min="21" max="16384" width="11.44140625" style="91"/>
  </cols>
  <sheetData>
    <row r="1" spans="1:16" ht="28.5" customHeight="1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>
      <c r="A2" s="96" t="s">
        <v>1785</v>
      </c>
      <c r="C2" s="97">
        <v>3</v>
      </c>
      <c r="D2" s="97" t="s">
        <v>1821</v>
      </c>
      <c r="E2" s="98"/>
      <c r="F2" s="99"/>
      <c r="L2" s="91">
        <f>INDEX(Starter!A:A,ROW()-1)</f>
        <v>38890</v>
      </c>
      <c r="M2" s="91">
        <f>SUMIF(Erfassung3!AU:AU,L2,Erfassung3!BJ:BJ)</f>
        <v>366</v>
      </c>
      <c r="N2" s="91">
        <f>SUMIF(Erfassung3!AU:AU,L2,Erfassung3!AX:AX)</f>
        <v>4</v>
      </c>
      <c r="O2" s="91">
        <f>IF(N2=0,0,M2/N2-ROW()/1000000000)</f>
        <v>91.499999998000007</v>
      </c>
      <c r="P2" s="91">
        <f>RANK(O2,O:O)</f>
        <v>25</v>
      </c>
    </row>
    <row r="3" spans="1:16">
      <c r="L3" s="91">
        <f>INDEX(Starter!A:A,ROW()-1)</f>
        <v>38785</v>
      </c>
      <c r="M3" s="91">
        <f>SUMIF(Erfassung3!AU:AU,L3,Erfassung3!BJ:BJ)</f>
        <v>0</v>
      </c>
      <c r="N3" s="91">
        <f>SUMIF(Erfassung3!AU:AU,L3,Erfassung3!AX:AX)</f>
        <v>0</v>
      </c>
      <c r="O3" s="91">
        <f t="shared" ref="O3:O66" si="0">IF(N3=0,0,M3/N3-ROW()/1000000000)</f>
        <v>0</v>
      </c>
      <c r="P3" s="91">
        <f t="shared" ref="P3:P66" si="1">RANK(O3,O:O)</f>
        <v>29</v>
      </c>
    </row>
    <row r="4" spans="1:16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SUMIF(Erfassung3!AU:AU,L4,Erfassung3!BJ:BJ)</f>
        <v>476</v>
      </c>
      <c r="N4" s="91">
        <f>SUMIF(Erfassung3!AU:AU,L4,Erfassung3!AX:AX)</f>
        <v>3</v>
      </c>
      <c r="O4" s="91">
        <f t="shared" si="0"/>
        <v>158.66666666266667</v>
      </c>
      <c r="P4" s="91">
        <f t="shared" si="1"/>
        <v>10</v>
      </c>
    </row>
    <row r="5" spans="1:16">
      <c r="A5" s="91">
        <v>1</v>
      </c>
      <c r="B5" s="91">
        <f t="shared" ref="B5:B68" si="2">IFERROR(INDEX(L:L,MATCH(A5,P:P,0)),"")</f>
        <v>38845</v>
      </c>
      <c r="C5" s="91" t="str">
        <f>IFERROR(INDEX(Starter!B:B,MATCH(B5,Starter!A:A,0)),"")</f>
        <v>Kugler, Laurin</v>
      </c>
      <c r="D5" s="91" t="str">
        <f>IFERROR(INDEX(Starter!C:C,MATCH(B5,Starter!A:A,0)),"")</f>
        <v>Absolut-Sports.com</v>
      </c>
      <c r="E5" s="100">
        <f t="shared" ref="E5:E68" si="3">IFERROR(INDEX(M:M,MATCH(A5,P:P,0)),"")</f>
        <v>1026</v>
      </c>
      <c r="F5" s="91">
        <f t="shared" ref="F5:F68" si="4">IFERROR(INDEX(N:N,MATCH(A5,P:P,0)),"")</f>
        <v>5</v>
      </c>
      <c r="G5" s="95">
        <f t="shared" ref="G5:G68" si="5">IFERROR(INDEX(O:O,MATCH(A5,P:P,0)),"")</f>
        <v>205.19999999199999</v>
      </c>
      <c r="L5" s="91">
        <f>INDEX(Starter!A:A,ROW()-1)</f>
        <v>38904</v>
      </c>
      <c r="M5" s="91">
        <f>SUMIF(Erfassung3!AU:AU,L5,Erfassung3!BJ:BJ)</f>
        <v>469</v>
      </c>
      <c r="N5" s="91">
        <f>SUMIF(Erfassung3!AU:AU,L5,Erfassung3!AX:AX)</f>
        <v>4</v>
      </c>
      <c r="O5" s="91">
        <f t="shared" si="0"/>
        <v>117.249999995</v>
      </c>
      <c r="P5" s="91">
        <f t="shared" si="1"/>
        <v>18</v>
      </c>
    </row>
    <row r="6" spans="1:16">
      <c r="A6" s="91">
        <f t="shared" ref="A6:A69" si="6">IFERROR(IF(A5+1&gt;MAX(P:P)-1,"",A5+1),"")</f>
        <v>2</v>
      </c>
      <c r="B6" s="91">
        <f t="shared" si="2"/>
        <v>38708</v>
      </c>
      <c r="C6" s="91" t="str">
        <f>IFERROR(INDEX(Starter!B:B,MATCH(B6,Starter!A:A,0)),"")</f>
        <v>Gründl, Alexander</v>
      </c>
      <c r="D6" s="91" t="str">
        <f>IFERROR(INDEX(Starter!C:C,MATCH(B6,Starter!A:A,0)),"")</f>
        <v>BK München</v>
      </c>
      <c r="E6" s="100">
        <f t="shared" si="3"/>
        <v>1010</v>
      </c>
      <c r="F6" s="91">
        <f t="shared" si="4"/>
        <v>5</v>
      </c>
      <c r="G6" s="95">
        <f t="shared" si="5"/>
        <v>201.999999965</v>
      </c>
      <c r="L6" s="91">
        <f>INDEX(Starter!A:A,ROW()-1)</f>
        <v>38910</v>
      </c>
      <c r="M6" s="91">
        <f>SUMIF(Erfassung3!AU:AU,L6,Erfassung3!BJ:BJ)</f>
        <v>449</v>
      </c>
      <c r="N6" s="91">
        <f>SUMIF(Erfassung3!AU:AU,L6,Erfassung3!AX:AX)</f>
        <v>4</v>
      </c>
      <c r="O6" s="91">
        <f t="shared" si="0"/>
        <v>112.24999999400001</v>
      </c>
      <c r="P6" s="91">
        <f t="shared" si="1"/>
        <v>20</v>
      </c>
    </row>
    <row r="7" spans="1:16">
      <c r="A7" s="91">
        <f t="shared" si="6"/>
        <v>3</v>
      </c>
      <c r="B7" s="91">
        <f t="shared" si="2"/>
        <v>38334</v>
      </c>
      <c r="C7" s="91" t="str">
        <f>IFERROR(INDEX(Starter!B:B,MATCH(B7,Starter!A:A,0)),"")</f>
        <v>Lauchner, Julian</v>
      </c>
      <c r="D7" s="91" t="str">
        <f>IFERROR(INDEX(Starter!C:C,MATCH(B7,Starter!A:A,0)),"")</f>
        <v>BK München</v>
      </c>
      <c r="E7" s="100">
        <f t="shared" si="3"/>
        <v>971</v>
      </c>
      <c r="F7" s="91">
        <f t="shared" si="4"/>
        <v>5</v>
      </c>
      <c r="G7" s="95">
        <f t="shared" si="5"/>
        <v>194.19999995499998</v>
      </c>
      <c r="L7" s="91">
        <f>INDEX(Starter!A:A,ROW()-1)</f>
        <v>38861</v>
      </c>
      <c r="M7" s="91">
        <f>SUMIF(Erfassung3!AU:AU,L7,Erfassung3!BJ:BJ)</f>
        <v>0</v>
      </c>
      <c r="N7" s="91">
        <f>SUMIF(Erfassung3!AU:AU,L7,Erfassung3!AX:AX)</f>
        <v>0</v>
      </c>
      <c r="O7" s="91">
        <f t="shared" si="0"/>
        <v>0</v>
      </c>
      <c r="P7" s="91">
        <f t="shared" si="1"/>
        <v>29</v>
      </c>
    </row>
    <row r="8" spans="1:16">
      <c r="A8" s="91">
        <f t="shared" si="6"/>
        <v>4</v>
      </c>
      <c r="B8" s="91">
        <f t="shared" si="2"/>
        <v>38327</v>
      </c>
      <c r="C8" s="91" t="str">
        <f>IFERROR(INDEX(Starter!B:B,MATCH(B8,Starter!A:A,0)),"")</f>
        <v>Jakobi, Moritz</v>
      </c>
      <c r="D8" s="91" t="str">
        <f>IFERROR(INDEX(Starter!C:C,MATCH(B8,Starter!A:A,0)),"")</f>
        <v>BK München</v>
      </c>
      <c r="E8" s="100">
        <f t="shared" si="3"/>
        <v>955</v>
      </c>
      <c r="F8" s="91">
        <f t="shared" si="4"/>
        <v>5</v>
      </c>
      <c r="G8" s="95">
        <f t="shared" si="5"/>
        <v>190.99999996400001</v>
      </c>
      <c r="L8" s="91">
        <f>INDEX(Starter!A:A,ROW()-1)</f>
        <v>38845</v>
      </c>
      <c r="M8" s="91">
        <f>SUMIF(Erfassung3!AU:AU,L8,Erfassung3!BJ:BJ)</f>
        <v>1026</v>
      </c>
      <c r="N8" s="91">
        <f>SUMIF(Erfassung3!AU:AU,L8,Erfassung3!AX:AX)</f>
        <v>5</v>
      </c>
      <c r="O8" s="91">
        <f t="shared" si="0"/>
        <v>205.19999999199999</v>
      </c>
      <c r="P8" s="91">
        <f t="shared" si="1"/>
        <v>1</v>
      </c>
    </row>
    <row r="9" spans="1:16">
      <c r="A9" s="91">
        <f t="shared" si="6"/>
        <v>5</v>
      </c>
      <c r="B9" s="91">
        <f t="shared" si="2"/>
        <v>38759</v>
      </c>
      <c r="C9" s="91" t="str">
        <f>IFERROR(INDEX(Starter!B:B,MATCH(B9,Starter!A:A,0)),"")</f>
        <v>Stölzel, Celia</v>
      </c>
      <c r="D9" s="91" t="str">
        <f>IFERROR(INDEX(Starter!C:C,MATCH(B9,Starter!A:A,0)),"")</f>
        <v>BSC Highroller Rosenheim</v>
      </c>
      <c r="E9" s="100">
        <f t="shared" si="3"/>
        <v>864</v>
      </c>
      <c r="F9" s="91">
        <f t="shared" si="4"/>
        <v>5</v>
      </c>
      <c r="G9" s="95">
        <f t="shared" si="5"/>
        <v>172.79999998600002</v>
      </c>
      <c r="L9" s="91">
        <f>INDEX(Starter!A:A,ROW()-1)</f>
        <v>38843</v>
      </c>
      <c r="M9" s="91">
        <f>SUMIF(Erfassung3!AU:AU,L9,Erfassung3!BJ:BJ)</f>
        <v>234</v>
      </c>
      <c r="N9" s="91">
        <f>SUMIF(Erfassung3!AU:AU,L9,Erfassung3!AX:AX)</f>
        <v>2</v>
      </c>
      <c r="O9" s="91">
        <f t="shared" si="0"/>
        <v>116.999999991</v>
      </c>
      <c r="P9" s="91">
        <f t="shared" si="1"/>
        <v>19</v>
      </c>
    </row>
    <row r="10" spans="1:16">
      <c r="A10" s="91">
        <f t="shared" si="6"/>
        <v>6</v>
      </c>
      <c r="B10" s="91">
        <f t="shared" si="2"/>
        <v>38942</v>
      </c>
      <c r="C10" s="91" t="str">
        <f>IFERROR(INDEX(Starter!B:B,MATCH(B10,Starter!A:A,0)),"")</f>
        <v>Klettenheimer, Julius</v>
      </c>
      <c r="D10" s="91" t="str">
        <f>IFERROR(INDEX(Starter!C:C,MATCH(B10,Starter!A:A,0)),"")</f>
        <v>Bowling Jugend Bayern</v>
      </c>
      <c r="E10" s="100">
        <f t="shared" si="3"/>
        <v>686</v>
      </c>
      <c r="F10" s="91">
        <f t="shared" si="4"/>
        <v>4</v>
      </c>
      <c r="G10" s="95">
        <f t="shared" si="5"/>
        <v>171.49999995600001</v>
      </c>
      <c r="L10" s="91">
        <f>INDEX(Starter!A:A,ROW()-1)</f>
        <v>38844</v>
      </c>
      <c r="M10" s="91">
        <f>SUMIF(Erfassung3!AU:AU,L10,Erfassung3!BJ:BJ)</f>
        <v>0</v>
      </c>
      <c r="N10" s="91">
        <f>SUMIF(Erfassung3!AU:AU,L10,Erfassung3!AX:AX)</f>
        <v>0</v>
      </c>
      <c r="O10" s="91">
        <f t="shared" si="0"/>
        <v>0</v>
      </c>
      <c r="P10" s="91">
        <f t="shared" si="1"/>
        <v>29</v>
      </c>
    </row>
    <row r="11" spans="1:16">
      <c r="A11" s="91">
        <f t="shared" si="6"/>
        <v>7</v>
      </c>
      <c r="B11" s="91">
        <f t="shared" si="2"/>
        <v>38760</v>
      </c>
      <c r="C11" s="91" t="str">
        <f>IFERROR(INDEX(Starter!B:B,MATCH(B11,Starter!A:A,0)),"")</f>
        <v>Achhammer, Klara</v>
      </c>
      <c r="D11" s="91" t="str">
        <f>IFERROR(INDEX(Starter!C:C,MATCH(B11,Starter!A:A,0)),"")</f>
        <v>BSC Highroller Rosenheim</v>
      </c>
      <c r="E11" s="100">
        <f t="shared" si="3"/>
        <v>825</v>
      </c>
      <c r="F11" s="91">
        <f t="shared" si="4"/>
        <v>5</v>
      </c>
      <c r="G11" s="95">
        <f t="shared" si="5"/>
        <v>164.999999987</v>
      </c>
      <c r="L11" s="91">
        <f>INDEX(Starter!A:A,ROW()-1)</f>
        <v>38772</v>
      </c>
      <c r="M11" s="91">
        <f>SUMIF(Erfassung3!AU:AU,L11,Erfassung3!BJ:BJ)</f>
        <v>790</v>
      </c>
      <c r="N11" s="91">
        <f>SUMIF(Erfassung3!AU:AU,L11,Erfassung3!AX:AX)</f>
        <v>5</v>
      </c>
      <c r="O11" s="91">
        <f t="shared" si="0"/>
        <v>157.999999989</v>
      </c>
      <c r="P11" s="91">
        <f t="shared" si="1"/>
        <v>11</v>
      </c>
    </row>
    <row r="12" spans="1:16">
      <c r="A12" s="91">
        <f t="shared" si="6"/>
        <v>8</v>
      </c>
      <c r="B12" s="91">
        <f t="shared" si="2"/>
        <v>38781</v>
      </c>
      <c r="C12" s="91" t="str">
        <f>IFERROR(INDEX(Starter!B:B,MATCH(B12,Starter!A:A,0)),"")</f>
        <v>Reichenauer, Leon</v>
      </c>
      <c r="D12" s="91" t="str">
        <f>IFERROR(INDEX(Starter!C:C,MATCH(B12,Starter!A:A,0)),"")</f>
        <v>Bowling Jugend Bayern</v>
      </c>
      <c r="E12" s="100">
        <f t="shared" si="3"/>
        <v>808</v>
      </c>
      <c r="F12" s="91">
        <f t="shared" si="4"/>
        <v>5</v>
      </c>
      <c r="G12" s="95">
        <f t="shared" si="5"/>
        <v>161.59999995799998</v>
      </c>
      <c r="L12" s="91">
        <f>INDEX(Starter!A:A,ROW()-1)</f>
        <v>38893</v>
      </c>
      <c r="M12" s="91">
        <f>SUMIF(Erfassung3!AU:AU,L12,Erfassung3!BJ:BJ)</f>
        <v>298</v>
      </c>
      <c r="N12" s="91">
        <f>SUMIF(Erfassung3!AU:AU,L12,Erfassung3!AX:AX)</f>
        <v>3</v>
      </c>
      <c r="O12" s="91">
        <f t="shared" si="0"/>
        <v>99.333333321333328</v>
      </c>
      <c r="P12" s="91">
        <f t="shared" si="1"/>
        <v>24</v>
      </c>
    </row>
    <row r="13" spans="1:16">
      <c r="A13" s="91">
        <f t="shared" si="6"/>
        <v>9</v>
      </c>
      <c r="B13" s="91">
        <f t="shared" si="2"/>
        <v>38773</v>
      </c>
      <c r="C13" s="91" t="str">
        <f>IFERROR(INDEX(Starter!B:B,MATCH(B13,Starter!A:A,0)),"")</f>
        <v>Weiss, Luisa Samira</v>
      </c>
      <c r="D13" s="91" t="str">
        <f>IFERROR(INDEX(Starter!C:C,MATCH(B13,Starter!A:A,0)),"")</f>
        <v>BSC Highroller Rosenheim</v>
      </c>
      <c r="E13" s="100">
        <f t="shared" si="3"/>
        <v>803</v>
      </c>
      <c r="F13" s="91">
        <f t="shared" si="4"/>
        <v>5</v>
      </c>
      <c r="G13" s="95">
        <f t="shared" si="5"/>
        <v>160.59999998399999</v>
      </c>
      <c r="L13" s="91">
        <f>INDEX(Starter!A:A,ROW()-1)</f>
        <v>38760</v>
      </c>
      <c r="M13" s="91">
        <f>SUMIF(Erfassung3!AU:AU,L13,Erfassung3!BJ:BJ)</f>
        <v>825</v>
      </c>
      <c r="N13" s="91">
        <f>SUMIF(Erfassung3!AU:AU,L13,Erfassung3!AX:AX)</f>
        <v>5</v>
      </c>
      <c r="O13" s="91">
        <f t="shared" si="0"/>
        <v>164.999999987</v>
      </c>
      <c r="P13" s="91">
        <f t="shared" si="1"/>
        <v>7</v>
      </c>
    </row>
    <row r="14" spans="1:16">
      <c r="A14" s="91">
        <f t="shared" si="6"/>
        <v>10</v>
      </c>
      <c r="B14" s="91">
        <f t="shared" si="2"/>
        <v>38706</v>
      </c>
      <c r="C14" s="91" t="str">
        <f>IFERROR(INDEX(Starter!B:B,MATCH(B14,Starter!A:A,0)),"")</f>
        <v>Böhm, Eric-Pascal</v>
      </c>
      <c r="D14" s="91" t="str">
        <f>IFERROR(INDEX(Starter!C:C,MATCH(B14,Starter!A:A,0)),"")</f>
        <v>BC EMAX</v>
      </c>
      <c r="E14" s="100">
        <f t="shared" si="3"/>
        <v>476</v>
      </c>
      <c r="F14" s="91">
        <f t="shared" si="4"/>
        <v>3</v>
      </c>
      <c r="G14" s="95">
        <f t="shared" si="5"/>
        <v>158.66666666266667</v>
      </c>
      <c r="L14" s="91">
        <f>INDEX(Starter!A:A,ROW()-1)</f>
        <v>38759</v>
      </c>
      <c r="M14" s="91">
        <f>SUMIF(Erfassung3!AU:AU,L14,Erfassung3!BJ:BJ)</f>
        <v>864</v>
      </c>
      <c r="N14" s="91">
        <f>SUMIF(Erfassung3!AU:AU,L14,Erfassung3!AX:AX)</f>
        <v>5</v>
      </c>
      <c r="O14" s="91">
        <f t="shared" si="0"/>
        <v>172.79999998600002</v>
      </c>
      <c r="P14" s="91">
        <f t="shared" si="1"/>
        <v>5</v>
      </c>
    </row>
    <row r="15" spans="1:16">
      <c r="A15" s="91">
        <f t="shared" si="6"/>
        <v>11</v>
      </c>
      <c r="B15" s="91">
        <f t="shared" si="2"/>
        <v>38772</v>
      </c>
      <c r="C15" s="91" t="str">
        <f>IFERROR(INDEX(Starter!B:B,MATCH(B15,Starter!A:A,0)),"")</f>
        <v>Sturm, Sebastian</v>
      </c>
      <c r="D15" s="91" t="str">
        <f>IFERROR(INDEX(Starter!C:C,MATCH(B15,Starter!A:A,0)),"")</f>
        <v>Absolut-Sports.com</v>
      </c>
      <c r="E15" s="100">
        <f t="shared" si="3"/>
        <v>790</v>
      </c>
      <c r="F15" s="91">
        <f t="shared" si="4"/>
        <v>5</v>
      </c>
      <c r="G15" s="95">
        <f t="shared" si="5"/>
        <v>157.999999989</v>
      </c>
      <c r="L15" s="91">
        <f>INDEX(Starter!A:A,ROW()-1)</f>
        <v>38831</v>
      </c>
      <c r="M15" s="91">
        <f>SUMIF(Erfassung3!AU:AU,L15,Erfassung3!BJ:BJ)</f>
        <v>0</v>
      </c>
      <c r="N15" s="91">
        <f>SUMIF(Erfassung3!AU:AU,L15,Erfassung3!AX:AX)</f>
        <v>0</v>
      </c>
      <c r="O15" s="91">
        <f t="shared" si="0"/>
        <v>0</v>
      </c>
      <c r="P15" s="91">
        <f t="shared" si="1"/>
        <v>29</v>
      </c>
    </row>
    <row r="16" spans="1:16">
      <c r="A16" s="91">
        <f t="shared" si="6"/>
        <v>12</v>
      </c>
      <c r="B16" s="91">
        <f t="shared" si="2"/>
        <v>38937</v>
      </c>
      <c r="C16" s="91" t="str">
        <f>IFERROR(INDEX(Starter!B:B,MATCH(B16,Starter!A:A,0)),"")</f>
        <v>Ruppert, Raja</v>
      </c>
      <c r="D16" s="91" t="str">
        <f>IFERROR(INDEX(Starter!C:C,MATCH(B16,Starter!A:A,0)),"")</f>
        <v>LA Bowling</v>
      </c>
      <c r="E16" s="100">
        <f t="shared" si="3"/>
        <v>693</v>
      </c>
      <c r="F16" s="91">
        <f t="shared" si="4"/>
        <v>5</v>
      </c>
      <c r="G16" s="95">
        <f t="shared" si="5"/>
        <v>138.599999967</v>
      </c>
      <c r="L16" s="91">
        <f>INDEX(Starter!A:A,ROW()-1)</f>
        <v>38773</v>
      </c>
      <c r="M16" s="91">
        <f>SUMIF(Erfassung3!AU:AU,L16,Erfassung3!BJ:BJ)</f>
        <v>803</v>
      </c>
      <c r="N16" s="91">
        <f>SUMIF(Erfassung3!AU:AU,L16,Erfassung3!AX:AX)</f>
        <v>5</v>
      </c>
      <c r="O16" s="91">
        <f t="shared" si="0"/>
        <v>160.59999998399999</v>
      </c>
      <c r="P16" s="91">
        <f t="shared" si="1"/>
        <v>9</v>
      </c>
    </row>
    <row r="17" spans="1:16">
      <c r="A17" s="91">
        <f t="shared" si="6"/>
        <v>13</v>
      </c>
      <c r="B17" s="91">
        <f t="shared" si="2"/>
        <v>38808</v>
      </c>
      <c r="C17" s="91" t="str">
        <f>IFERROR(INDEX(Starter!B:B,MATCH(B17,Starter!A:A,0)),"")</f>
        <v>Reinhold, Moritz</v>
      </c>
      <c r="D17" s="91" t="str">
        <f>IFERROR(INDEX(Starter!C:C,MATCH(B17,Starter!A:A,0)),"")</f>
        <v>BSC Highroller Rosenheim</v>
      </c>
      <c r="E17" s="100">
        <f t="shared" si="3"/>
        <v>644</v>
      </c>
      <c r="F17" s="91">
        <f t="shared" si="4"/>
        <v>5</v>
      </c>
      <c r="G17" s="95">
        <f t="shared" si="5"/>
        <v>128.79999997800002</v>
      </c>
      <c r="L17" s="91">
        <f>INDEX(Starter!A:A,ROW()-1)</f>
        <v>38809</v>
      </c>
      <c r="M17" s="91">
        <f>SUMIF(Erfassung3!AU:AU,L17,Erfassung3!BJ:BJ)</f>
        <v>0</v>
      </c>
      <c r="N17" s="91">
        <f>SUMIF(Erfassung3!AU:AU,L17,Erfassung3!AX:AX)</f>
        <v>0</v>
      </c>
      <c r="O17" s="91">
        <f t="shared" si="0"/>
        <v>0</v>
      </c>
      <c r="P17" s="91">
        <f t="shared" si="1"/>
        <v>29</v>
      </c>
    </row>
    <row r="18" spans="1:16">
      <c r="A18" s="91">
        <f t="shared" si="6"/>
        <v>14</v>
      </c>
      <c r="B18" s="91">
        <f t="shared" si="2"/>
        <v>38927</v>
      </c>
      <c r="C18" s="91" t="str">
        <f>IFERROR(INDEX(Starter!B:B,MATCH(B18,Starter!A:A,0)),"")</f>
        <v>Bonnaire, Ben</v>
      </c>
      <c r="D18" s="91" t="str">
        <f>IFERROR(INDEX(Starter!C:C,MATCH(B18,Starter!A:A,0)),"")</f>
        <v>Bowling Jugend Bayern</v>
      </c>
      <c r="E18" s="100">
        <f t="shared" si="3"/>
        <v>500</v>
      </c>
      <c r="F18" s="91">
        <f t="shared" si="4"/>
        <v>4</v>
      </c>
      <c r="G18" s="95">
        <f t="shared" si="5"/>
        <v>124.99999996299999</v>
      </c>
      <c r="L18" s="91">
        <f>INDEX(Starter!A:A,ROW()-1)</f>
        <v>38923</v>
      </c>
      <c r="M18" s="91">
        <f>SUMIF(Erfassung3!AU:AU,L18,Erfassung3!BJ:BJ)</f>
        <v>491</v>
      </c>
      <c r="N18" s="91">
        <f>SUMIF(Erfassung3!AU:AU,L18,Erfassung3!AX:AX)</f>
        <v>4</v>
      </c>
      <c r="O18" s="91">
        <f t="shared" si="0"/>
        <v>122.74999998200001</v>
      </c>
      <c r="P18" s="91">
        <f t="shared" si="1"/>
        <v>17</v>
      </c>
    </row>
    <row r="19" spans="1:16">
      <c r="A19" s="91">
        <f t="shared" si="6"/>
        <v>15</v>
      </c>
      <c r="B19" s="91">
        <f t="shared" si="2"/>
        <v>38819</v>
      </c>
      <c r="C19" s="91" t="str">
        <f>IFERROR(INDEX(Starter!B:B,MATCH(B19,Starter!A:A,0)),"")</f>
        <v>Pittner, Gregor</v>
      </c>
      <c r="D19" s="91" t="str">
        <f>IFERROR(INDEX(Starter!C:C,MATCH(B19,Starter!A:A,0)),"")</f>
        <v>BC Berchtesgaden</v>
      </c>
      <c r="E19" s="100">
        <f t="shared" si="3"/>
        <v>622</v>
      </c>
      <c r="F19" s="91">
        <f t="shared" si="4"/>
        <v>5</v>
      </c>
      <c r="G19" s="95">
        <f t="shared" si="5"/>
        <v>124.39999997000001</v>
      </c>
      <c r="L19" s="91">
        <f>INDEX(Starter!A:A,ROW()-1)</f>
        <v>38920</v>
      </c>
      <c r="M19" s="91">
        <f>SUMIF(Erfassung3!AU:AU,L19,Erfassung3!BJ:BJ)</f>
        <v>416</v>
      </c>
      <c r="N19" s="91">
        <f>SUMIF(Erfassung3!AU:AU,L19,Erfassung3!AX:AX)</f>
        <v>4</v>
      </c>
      <c r="O19" s="91">
        <f t="shared" si="0"/>
        <v>103.999999981</v>
      </c>
      <c r="P19" s="91">
        <f t="shared" si="1"/>
        <v>23</v>
      </c>
    </row>
    <row r="20" spans="1:16">
      <c r="A20" s="91">
        <f t="shared" si="6"/>
        <v>16</v>
      </c>
      <c r="B20" s="91">
        <f t="shared" si="2"/>
        <v>38848</v>
      </c>
      <c r="C20" s="91" t="str">
        <f>IFERROR(INDEX(Starter!B:B,MATCH(B20,Starter!A:A,0)),"")</f>
        <v>Marker, Anna</v>
      </c>
      <c r="D20" s="91" t="str">
        <f>IFERROR(INDEX(Starter!C:C,MATCH(B20,Starter!A:A,0)),"")</f>
        <v>BSC Highroller Rosenheim</v>
      </c>
      <c r="E20" s="100">
        <f t="shared" si="3"/>
        <v>615</v>
      </c>
      <c r="F20" s="91">
        <f t="shared" si="4"/>
        <v>5</v>
      </c>
      <c r="G20" s="95">
        <f t="shared" si="5"/>
        <v>122.999999976</v>
      </c>
      <c r="L20" s="91">
        <f>INDEX(Starter!A:A,ROW()-1)</f>
        <v>38921</v>
      </c>
      <c r="M20" s="91">
        <f>SUMIF(Erfassung3!AU:AU,L20,Erfassung3!BJ:BJ)</f>
        <v>221</v>
      </c>
      <c r="N20" s="91">
        <f>SUMIF(Erfassung3!AU:AU,L20,Erfassung3!AX:AX)</f>
        <v>3</v>
      </c>
      <c r="O20" s="91">
        <f t="shared" si="0"/>
        <v>73.66666664666667</v>
      </c>
      <c r="P20" s="91">
        <f t="shared" si="1"/>
        <v>27</v>
      </c>
    </row>
    <row r="21" spans="1:16">
      <c r="A21" s="91">
        <f t="shared" si="6"/>
        <v>17</v>
      </c>
      <c r="B21" s="91">
        <f t="shared" si="2"/>
        <v>38923</v>
      </c>
      <c r="C21" s="91" t="str">
        <f>IFERROR(INDEX(Starter!B:B,MATCH(B21,Starter!A:A,0)),"")</f>
        <v>Weinrich, Lena</v>
      </c>
      <c r="D21" s="91" t="str">
        <f>IFERROR(INDEX(Starter!C:C,MATCH(B21,Starter!A:A,0)),"")</f>
        <v>BSC Highroller Rosenheim</v>
      </c>
      <c r="E21" s="100">
        <f t="shared" si="3"/>
        <v>491</v>
      </c>
      <c r="F21" s="91">
        <f t="shared" si="4"/>
        <v>4</v>
      </c>
      <c r="G21" s="95">
        <f t="shared" si="5"/>
        <v>122.74999998200001</v>
      </c>
      <c r="L21" s="91">
        <f>INDEX(Starter!A:A,ROW()-1)</f>
        <v>38922</v>
      </c>
      <c r="M21" s="91">
        <f>SUMIF(Erfassung3!AU:AU,L21,Erfassung3!BJ:BJ)</f>
        <v>339</v>
      </c>
      <c r="N21" s="91">
        <f>SUMIF(Erfassung3!AU:AU,L21,Erfassung3!AX:AX)</f>
        <v>4</v>
      </c>
      <c r="O21" s="91">
        <f t="shared" si="0"/>
        <v>84.749999978999995</v>
      </c>
      <c r="P21" s="91">
        <f t="shared" si="1"/>
        <v>26</v>
      </c>
    </row>
    <row r="22" spans="1:16">
      <c r="A22" s="91">
        <f t="shared" si="6"/>
        <v>18</v>
      </c>
      <c r="B22" s="91">
        <f t="shared" si="2"/>
        <v>38904</v>
      </c>
      <c r="C22" s="91" t="str">
        <f>IFERROR(INDEX(Starter!B:B,MATCH(B22,Starter!A:A,0)),"")</f>
        <v>Vogt, Leonard</v>
      </c>
      <c r="D22" s="91" t="str">
        <f>IFERROR(INDEX(Starter!C:C,MATCH(B22,Starter!A:A,0)),"")</f>
        <v>BC EMAX</v>
      </c>
      <c r="E22" s="100">
        <f t="shared" si="3"/>
        <v>469</v>
      </c>
      <c r="F22" s="91">
        <f t="shared" si="4"/>
        <v>4</v>
      </c>
      <c r="G22" s="95">
        <f t="shared" si="5"/>
        <v>117.249999995</v>
      </c>
      <c r="L22" s="91">
        <f>INDEX(Starter!A:A,ROW()-1)</f>
        <v>38808</v>
      </c>
      <c r="M22" s="91">
        <f>SUMIF(Erfassung3!AU:AU,L22,Erfassung3!BJ:BJ)</f>
        <v>644</v>
      </c>
      <c r="N22" s="91">
        <f>SUMIF(Erfassung3!AU:AU,L22,Erfassung3!AX:AX)</f>
        <v>5</v>
      </c>
      <c r="O22" s="91">
        <f t="shared" si="0"/>
        <v>128.79999997800002</v>
      </c>
      <c r="P22" s="91">
        <f t="shared" si="1"/>
        <v>13</v>
      </c>
    </row>
    <row r="23" spans="1:16">
      <c r="A23" s="91">
        <f t="shared" si="6"/>
        <v>19</v>
      </c>
      <c r="B23" s="91">
        <f t="shared" si="2"/>
        <v>38843</v>
      </c>
      <c r="C23" s="91" t="str">
        <f>IFERROR(INDEX(Starter!B:B,MATCH(B23,Starter!A:A,0)),"")</f>
        <v>Lintner, Lena</v>
      </c>
      <c r="D23" s="91" t="str">
        <f>IFERROR(INDEX(Starter!C:C,MATCH(B23,Starter!A:A,0)),"")</f>
        <v>Absolut-Sports.com</v>
      </c>
      <c r="E23" s="100">
        <f t="shared" si="3"/>
        <v>234</v>
      </c>
      <c r="F23" s="91">
        <f t="shared" si="4"/>
        <v>2</v>
      </c>
      <c r="G23" s="95">
        <f t="shared" si="5"/>
        <v>116.999999991</v>
      </c>
      <c r="L23" s="91">
        <f>INDEX(Starter!A:A,ROW()-1)</f>
        <v>38810</v>
      </c>
      <c r="M23" s="91">
        <f>SUMIF(Erfassung3!AU:AU,L23,Erfassung3!BJ:BJ)</f>
        <v>0</v>
      </c>
      <c r="N23" s="91">
        <f>SUMIF(Erfassung3!AU:AU,L23,Erfassung3!AX:AX)</f>
        <v>0</v>
      </c>
      <c r="O23" s="91">
        <f t="shared" si="0"/>
        <v>0</v>
      </c>
      <c r="P23" s="91">
        <f t="shared" si="1"/>
        <v>29</v>
      </c>
    </row>
    <row r="24" spans="1:16">
      <c r="A24" s="91">
        <f t="shared" si="6"/>
        <v>20</v>
      </c>
      <c r="B24" s="91">
        <f t="shared" si="2"/>
        <v>38910</v>
      </c>
      <c r="C24" s="91" t="str">
        <f>IFERROR(INDEX(Starter!B:B,MATCH(B24,Starter!A:A,0)),"")</f>
        <v>Heiming, Thalea</v>
      </c>
      <c r="D24" s="91" t="str">
        <f>IFERROR(INDEX(Starter!C:C,MATCH(B24,Starter!A:A,0)),"")</f>
        <v>BC EMAX</v>
      </c>
      <c r="E24" s="100">
        <f t="shared" si="3"/>
        <v>449</v>
      </c>
      <c r="F24" s="91">
        <f t="shared" si="4"/>
        <v>4</v>
      </c>
      <c r="G24" s="95">
        <f t="shared" si="5"/>
        <v>112.24999999400001</v>
      </c>
      <c r="L24" s="91">
        <f>INDEX(Starter!A:A,ROW()-1)</f>
        <v>38848</v>
      </c>
      <c r="M24" s="91">
        <f>SUMIF(Erfassung3!AU:AU,L24,Erfassung3!BJ:BJ)</f>
        <v>615</v>
      </c>
      <c r="N24" s="91">
        <f>SUMIF(Erfassung3!AU:AU,L24,Erfassung3!AX:AX)</f>
        <v>5</v>
      </c>
      <c r="O24" s="91">
        <f t="shared" si="0"/>
        <v>122.999999976</v>
      </c>
      <c r="P24" s="91">
        <f t="shared" si="1"/>
        <v>16</v>
      </c>
    </row>
    <row r="25" spans="1:16">
      <c r="A25" s="91">
        <f t="shared" si="6"/>
        <v>21</v>
      </c>
      <c r="B25" s="91">
        <f t="shared" si="2"/>
        <v>38941</v>
      </c>
      <c r="C25" s="91" t="str">
        <f>IFERROR(INDEX(Starter!B:B,MATCH(B25,Starter!A:A,0)),"")</f>
        <v>Calik, Ilay</v>
      </c>
      <c r="D25" s="91" t="str">
        <f>IFERROR(INDEX(Starter!C:C,MATCH(B25,Starter!A:A,0)),"")</f>
        <v>Bowling Jugend Bayern</v>
      </c>
      <c r="E25" s="100">
        <f t="shared" si="3"/>
        <v>218</v>
      </c>
      <c r="F25" s="91">
        <f t="shared" si="4"/>
        <v>2</v>
      </c>
      <c r="G25" s="95">
        <f t="shared" si="5"/>
        <v>108.999999954</v>
      </c>
      <c r="L25" s="91">
        <f>INDEX(Starter!A:A,ROW()-1)</f>
        <v>38849</v>
      </c>
      <c r="M25" s="91">
        <f>SUMIF(Erfassung3!AU:AU,L25,Erfassung3!BJ:BJ)</f>
        <v>522</v>
      </c>
      <c r="N25" s="91">
        <f>SUMIF(Erfassung3!AU:AU,L25,Erfassung3!AX:AX)</f>
        <v>5</v>
      </c>
      <c r="O25" s="91">
        <f t="shared" si="0"/>
        <v>104.399999975</v>
      </c>
      <c r="P25" s="91">
        <f t="shared" si="1"/>
        <v>22</v>
      </c>
    </row>
    <row r="26" spans="1:16">
      <c r="A26" s="91">
        <f t="shared" si="6"/>
        <v>22</v>
      </c>
      <c r="B26" s="91">
        <f t="shared" si="2"/>
        <v>38849</v>
      </c>
      <c r="C26" s="91" t="str">
        <f>IFERROR(INDEX(Starter!B:B,MATCH(B26,Starter!A:A,0)),"")</f>
        <v>Marker, Lena</v>
      </c>
      <c r="D26" s="91" t="str">
        <f>IFERROR(INDEX(Starter!C:C,MATCH(B26,Starter!A:A,0)),"")</f>
        <v>BSC Highroller Rosenheim</v>
      </c>
      <c r="E26" s="100">
        <f t="shared" si="3"/>
        <v>522</v>
      </c>
      <c r="F26" s="91">
        <f t="shared" si="4"/>
        <v>5</v>
      </c>
      <c r="G26" s="95">
        <f t="shared" si="5"/>
        <v>104.399999975</v>
      </c>
      <c r="L26" s="91">
        <f>INDEX(Starter!A:A,ROW()-1)</f>
        <v>38925</v>
      </c>
      <c r="M26" s="91">
        <f>SUMIF(Erfassung3!AU:AU,L26,Erfassung3!BJ:BJ)</f>
        <v>0</v>
      </c>
      <c r="N26" s="91">
        <f>SUMIF(Erfassung3!AU:AU,L26,Erfassung3!AX:AX)</f>
        <v>0</v>
      </c>
      <c r="O26" s="91">
        <f t="shared" si="0"/>
        <v>0</v>
      </c>
      <c r="P26" s="91">
        <f t="shared" si="1"/>
        <v>29</v>
      </c>
    </row>
    <row r="27" spans="1:16">
      <c r="A27" s="91">
        <f t="shared" si="6"/>
        <v>23</v>
      </c>
      <c r="B27" s="91">
        <f t="shared" si="2"/>
        <v>38920</v>
      </c>
      <c r="C27" s="91" t="str">
        <f>IFERROR(INDEX(Starter!B:B,MATCH(B27,Starter!A:A,0)),"")</f>
        <v>Schwarzfischer, Leon</v>
      </c>
      <c r="D27" s="91" t="str">
        <f>IFERROR(INDEX(Starter!C:C,MATCH(B27,Starter!A:A,0)),"")</f>
        <v>BSC Highroller Rosenheim</v>
      </c>
      <c r="E27" s="100">
        <f t="shared" si="3"/>
        <v>416</v>
      </c>
      <c r="F27" s="91">
        <f t="shared" si="4"/>
        <v>4</v>
      </c>
      <c r="G27" s="95">
        <f t="shared" si="5"/>
        <v>103.999999981</v>
      </c>
      <c r="L27" s="91">
        <f>INDEX(Starter!A:A,ROW()-1)</f>
        <v>38924</v>
      </c>
      <c r="M27" s="91">
        <f>SUMIF(Erfassung3!AU:AU,L27,Erfassung3!BJ:BJ)</f>
        <v>0</v>
      </c>
      <c r="N27" s="91">
        <f>SUMIF(Erfassung3!AU:AU,L27,Erfassung3!AX:AX)</f>
        <v>0</v>
      </c>
      <c r="O27" s="91">
        <f t="shared" si="0"/>
        <v>0</v>
      </c>
      <c r="P27" s="91">
        <f t="shared" si="1"/>
        <v>29</v>
      </c>
    </row>
    <row r="28" spans="1:16">
      <c r="A28" s="91">
        <f t="shared" si="6"/>
        <v>24</v>
      </c>
      <c r="B28" s="91">
        <f t="shared" si="2"/>
        <v>38893</v>
      </c>
      <c r="C28" s="91" t="str">
        <f>IFERROR(INDEX(Starter!B:B,MATCH(B28,Starter!A:A,0)),"")</f>
        <v>Rothemund, Louis</v>
      </c>
      <c r="D28" s="91" t="str">
        <f>IFERROR(INDEX(Starter!C:C,MATCH(B28,Starter!A:A,0)),"")</f>
        <v>Absolut-Sports.com</v>
      </c>
      <c r="E28" s="100">
        <f t="shared" si="3"/>
        <v>298</v>
      </c>
      <c r="F28" s="91">
        <f t="shared" si="4"/>
        <v>3</v>
      </c>
      <c r="G28" s="95">
        <f t="shared" si="5"/>
        <v>99.333333321333328</v>
      </c>
      <c r="L28" s="91">
        <f>INDEX(Starter!A:A,ROW()-1)</f>
        <v>38865</v>
      </c>
      <c r="M28" s="91">
        <f>SUMIF(Erfassung3!AU:AU,L28,Erfassung3!BJ:BJ)</f>
        <v>0</v>
      </c>
      <c r="N28" s="91">
        <f>SUMIF(Erfassung3!AU:AU,L28,Erfassung3!AX:AX)</f>
        <v>0</v>
      </c>
      <c r="O28" s="91">
        <f t="shared" si="0"/>
        <v>0</v>
      </c>
      <c r="P28" s="91">
        <f t="shared" si="1"/>
        <v>29</v>
      </c>
    </row>
    <row r="29" spans="1:16">
      <c r="A29" s="91">
        <f t="shared" si="6"/>
        <v>25</v>
      </c>
      <c r="B29" s="91">
        <f t="shared" si="2"/>
        <v>38890</v>
      </c>
      <c r="C29" s="91" t="str">
        <f>IFERROR(INDEX(Starter!B:B,MATCH(B29,Starter!A:A,0)),"")</f>
        <v>Hofer, Anja</v>
      </c>
      <c r="D29" s="91" t="str">
        <f>IFERROR(INDEX(Starter!C:C,MATCH(B29,Starter!A:A,0)),"")</f>
        <v>BC EMAX</v>
      </c>
      <c r="E29" s="100">
        <f t="shared" si="3"/>
        <v>366</v>
      </c>
      <c r="F29" s="91">
        <f t="shared" si="4"/>
        <v>4</v>
      </c>
      <c r="G29" s="95">
        <f t="shared" si="5"/>
        <v>91.499999998000007</v>
      </c>
      <c r="L29" s="91">
        <f>INDEX(Starter!A:A,ROW()-1)</f>
        <v>38714</v>
      </c>
      <c r="M29" s="91">
        <f>SUMIF(Erfassung3!AU:AU,L29,Erfassung3!BJ:BJ)</f>
        <v>0</v>
      </c>
      <c r="N29" s="91">
        <f>SUMIF(Erfassung3!AU:AU,L29,Erfassung3!AX:AX)</f>
        <v>0</v>
      </c>
      <c r="O29" s="91">
        <f t="shared" si="0"/>
        <v>0</v>
      </c>
      <c r="P29" s="91">
        <f t="shared" si="1"/>
        <v>29</v>
      </c>
    </row>
    <row r="30" spans="1:16">
      <c r="A30" s="91">
        <f t="shared" si="6"/>
        <v>26</v>
      </c>
      <c r="B30" s="91">
        <f t="shared" si="2"/>
        <v>38922</v>
      </c>
      <c r="C30" s="91" t="str">
        <f>IFERROR(INDEX(Starter!B:B,MATCH(B30,Starter!A:A,0)),"")</f>
        <v>Schimanski, Theodor</v>
      </c>
      <c r="D30" s="91" t="str">
        <f>IFERROR(INDEX(Starter!C:C,MATCH(B30,Starter!A:A,0)),"")</f>
        <v>BSC Highroller Rosenheim</v>
      </c>
      <c r="E30" s="100">
        <f t="shared" si="3"/>
        <v>339</v>
      </c>
      <c r="F30" s="91">
        <f t="shared" si="4"/>
        <v>4</v>
      </c>
      <c r="G30" s="95">
        <f t="shared" si="5"/>
        <v>84.749999978999995</v>
      </c>
      <c r="L30" s="91">
        <f>INDEX(Starter!A:A,ROW()-1)</f>
        <v>38819</v>
      </c>
      <c r="M30" s="91">
        <f>SUMIF(Erfassung3!AU:AU,L30,Erfassung3!BJ:BJ)</f>
        <v>622</v>
      </c>
      <c r="N30" s="91">
        <f>SUMIF(Erfassung3!AU:AU,L30,Erfassung3!AX:AX)</f>
        <v>5</v>
      </c>
      <c r="O30" s="91">
        <f t="shared" si="0"/>
        <v>124.39999997000001</v>
      </c>
      <c r="P30" s="91">
        <f t="shared" si="1"/>
        <v>15</v>
      </c>
    </row>
    <row r="31" spans="1:16">
      <c r="A31" s="91">
        <f t="shared" si="6"/>
        <v>27</v>
      </c>
      <c r="B31" s="91">
        <f t="shared" si="2"/>
        <v>38921</v>
      </c>
      <c r="C31" s="91" t="str">
        <f>IFERROR(INDEX(Starter!B:B,MATCH(B31,Starter!A:A,0)),"")</f>
        <v>Schimanski, Johanna</v>
      </c>
      <c r="D31" s="91" t="str">
        <f>IFERROR(INDEX(Starter!C:C,MATCH(B31,Starter!A:A,0)),"")</f>
        <v>BSC Highroller Rosenheim</v>
      </c>
      <c r="E31" s="100">
        <f t="shared" si="3"/>
        <v>221</v>
      </c>
      <c r="F31" s="91">
        <f t="shared" si="4"/>
        <v>3</v>
      </c>
      <c r="G31" s="95">
        <f t="shared" si="5"/>
        <v>73.66666664666667</v>
      </c>
      <c r="L31" s="91">
        <f>INDEX(Starter!A:A,ROW()-1)</f>
        <v>38817</v>
      </c>
      <c r="M31" s="91">
        <f>SUMIF(Erfassung3!AU:AU,L31,Erfassung3!BJ:BJ)</f>
        <v>0</v>
      </c>
      <c r="N31" s="91">
        <f>SUMIF(Erfassung3!AU:AU,L31,Erfassung3!AX:AX)</f>
        <v>0</v>
      </c>
      <c r="O31" s="91">
        <f t="shared" si="0"/>
        <v>0</v>
      </c>
      <c r="P31" s="91">
        <f t="shared" si="1"/>
        <v>29</v>
      </c>
    </row>
    <row r="32" spans="1:16">
      <c r="A32" s="91">
        <f t="shared" si="6"/>
        <v>28</v>
      </c>
      <c r="B32" s="91">
        <f t="shared" si="2"/>
        <v>38905</v>
      </c>
      <c r="C32" s="91" t="str">
        <f>IFERROR(INDEX(Starter!B:B,MATCH(B32,Starter!A:A,0)),"")</f>
        <v>Laubach, Nina</v>
      </c>
      <c r="D32" s="91" t="str">
        <f>IFERROR(INDEX(Starter!C:C,MATCH(B32,Starter!A:A,0)),"")</f>
        <v>BC Berchtesgaden</v>
      </c>
      <c r="E32" s="100">
        <f t="shared" si="3"/>
        <v>365</v>
      </c>
      <c r="F32" s="91">
        <f t="shared" si="4"/>
        <v>5</v>
      </c>
      <c r="G32" s="95">
        <f t="shared" si="5"/>
        <v>72.999999967999997</v>
      </c>
      <c r="L32" s="91">
        <f>INDEX(Starter!A:A,ROW()-1)</f>
        <v>38905</v>
      </c>
      <c r="M32" s="91">
        <f>SUMIF(Erfassung3!AU:AU,L32,Erfassung3!BJ:BJ)</f>
        <v>365</v>
      </c>
      <c r="N32" s="91">
        <f>SUMIF(Erfassung3!AU:AU,L32,Erfassung3!AX:AX)</f>
        <v>5</v>
      </c>
      <c r="O32" s="91">
        <f t="shared" si="0"/>
        <v>72.999999967999997</v>
      </c>
      <c r="P32" s="91">
        <f t="shared" si="1"/>
        <v>28</v>
      </c>
    </row>
    <row r="33" spans="1:16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SUMIF(Erfassung3!AU:AU,L33,Erfassung3!BJ:BJ)</f>
        <v>693</v>
      </c>
      <c r="N33" s="91">
        <f>SUMIF(Erfassung3!AU:AU,L33,Erfassung3!AX:AX)</f>
        <v>5</v>
      </c>
      <c r="O33" s="91">
        <f t="shared" si="0"/>
        <v>138.599999967</v>
      </c>
      <c r="P33" s="91">
        <f t="shared" si="1"/>
        <v>12</v>
      </c>
    </row>
    <row r="34" spans="1:16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SUMIF(Erfassung3!AU:AU,L34,Erfassung3!BJ:BJ)</f>
        <v>0</v>
      </c>
      <c r="N34" s="91">
        <f>SUMIF(Erfassung3!AU:AU,L34,Erfassung3!AX:AX)</f>
        <v>0</v>
      </c>
      <c r="O34" s="91">
        <f t="shared" si="0"/>
        <v>0</v>
      </c>
      <c r="P34" s="91">
        <f t="shared" si="1"/>
        <v>29</v>
      </c>
    </row>
    <row r="35" spans="1:16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SUMIF(Erfassung3!AU:AU,L35,Erfassung3!BJ:BJ)</f>
        <v>1010</v>
      </c>
      <c r="N35" s="91">
        <f>SUMIF(Erfassung3!AU:AU,L35,Erfassung3!AX:AX)</f>
        <v>5</v>
      </c>
      <c r="O35" s="91">
        <f t="shared" si="0"/>
        <v>201.999999965</v>
      </c>
      <c r="P35" s="91">
        <f t="shared" si="1"/>
        <v>2</v>
      </c>
    </row>
    <row r="36" spans="1:16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SUMIF(Erfassung3!AU:AU,L36,Erfassung3!BJ:BJ)</f>
        <v>955</v>
      </c>
      <c r="N36" s="91">
        <f>SUMIF(Erfassung3!AU:AU,L36,Erfassung3!AX:AX)</f>
        <v>5</v>
      </c>
      <c r="O36" s="91">
        <f t="shared" si="0"/>
        <v>190.99999996400001</v>
      </c>
      <c r="P36" s="91">
        <f t="shared" si="1"/>
        <v>4</v>
      </c>
    </row>
    <row r="37" spans="1:16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SUMIF(Erfassung3!AU:AU,L37,Erfassung3!BJ:BJ)</f>
        <v>500</v>
      </c>
      <c r="N37" s="91">
        <f>SUMIF(Erfassung3!AU:AU,L37,Erfassung3!AX:AX)</f>
        <v>4</v>
      </c>
      <c r="O37" s="91">
        <f t="shared" si="0"/>
        <v>124.99999996299999</v>
      </c>
      <c r="P37" s="91">
        <f t="shared" si="1"/>
        <v>14</v>
      </c>
    </row>
    <row r="38" spans="1:16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SUMIF(Erfassung3!AU:AU,L38,Erfassung3!BJ:BJ)</f>
        <v>0</v>
      </c>
      <c r="N38" s="91">
        <f>SUMIF(Erfassung3!AU:AU,L38,Erfassung3!AX:AX)</f>
        <v>0</v>
      </c>
      <c r="O38" s="91">
        <f t="shared" si="0"/>
        <v>0</v>
      </c>
      <c r="P38" s="91">
        <f t="shared" si="1"/>
        <v>29</v>
      </c>
    </row>
    <row r="39" spans="1:16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SUMIF(Erfassung3!AU:AU,L39,Erfassung3!BJ:BJ)</f>
        <v>0</v>
      </c>
      <c r="N39" s="91">
        <f>SUMIF(Erfassung3!AU:AU,L39,Erfassung3!AX:AX)</f>
        <v>0</v>
      </c>
      <c r="O39" s="91">
        <f t="shared" si="0"/>
        <v>0</v>
      </c>
      <c r="P39" s="91">
        <f t="shared" si="1"/>
        <v>29</v>
      </c>
    </row>
    <row r="40" spans="1:16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SUMIF(Erfassung3!AU:AU,L40,Erfassung3!BJ:BJ)</f>
        <v>0</v>
      </c>
      <c r="N40" s="91">
        <f>SUMIF(Erfassung3!AU:AU,L40,Erfassung3!AX:AX)</f>
        <v>0</v>
      </c>
      <c r="O40" s="91">
        <f t="shared" si="0"/>
        <v>0</v>
      </c>
      <c r="P40" s="91">
        <f t="shared" si="1"/>
        <v>29</v>
      </c>
    </row>
    <row r="41" spans="1:16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SUMIF(Erfassung3!AU:AU,L41,Erfassung3!BJ:BJ)</f>
        <v>0</v>
      </c>
      <c r="N41" s="91">
        <f>SUMIF(Erfassung3!AU:AU,L41,Erfassung3!AX:AX)</f>
        <v>0</v>
      </c>
      <c r="O41" s="91">
        <f t="shared" si="0"/>
        <v>0</v>
      </c>
      <c r="P41" s="91">
        <f t="shared" si="1"/>
        <v>29</v>
      </c>
    </row>
    <row r="42" spans="1:16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SUMIF(Erfassung3!AU:AU,L42,Erfassung3!BJ:BJ)</f>
        <v>808</v>
      </c>
      <c r="N42" s="91">
        <f>SUMIF(Erfassung3!AU:AU,L42,Erfassung3!AX:AX)</f>
        <v>5</v>
      </c>
      <c r="O42" s="91">
        <f t="shared" si="0"/>
        <v>161.59999995799998</v>
      </c>
      <c r="P42" s="91">
        <f t="shared" si="1"/>
        <v>8</v>
      </c>
    </row>
    <row r="43" spans="1:16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SUMIF(Erfassung3!AU:AU,L43,Erfassung3!BJ:BJ)</f>
        <v>0</v>
      </c>
      <c r="N43" s="91">
        <f>SUMIF(Erfassung3!AU:AU,L43,Erfassung3!AX:AX)</f>
        <v>0</v>
      </c>
      <c r="O43" s="91">
        <f t="shared" si="0"/>
        <v>0</v>
      </c>
      <c r="P43" s="91">
        <f t="shared" si="1"/>
        <v>29</v>
      </c>
    </row>
    <row r="44" spans="1:16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SUMIF(Erfassung3!AU:AU,L44,Erfassung3!BJ:BJ)</f>
        <v>686</v>
      </c>
      <c r="N44" s="91">
        <f>SUMIF(Erfassung3!AU:AU,L44,Erfassung3!AX:AX)</f>
        <v>4</v>
      </c>
      <c r="O44" s="91">
        <f t="shared" si="0"/>
        <v>171.49999995600001</v>
      </c>
      <c r="P44" s="91">
        <f t="shared" si="1"/>
        <v>6</v>
      </c>
    </row>
    <row r="45" spans="1:16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SUMIF(Erfassung3!AU:AU,L45,Erfassung3!BJ:BJ)</f>
        <v>971</v>
      </c>
      <c r="N45" s="91">
        <f>SUMIF(Erfassung3!AU:AU,L45,Erfassung3!AX:AX)</f>
        <v>5</v>
      </c>
      <c r="O45" s="91">
        <f t="shared" si="0"/>
        <v>194.19999995499998</v>
      </c>
      <c r="P45" s="91">
        <f t="shared" si="1"/>
        <v>3</v>
      </c>
    </row>
    <row r="46" spans="1:16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SUMIF(Erfassung3!AU:AU,L46,Erfassung3!BJ:BJ)</f>
        <v>218</v>
      </c>
      <c r="N46" s="91">
        <f>SUMIF(Erfassung3!AU:AU,L46,Erfassung3!AX:AX)</f>
        <v>2</v>
      </c>
      <c r="O46" s="91">
        <f t="shared" si="0"/>
        <v>108.999999954</v>
      </c>
      <c r="P46" s="91">
        <f t="shared" si="1"/>
        <v>21</v>
      </c>
    </row>
    <row r="47" spans="1:16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SUMIF(Erfassung3!AU:AU,L47,Erfassung3!BJ:BJ)</f>
        <v>0</v>
      </c>
      <c r="N47" s="91">
        <f>SUMIF(Erfassung3!AU:AU,L47,Erfassung3!AX:AX)</f>
        <v>0</v>
      </c>
      <c r="O47" s="91">
        <f t="shared" si="0"/>
        <v>0</v>
      </c>
      <c r="P47" s="91">
        <f t="shared" si="1"/>
        <v>29</v>
      </c>
    </row>
    <row r="48" spans="1:16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SUMIF(Erfassung3!AU:AU,L48,Erfassung3!BJ:BJ)</f>
        <v>0</v>
      </c>
      <c r="N48" s="91">
        <f>SUMIF(Erfassung3!AU:AU,L48,Erfassung3!AX:AX)</f>
        <v>0</v>
      </c>
      <c r="O48" s="91">
        <f t="shared" si="0"/>
        <v>0</v>
      </c>
      <c r="P48" s="91">
        <f t="shared" si="1"/>
        <v>29</v>
      </c>
    </row>
    <row r="49" spans="1:16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SUMIF(Erfassung3!AU:AU,L49,Erfassung3!BJ:BJ)</f>
        <v>0</v>
      </c>
      <c r="N49" s="91">
        <f>SUMIF(Erfassung3!AU:AU,L49,Erfassung3!AX:AX)</f>
        <v>0</v>
      </c>
      <c r="O49" s="91">
        <f t="shared" si="0"/>
        <v>0</v>
      </c>
      <c r="P49" s="91">
        <f t="shared" si="1"/>
        <v>29</v>
      </c>
    </row>
    <row r="50" spans="1:16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SUMIF(Erfassung3!AU:AU,L50,Erfassung3!BJ:BJ)</f>
        <v>0</v>
      </c>
      <c r="N50" s="91">
        <f>SUMIF(Erfassung3!AU:AU,L50,Erfassung3!AX:AX)</f>
        <v>0</v>
      </c>
      <c r="O50" s="91">
        <f t="shared" si="0"/>
        <v>0</v>
      </c>
      <c r="P50" s="91">
        <f t="shared" si="1"/>
        <v>29</v>
      </c>
    </row>
    <row r="51" spans="1:16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SUMIF(Erfassung3!AU:AU,L51,Erfassung3!BJ:BJ)</f>
        <v>0</v>
      </c>
      <c r="N51" s="91">
        <f>SUMIF(Erfassung3!AU:AU,L51,Erfassung3!AX:AX)</f>
        <v>0</v>
      </c>
      <c r="O51" s="91">
        <f t="shared" si="0"/>
        <v>0</v>
      </c>
      <c r="P51" s="91">
        <f t="shared" si="1"/>
        <v>29</v>
      </c>
    </row>
    <row r="52" spans="1:16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SUMIF(Erfassung3!AU:AU,L52,Erfassung3!BJ:BJ)</f>
        <v>0</v>
      </c>
      <c r="N52" s="91">
        <f>SUMIF(Erfassung3!AU:AU,L52,Erfassung3!AX:AX)</f>
        <v>0</v>
      </c>
      <c r="O52" s="91">
        <f t="shared" si="0"/>
        <v>0</v>
      </c>
      <c r="P52" s="91">
        <f t="shared" si="1"/>
        <v>29</v>
      </c>
    </row>
    <row r="53" spans="1:16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SUMIF(Erfassung3!AU:AU,L53,Erfassung3!BJ:BJ)</f>
        <v>0</v>
      </c>
      <c r="N53" s="91">
        <f>SUMIF(Erfassung3!AU:AU,L53,Erfassung3!AX:AX)</f>
        <v>0</v>
      </c>
      <c r="O53" s="91">
        <f t="shared" si="0"/>
        <v>0</v>
      </c>
      <c r="P53" s="91">
        <f t="shared" si="1"/>
        <v>29</v>
      </c>
    </row>
    <row r="54" spans="1:16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SUMIF(Erfassung3!AU:AU,L54,Erfassung3!BJ:BJ)</f>
        <v>0</v>
      </c>
      <c r="N54" s="91">
        <f>SUMIF(Erfassung3!AU:AU,L54,Erfassung3!AX:AX)</f>
        <v>0</v>
      </c>
      <c r="O54" s="91">
        <f t="shared" si="0"/>
        <v>0</v>
      </c>
      <c r="P54" s="91">
        <f t="shared" si="1"/>
        <v>29</v>
      </c>
    </row>
    <row r="55" spans="1:16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SUMIF(Erfassung3!AU:AU,L55,Erfassung3!BJ:BJ)</f>
        <v>0</v>
      </c>
      <c r="N55" s="91">
        <f>SUMIF(Erfassung3!AU:AU,L55,Erfassung3!AX:AX)</f>
        <v>0</v>
      </c>
      <c r="O55" s="91">
        <f t="shared" si="0"/>
        <v>0</v>
      </c>
      <c r="P55" s="91">
        <f t="shared" si="1"/>
        <v>29</v>
      </c>
    </row>
    <row r="56" spans="1:16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SUMIF(Erfassung3!AU:AU,L56,Erfassung3!BJ:BJ)</f>
        <v>0</v>
      </c>
      <c r="N56" s="91">
        <f>SUMIF(Erfassung3!AU:AU,L56,Erfassung3!AX:AX)</f>
        <v>0</v>
      </c>
      <c r="O56" s="91">
        <f t="shared" si="0"/>
        <v>0</v>
      </c>
      <c r="P56" s="91">
        <f t="shared" si="1"/>
        <v>29</v>
      </c>
    </row>
    <row r="57" spans="1:16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SUMIF(Erfassung3!AU:AU,L57,Erfassung3!BJ:BJ)</f>
        <v>0</v>
      </c>
      <c r="N57" s="91">
        <f>SUMIF(Erfassung3!AU:AU,L57,Erfassung3!AX:AX)</f>
        <v>0</v>
      </c>
      <c r="O57" s="91">
        <f t="shared" si="0"/>
        <v>0</v>
      </c>
      <c r="P57" s="91">
        <f t="shared" si="1"/>
        <v>29</v>
      </c>
    </row>
    <row r="58" spans="1:16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SUMIF(Erfassung3!AU:AU,L58,Erfassung3!BJ:BJ)</f>
        <v>0</v>
      </c>
      <c r="N58" s="91">
        <f>SUMIF(Erfassung3!AU:AU,L58,Erfassung3!AX:AX)</f>
        <v>0</v>
      </c>
      <c r="O58" s="91">
        <f t="shared" si="0"/>
        <v>0</v>
      </c>
      <c r="P58" s="91">
        <f t="shared" si="1"/>
        <v>29</v>
      </c>
    </row>
    <row r="59" spans="1:16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SUMIF(Erfassung3!AU:AU,L59,Erfassung3!BJ:BJ)</f>
        <v>0</v>
      </c>
      <c r="N59" s="91">
        <f>SUMIF(Erfassung3!AU:AU,L59,Erfassung3!AX:AX)</f>
        <v>0</v>
      </c>
      <c r="O59" s="91">
        <f t="shared" si="0"/>
        <v>0</v>
      </c>
      <c r="P59" s="91">
        <f t="shared" si="1"/>
        <v>29</v>
      </c>
    </row>
    <row r="60" spans="1:16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SUMIF(Erfassung3!AU:AU,L60,Erfassung3!BJ:BJ)</f>
        <v>0</v>
      </c>
      <c r="N60" s="91">
        <f>SUMIF(Erfassung3!AU:AU,L60,Erfassung3!AX:AX)</f>
        <v>0</v>
      </c>
      <c r="O60" s="91">
        <f t="shared" si="0"/>
        <v>0</v>
      </c>
      <c r="P60" s="91">
        <f t="shared" si="1"/>
        <v>29</v>
      </c>
    </row>
    <row r="61" spans="1:16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SUMIF(Erfassung3!AU:AU,L61,Erfassung3!BJ:BJ)</f>
        <v>0</v>
      </c>
      <c r="N61" s="91">
        <f>SUMIF(Erfassung3!AU:AU,L61,Erfassung3!AX:AX)</f>
        <v>0</v>
      </c>
      <c r="O61" s="91">
        <f t="shared" si="0"/>
        <v>0</v>
      </c>
      <c r="P61" s="91">
        <f t="shared" si="1"/>
        <v>29</v>
      </c>
    </row>
    <row r="62" spans="1:16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SUMIF(Erfassung3!AU:AU,L62,Erfassung3!BJ:BJ)</f>
        <v>0</v>
      </c>
      <c r="N62" s="91">
        <f>SUMIF(Erfassung3!AU:AU,L62,Erfassung3!AX:AX)</f>
        <v>0</v>
      </c>
      <c r="O62" s="91">
        <f t="shared" si="0"/>
        <v>0</v>
      </c>
      <c r="P62" s="91">
        <f t="shared" si="1"/>
        <v>29</v>
      </c>
    </row>
    <row r="63" spans="1:16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SUMIF(Erfassung3!AU:AU,L63,Erfassung3!BJ:BJ)</f>
        <v>0</v>
      </c>
      <c r="N63" s="91">
        <f>SUMIF(Erfassung3!AU:AU,L63,Erfassung3!AX:AX)</f>
        <v>0</v>
      </c>
      <c r="O63" s="91">
        <f t="shared" si="0"/>
        <v>0</v>
      </c>
      <c r="P63" s="91">
        <f t="shared" si="1"/>
        <v>29</v>
      </c>
    </row>
    <row r="64" spans="1:16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SUMIF(Erfassung3!AU:AU,L64,Erfassung3!BJ:BJ)</f>
        <v>0</v>
      </c>
      <c r="N64" s="91">
        <f>SUMIF(Erfassung3!AU:AU,L64,Erfassung3!AX:AX)</f>
        <v>0</v>
      </c>
      <c r="O64" s="91">
        <f t="shared" si="0"/>
        <v>0</v>
      </c>
      <c r="P64" s="91">
        <f t="shared" si="1"/>
        <v>29</v>
      </c>
    </row>
    <row r="65" spans="1:16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SUMIF(Erfassung3!AU:AU,L65,Erfassung3!BJ:BJ)</f>
        <v>0</v>
      </c>
      <c r="N65" s="91">
        <f>SUMIF(Erfassung3!AU:AU,L65,Erfassung3!AX:AX)</f>
        <v>0</v>
      </c>
      <c r="O65" s="91">
        <f t="shared" si="0"/>
        <v>0</v>
      </c>
      <c r="P65" s="91">
        <f t="shared" si="1"/>
        <v>29</v>
      </c>
    </row>
    <row r="66" spans="1:16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SUMIF(Erfassung3!AU:AU,L66,Erfassung3!BJ:BJ)</f>
        <v>0</v>
      </c>
      <c r="N66" s="91">
        <f>SUMIF(Erfassung3!AU:AU,L66,Erfassung3!AX:AX)</f>
        <v>0</v>
      </c>
      <c r="O66" s="91">
        <f t="shared" si="0"/>
        <v>0</v>
      </c>
      <c r="P66" s="91">
        <f t="shared" si="1"/>
        <v>29</v>
      </c>
    </row>
    <row r="67" spans="1:16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SUMIF(Erfassung3!AU:AU,L67,Erfassung3!BJ:BJ)</f>
        <v>0</v>
      </c>
      <c r="N67" s="91">
        <f>SUMIF(Erfassung3!AU:AU,L67,Erfassung3!AX:AX)</f>
        <v>0</v>
      </c>
      <c r="O67" s="91">
        <f t="shared" ref="O67:O104" si="7">IF(N67=0,0,M67/N67-ROW()/1000000000)</f>
        <v>0</v>
      </c>
      <c r="P67" s="91">
        <f t="shared" ref="P67:P104" si="8">RANK(O67,O:O)</f>
        <v>29</v>
      </c>
    </row>
    <row r="68" spans="1:16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SUMIF(Erfassung3!AU:AU,L68,Erfassung3!BJ:BJ)</f>
        <v>0</v>
      </c>
      <c r="N68" s="91">
        <f>SUMIF(Erfassung3!AU:AU,L68,Erfassung3!AX:AX)</f>
        <v>0</v>
      </c>
      <c r="O68" s="91">
        <f t="shared" si="7"/>
        <v>0</v>
      </c>
      <c r="P68" s="91">
        <f t="shared" si="8"/>
        <v>29</v>
      </c>
    </row>
    <row r="69" spans="1:16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SUMIF(Erfassung3!AU:AU,L69,Erfassung3!BJ:BJ)</f>
        <v>0</v>
      </c>
      <c r="N69" s="91">
        <f>SUMIF(Erfassung3!AU:AU,L69,Erfassung3!AX:AX)</f>
        <v>0</v>
      </c>
      <c r="O69" s="91">
        <f t="shared" si="7"/>
        <v>0</v>
      </c>
      <c r="P69" s="91">
        <f t="shared" si="8"/>
        <v>29</v>
      </c>
    </row>
    <row r="70" spans="1:16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SUMIF(Erfassung3!AU:AU,L70,Erfassung3!BJ:BJ)</f>
        <v>0</v>
      </c>
      <c r="N70" s="91">
        <f>SUMIF(Erfassung3!AU:AU,L70,Erfassung3!AX:AX)</f>
        <v>0</v>
      </c>
      <c r="O70" s="91">
        <f t="shared" si="7"/>
        <v>0</v>
      </c>
      <c r="P70" s="91">
        <f t="shared" si="8"/>
        <v>29</v>
      </c>
    </row>
    <row r="71" spans="1:16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SUMIF(Erfassung3!AU:AU,L71,Erfassung3!BJ:BJ)</f>
        <v>0</v>
      </c>
      <c r="N71" s="91">
        <f>SUMIF(Erfassung3!AU:AU,L71,Erfassung3!AX:AX)</f>
        <v>0</v>
      </c>
      <c r="O71" s="91">
        <f t="shared" si="7"/>
        <v>0</v>
      </c>
      <c r="P71" s="91">
        <f t="shared" si="8"/>
        <v>29</v>
      </c>
    </row>
    <row r="72" spans="1:16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SUMIF(Erfassung3!AU:AU,L72,Erfassung3!BJ:BJ)</f>
        <v>0</v>
      </c>
      <c r="N72" s="91">
        <f>SUMIF(Erfassung3!AU:AU,L72,Erfassung3!AX:AX)</f>
        <v>0</v>
      </c>
      <c r="O72" s="91">
        <f t="shared" si="7"/>
        <v>0</v>
      </c>
      <c r="P72" s="91">
        <f t="shared" si="8"/>
        <v>29</v>
      </c>
    </row>
    <row r="73" spans="1:16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SUMIF(Erfassung3!AU:AU,L73,Erfassung3!BJ:BJ)</f>
        <v>0</v>
      </c>
      <c r="N73" s="91">
        <f>SUMIF(Erfassung3!AU:AU,L73,Erfassung3!AX:AX)</f>
        <v>0</v>
      </c>
      <c r="O73" s="91">
        <f t="shared" si="7"/>
        <v>0</v>
      </c>
      <c r="P73" s="91">
        <f t="shared" si="8"/>
        <v>29</v>
      </c>
    </row>
    <row r="74" spans="1:16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SUMIF(Erfassung3!AU:AU,L74,Erfassung3!BJ:BJ)</f>
        <v>0</v>
      </c>
      <c r="N74" s="91">
        <f>SUMIF(Erfassung3!AU:AU,L74,Erfassung3!AX:AX)</f>
        <v>0</v>
      </c>
      <c r="O74" s="91">
        <f t="shared" si="7"/>
        <v>0</v>
      </c>
      <c r="P74" s="91">
        <f t="shared" si="8"/>
        <v>29</v>
      </c>
    </row>
    <row r="75" spans="1:16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SUMIF(Erfassung3!AU:AU,L75,Erfassung3!BJ:BJ)</f>
        <v>0</v>
      </c>
      <c r="N75" s="91">
        <f>SUMIF(Erfassung3!AU:AU,L75,Erfassung3!AX:AX)</f>
        <v>0</v>
      </c>
      <c r="O75" s="91">
        <f t="shared" si="7"/>
        <v>0</v>
      </c>
      <c r="P75" s="91">
        <f t="shared" si="8"/>
        <v>29</v>
      </c>
    </row>
    <row r="76" spans="1:16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SUMIF(Erfassung3!AU:AU,L76,Erfassung3!BJ:BJ)</f>
        <v>0</v>
      </c>
      <c r="N76" s="91">
        <f>SUMIF(Erfassung3!AU:AU,L76,Erfassung3!AX:AX)</f>
        <v>0</v>
      </c>
      <c r="O76" s="91">
        <f t="shared" si="7"/>
        <v>0</v>
      </c>
      <c r="P76" s="91">
        <f t="shared" si="8"/>
        <v>29</v>
      </c>
    </row>
    <row r="77" spans="1:16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SUMIF(Erfassung3!AU:AU,L77,Erfassung3!BJ:BJ)</f>
        <v>0</v>
      </c>
      <c r="N77" s="91">
        <f>SUMIF(Erfassung3!AU:AU,L77,Erfassung3!AX:AX)</f>
        <v>0</v>
      </c>
      <c r="O77" s="91">
        <f t="shared" si="7"/>
        <v>0</v>
      </c>
      <c r="P77" s="91">
        <f t="shared" si="8"/>
        <v>29</v>
      </c>
    </row>
    <row r="78" spans="1:16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SUMIF(Erfassung3!AU:AU,L78,Erfassung3!BJ:BJ)</f>
        <v>0</v>
      </c>
      <c r="N78" s="91">
        <f>SUMIF(Erfassung3!AU:AU,L78,Erfassung3!AX:AX)</f>
        <v>0</v>
      </c>
      <c r="O78" s="91">
        <f t="shared" si="7"/>
        <v>0</v>
      </c>
      <c r="P78" s="91">
        <f t="shared" si="8"/>
        <v>29</v>
      </c>
    </row>
    <row r="79" spans="1:16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SUMIF(Erfassung3!AU:AU,L79,Erfassung3!BJ:BJ)</f>
        <v>0</v>
      </c>
      <c r="N79" s="91">
        <f>SUMIF(Erfassung3!AU:AU,L79,Erfassung3!AX:AX)</f>
        <v>0</v>
      </c>
      <c r="O79" s="91">
        <f t="shared" si="7"/>
        <v>0</v>
      </c>
      <c r="P79" s="91">
        <f t="shared" si="8"/>
        <v>29</v>
      </c>
    </row>
    <row r="80" spans="1:16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SUMIF(Erfassung3!AU:AU,L80,Erfassung3!BJ:BJ)</f>
        <v>0</v>
      </c>
      <c r="N80" s="91">
        <f>SUMIF(Erfassung3!AU:AU,L80,Erfassung3!AX:AX)</f>
        <v>0</v>
      </c>
      <c r="O80" s="91">
        <f t="shared" si="7"/>
        <v>0</v>
      </c>
      <c r="P80" s="91">
        <f t="shared" si="8"/>
        <v>29</v>
      </c>
    </row>
    <row r="81" spans="1:16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SUMIF(Erfassung3!AU:AU,L81,Erfassung3!BJ:BJ)</f>
        <v>0</v>
      </c>
      <c r="N81" s="91">
        <f>SUMIF(Erfassung3!AU:AU,L81,Erfassung3!AX:AX)</f>
        <v>0</v>
      </c>
      <c r="O81" s="91">
        <f t="shared" si="7"/>
        <v>0</v>
      </c>
      <c r="P81" s="91">
        <f t="shared" si="8"/>
        <v>29</v>
      </c>
    </row>
    <row r="82" spans="1:16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SUMIF(Erfassung3!AU:AU,L82,Erfassung3!BJ:BJ)</f>
        <v>0</v>
      </c>
      <c r="N82" s="91">
        <f>SUMIF(Erfassung3!AU:AU,L82,Erfassung3!AX:AX)</f>
        <v>0</v>
      </c>
      <c r="O82" s="91">
        <f t="shared" si="7"/>
        <v>0</v>
      </c>
      <c r="P82" s="91">
        <f t="shared" si="8"/>
        <v>29</v>
      </c>
    </row>
    <row r="83" spans="1:16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SUMIF(Erfassung3!AU:AU,L83,Erfassung3!BJ:BJ)</f>
        <v>0</v>
      </c>
      <c r="N83" s="91">
        <f>SUMIF(Erfassung3!AU:AU,L83,Erfassung3!AX:AX)</f>
        <v>0</v>
      </c>
      <c r="O83" s="91">
        <f t="shared" si="7"/>
        <v>0</v>
      </c>
      <c r="P83" s="91">
        <f t="shared" si="8"/>
        <v>29</v>
      </c>
    </row>
    <row r="84" spans="1:16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SUMIF(Erfassung3!AU:AU,L84,Erfassung3!BJ:BJ)</f>
        <v>0</v>
      </c>
      <c r="N84" s="91">
        <f>SUMIF(Erfassung3!AU:AU,L84,Erfassung3!AX:AX)</f>
        <v>0</v>
      </c>
      <c r="O84" s="91">
        <f t="shared" si="7"/>
        <v>0</v>
      </c>
      <c r="P84" s="91">
        <f t="shared" si="8"/>
        <v>29</v>
      </c>
    </row>
    <row r="85" spans="1:16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SUMIF(Erfassung3!AU:AU,L85,Erfassung3!BJ:BJ)</f>
        <v>0</v>
      </c>
      <c r="N85" s="91">
        <f>SUMIF(Erfassung3!AU:AU,L85,Erfassung3!AX:AX)</f>
        <v>0</v>
      </c>
      <c r="O85" s="91">
        <f t="shared" si="7"/>
        <v>0</v>
      </c>
      <c r="P85" s="91">
        <f t="shared" si="8"/>
        <v>29</v>
      </c>
    </row>
    <row r="86" spans="1:16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SUMIF(Erfassung3!AU:AU,L86,Erfassung3!BJ:BJ)</f>
        <v>0</v>
      </c>
      <c r="N86" s="91">
        <f>SUMIF(Erfassung3!AU:AU,L86,Erfassung3!AX:AX)</f>
        <v>0</v>
      </c>
      <c r="O86" s="91">
        <f t="shared" si="7"/>
        <v>0</v>
      </c>
      <c r="P86" s="91">
        <f t="shared" si="8"/>
        <v>29</v>
      </c>
    </row>
    <row r="87" spans="1:16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SUMIF(Erfassung3!AU:AU,L87,Erfassung3!BJ:BJ)</f>
        <v>0</v>
      </c>
      <c r="N87" s="91">
        <f>SUMIF(Erfassung3!AU:AU,L87,Erfassung3!AX:AX)</f>
        <v>0</v>
      </c>
      <c r="O87" s="91">
        <f t="shared" si="7"/>
        <v>0</v>
      </c>
      <c r="P87" s="91">
        <f t="shared" si="8"/>
        <v>29</v>
      </c>
    </row>
    <row r="88" spans="1:16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SUMIF(Erfassung3!AU:AU,L88,Erfassung3!BJ:BJ)</f>
        <v>0</v>
      </c>
      <c r="N88" s="91">
        <f>SUMIF(Erfassung3!AU:AU,L88,Erfassung3!AX:AX)</f>
        <v>0</v>
      </c>
      <c r="O88" s="91">
        <f t="shared" si="7"/>
        <v>0</v>
      </c>
      <c r="P88" s="91">
        <f t="shared" si="8"/>
        <v>29</v>
      </c>
    </row>
    <row r="89" spans="1:16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SUMIF(Erfassung3!AU:AU,L89,Erfassung3!BJ:BJ)</f>
        <v>0</v>
      </c>
      <c r="N89" s="91">
        <f>SUMIF(Erfassung3!AU:AU,L89,Erfassung3!AX:AX)</f>
        <v>0</v>
      </c>
      <c r="O89" s="91">
        <f t="shared" si="7"/>
        <v>0</v>
      </c>
      <c r="P89" s="91">
        <f t="shared" si="8"/>
        <v>29</v>
      </c>
    </row>
    <row r="90" spans="1:16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SUMIF(Erfassung3!AU:AU,L90,Erfassung3!BJ:BJ)</f>
        <v>0</v>
      </c>
      <c r="N90" s="91">
        <f>SUMIF(Erfassung3!AU:AU,L90,Erfassung3!AX:AX)</f>
        <v>0</v>
      </c>
      <c r="O90" s="91">
        <f t="shared" si="7"/>
        <v>0</v>
      </c>
      <c r="P90" s="91">
        <f t="shared" si="8"/>
        <v>29</v>
      </c>
    </row>
    <row r="91" spans="1:16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SUMIF(Erfassung3!AU:AU,L91,Erfassung3!BJ:BJ)</f>
        <v>0</v>
      </c>
      <c r="N91" s="91">
        <f>SUMIF(Erfassung3!AU:AU,L91,Erfassung3!AX:AX)</f>
        <v>0</v>
      </c>
      <c r="O91" s="91">
        <f t="shared" si="7"/>
        <v>0</v>
      </c>
      <c r="P91" s="91">
        <f t="shared" si="8"/>
        <v>29</v>
      </c>
    </row>
    <row r="92" spans="1:16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SUMIF(Erfassung3!AU:AU,L92,Erfassung3!BJ:BJ)</f>
        <v>0</v>
      </c>
      <c r="N92" s="91">
        <f>SUMIF(Erfassung3!AU:AU,L92,Erfassung3!AX:AX)</f>
        <v>0</v>
      </c>
      <c r="O92" s="91">
        <f t="shared" si="7"/>
        <v>0</v>
      </c>
      <c r="P92" s="91">
        <f t="shared" si="8"/>
        <v>29</v>
      </c>
    </row>
    <row r="93" spans="1:16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SUMIF(Erfassung3!AU:AU,L93,Erfassung3!BJ:BJ)</f>
        <v>0</v>
      </c>
      <c r="N93" s="91">
        <f>SUMIF(Erfassung3!AU:AU,L93,Erfassung3!AX:AX)</f>
        <v>0</v>
      </c>
      <c r="O93" s="91">
        <f t="shared" si="7"/>
        <v>0</v>
      </c>
      <c r="P93" s="91">
        <f t="shared" si="8"/>
        <v>29</v>
      </c>
    </row>
    <row r="94" spans="1:16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SUMIF(Erfassung3!AU:AU,L94,Erfassung3!BJ:BJ)</f>
        <v>0</v>
      </c>
      <c r="N94" s="91">
        <f>SUMIF(Erfassung3!AU:AU,L94,Erfassung3!AX:AX)</f>
        <v>0</v>
      </c>
      <c r="O94" s="91">
        <f t="shared" si="7"/>
        <v>0</v>
      </c>
      <c r="P94" s="91">
        <f t="shared" si="8"/>
        <v>29</v>
      </c>
    </row>
    <row r="95" spans="1:16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SUMIF(Erfassung3!AU:AU,L95,Erfassung3!BJ:BJ)</f>
        <v>0</v>
      </c>
      <c r="N95" s="91">
        <f>SUMIF(Erfassung3!AU:AU,L95,Erfassung3!AX:AX)</f>
        <v>0</v>
      </c>
      <c r="O95" s="91">
        <f t="shared" si="7"/>
        <v>0</v>
      </c>
      <c r="P95" s="91">
        <f t="shared" si="8"/>
        <v>29</v>
      </c>
    </row>
    <row r="96" spans="1:16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SUMIF(Erfassung3!AU:AU,L96,Erfassung3!BJ:BJ)</f>
        <v>0</v>
      </c>
      <c r="N96" s="91">
        <f>SUMIF(Erfassung3!AU:AU,L96,Erfassung3!AX:AX)</f>
        <v>0</v>
      </c>
      <c r="O96" s="91">
        <f t="shared" si="7"/>
        <v>0</v>
      </c>
      <c r="P96" s="91">
        <f t="shared" si="8"/>
        <v>29</v>
      </c>
    </row>
    <row r="97" spans="1:16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SUMIF(Erfassung3!AU:AU,L97,Erfassung3!BJ:BJ)</f>
        <v>0</v>
      </c>
      <c r="N97" s="91">
        <f>SUMIF(Erfassung3!AU:AU,L97,Erfassung3!AX:AX)</f>
        <v>0</v>
      </c>
      <c r="O97" s="91">
        <f t="shared" si="7"/>
        <v>0</v>
      </c>
      <c r="P97" s="91">
        <f t="shared" si="8"/>
        <v>29</v>
      </c>
    </row>
    <row r="98" spans="1:16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SUMIF(Erfassung3!AU:AU,L98,Erfassung3!BJ:BJ)</f>
        <v>0</v>
      </c>
      <c r="N98" s="91">
        <f>SUMIF(Erfassung3!AU:AU,L98,Erfassung3!AX:AX)</f>
        <v>0</v>
      </c>
      <c r="O98" s="91">
        <f t="shared" si="7"/>
        <v>0</v>
      </c>
      <c r="P98" s="91">
        <f t="shared" si="8"/>
        <v>29</v>
      </c>
    </row>
    <row r="99" spans="1:16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SUMIF(Erfassung3!AU:AU,L99,Erfassung3!BJ:BJ)</f>
        <v>0</v>
      </c>
      <c r="N99" s="91">
        <f>SUMIF(Erfassung3!AU:AU,L99,Erfassung3!AX:AX)</f>
        <v>0</v>
      </c>
      <c r="O99" s="91">
        <f t="shared" si="7"/>
        <v>0</v>
      </c>
      <c r="P99" s="91">
        <f t="shared" si="8"/>
        <v>29</v>
      </c>
    </row>
    <row r="100" spans="1:16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SUMIF(Erfassung3!AU:AU,L100,Erfassung3!BJ:BJ)</f>
        <v>0</v>
      </c>
      <c r="N100" s="91">
        <f>SUMIF(Erfassung3!AU:AU,L100,Erfassung3!AX:AX)</f>
        <v>0</v>
      </c>
      <c r="O100" s="91">
        <f t="shared" si="7"/>
        <v>0</v>
      </c>
      <c r="P100" s="91">
        <f t="shared" si="8"/>
        <v>29</v>
      </c>
    </row>
    <row r="101" spans="1:16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SUMIF(Erfassung3!AU:AU,L101,Erfassung3!BJ:BJ)</f>
        <v>0</v>
      </c>
      <c r="N101" s="91">
        <f>SUMIF(Erfassung3!AU:AU,L101,Erfassung3!AX:AX)</f>
        <v>0</v>
      </c>
      <c r="O101" s="91">
        <f t="shared" si="7"/>
        <v>0</v>
      </c>
      <c r="P101" s="91">
        <f t="shared" si="8"/>
        <v>29</v>
      </c>
    </row>
    <row r="102" spans="1:16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SUMIF(Erfassung3!AU:AU,L102,Erfassung3!BJ:BJ)</f>
        <v>0</v>
      </c>
      <c r="N102" s="91">
        <f>SUMIF(Erfassung3!AU:AU,L102,Erfassung3!AX:AX)</f>
        <v>0</v>
      </c>
      <c r="O102" s="91">
        <f t="shared" si="7"/>
        <v>0</v>
      </c>
      <c r="P102" s="91">
        <f t="shared" si="8"/>
        <v>29</v>
      </c>
    </row>
    <row r="103" spans="1:16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SUMIF(Erfassung3!AU:AU,L103,Erfassung3!BJ:BJ)</f>
        <v>0</v>
      </c>
      <c r="N103" s="91">
        <f>SUMIF(Erfassung3!AU:AU,L103,Erfassung3!AX:AX)</f>
        <v>0</v>
      </c>
      <c r="O103" s="91">
        <f t="shared" si="7"/>
        <v>0</v>
      </c>
      <c r="P103" s="91">
        <f t="shared" si="8"/>
        <v>29</v>
      </c>
    </row>
    <row r="104" spans="1:16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SUMIF(Erfassung3!AU:AU,L104,Erfassung3!BJ:BJ)</f>
        <v>0</v>
      </c>
      <c r="N104" s="91">
        <f>SUMIF(Erfassung3!AU:AU,L104,Erfassung3!AX:AX)</f>
        <v>0</v>
      </c>
      <c r="O104" s="91">
        <f t="shared" si="7"/>
        <v>0</v>
      </c>
      <c r="P104" s="91">
        <f t="shared" si="8"/>
        <v>29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  <pageSetUpPr fitToPage="1"/>
  </sheetPr>
  <dimension ref="A1:Q104"/>
  <sheetViews>
    <sheetView view="pageBreakPreview" zoomScaleNormal="100" zoomScaleSheetLayoutView="100" workbookViewId="0">
      <selection activeCell="E22" sqref="E22:J22"/>
    </sheetView>
  </sheetViews>
  <sheetFormatPr baseColWidth="10" defaultColWidth="11.44140625" defaultRowHeight="13.2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44140625" customWidth="1"/>
    <col min="12" max="12" width="11.44140625" style="91" hidden="1" customWidth="1"/>
    <col min="13" max="17" width="11.44140625" hidden="1" customWidth="1"/>
    <col min="18" max="20" width="11.44140625" customWidth="1"/>
  </cols>
  <sheetData>
    <row r="1" spans="1:16" ht="28.5" customHeight="1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>
      <c r="A2" s="154" t="s">
        <v>1785</v>
      </c>
      <c r="C2" s="33">
        <v>3</v>
      </c>
      <c r="D2" s="33" t="s">
        <v>1864</v>
      </c>
      <c r="E2" s="155"/>
      <c r="F2" s="156"/>
      <c r="L2" s="91">
        <f>INDEX(Starter!A:A,ROW()-1)</f>
        <v>38890</v>
      </c>
      <c r="M2">
        <f>INDEX(SchnittGes2!M:M,MATCH(L2,SchnittGes2!L:L,0))+INDEX(Schnitt3!M:M,MATCH(L2,Schnitt3!L:L,0))</f>
        <v>1105</v>
      </c>
      <c r="N2">
        <f>INDEX(SchnittGes2!N:N,MATCH(L2,SchnittGes2!L:L,0))+INDEX(Schnitt3!N:N,MATCH(L2,Schnitt3!L:L,0))</f>
        <v>11</v>
      </c>
      <c r="O2">
        <f t="shared" ref="O2:O65" si="0">IF(N2=0,0,M2/N2-ROW()/1000000000)</f>
        <v>100.45454545254546</v>
      </c>
      <c r="P2">
        <f t="shared" ref="P2:P65" si="1">RANK(O2,O:O)</f>
        <v>34</v>
      </c>
    </row>
    <row r="3" spans="1:16">
      <c r="L3" s="91">
        <f>INDEX(Starter!A:A,ROW()-1)</f>
        <v>38785</v>
      </c>
      <c r="M3">
        <f>INDEX(SchnittGes2!M:M,MATCH(L3,SchnittGes2!L:L,0))+INDEX(Schnitt3!M:M,MATCH(L3,Schnitt3!L:L,0))</f>
        <v>328</v>
      </c>
      <c r="N3">
        <f>INDEX(SchnittGes2!N:N,MATCH(L3,SchnittGes2!L:L,0))+INDEX(Schnitt3!N:N,MATCH(L3,Schnitt3!L:L,0))</f>
        <v>3</v>
      </c>
      <c r="O3">
        <f t="shared" si="0"/>
        <v>109.33333333033333</v>
      </c>
      <c r="P3">
        <f t="shared" si="1"/>
        <v>32</v>
      </c>
    </row>
    <row r="4" spans="1:16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INDEX(SchnittGes2!M:M,MATCH(L4,SchnittGes2!L:L,0))+INDEX(Schnitt3!M:M,MATCH(L4,Schnitt3!L:L,0))</f>
        <v>1340</v>
      </c>
      <c r="N4">
        <f>INDEX(SchnittGes2!N:N,MATCH(L4,SchnittGes2!L:L,0))+INDEX(Schnitt3!N:N,MATCH(L4,Schnitt3!L:L,0))</f>
        <v>9</v>
      </c>
      <c r="O4">
        <f t="shared" si="0"/>
        <v>148.8888888848889</v>
      </c>
      <c r="P4">
        <f t="shared" si="1"/>
        <v>15</v>
      </c>
    </row>
    <row r="5" spans="1:16">
      <c r="A5">
        <v>1</v>
      </c>
      <c r="B5">
        <f t="shared" ref="B5:B68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68" si="3">IFERROR(INDEX(M:M,MATCH(A5,P:P,0)),"")</f>
        <v>1091</v>
      </c>
      <c r="F5">
        <f t="shared" ref="F5:F68" si="4">IFERROR(INDEX(N:N,MATCH(A5,P:P,0)),"")</f>
        <v>5</v>
      </c>
      <c r="G5" s="153">
        <f t="shared" ref="G5:G68" si="5">IFERROR(INDEX(O:O,MATCH(A5,P:P,0)),"")</f>
        <v>218.19999996599998</v>
      </c>
      <c r="L5" s="91">
        <f>INDEX(Starter!A:A,ROW()-1)</f>
        <v>38904</v>
      </c>
      <c r="M5">
        <f>INDEX(SchnittGes2!M:M,MATCH(L5,SchnittGes2!L:L,0))+INDEX(Schnitt3!M:M,MATCH(L5,Schnitt3!L:L,0))</f>
        <v>1437</v>
      </c>
      <c r="N5">
        <f>INDEX(SchnittGes2!N:N,MATCH(L5,SchnittGes2!L:L,0))+INDEX(Schnitt3!N:N,MATCH(L5,Schnitt3!L:L,0))</f>
        <v>11</v>
      </c>
      <c r="O5">
        <f t="shared" si="0"/>
        <v>130.63636363136362</v>
      </c>
      <c r="P5">
        <f t="shared" si="1"/>
        <v>19</v>
      </c>
    </row>
    <row r="6" spans="1:16">
      <c r="A6">
        <f t="shared" ref="A6:A69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3169</v>
      </c>
      <c r="F6">
        <f t="shared" si="4"/>
        <v>15</v>
      </c>
      <c r="G6" s="153">
        <f t="shared" si="5"/>
        <v>211.26666663166668</v>
      </c>
      <c r="L6" s="91">
        <f>INDEX(Starter!A:A,ROW()-1)</f>
        <v>38910</v>
      </c>
      <c r="M6">
        <f>INDEX(SchnittGes2!M:M,MATCH(L6,SchnittGes2!L:L,0))+INDEX(Schnitt3!M:M,MATCH(L6,Schnitt3!L:L,0))</f>
        <v>1330</v>
      </c>
      <c r="N6">
        <f>INDEX(SchnittGes2!N:N,MATCH(L6,SchnittGes2!L:L,0))+INDEX(Schnitt3!N:N,MATCH(L6,Schnitt3!L:L,0))</f>
        <v>11</v>
      </c>
      <c r="O6">
        <f t="shared" si="0"/>
        <v>120.90909090309091</v>
      </c>
      <c r="P6">
        <f t="shared" si="1"/>
        <v>24</v>
      </c>
    </row>
    <row r="7" spans="1:16">
      <c r="A7">
        <f t="shared" si="6"/>
        <v>3</v>
      </c>
      <c r="B7">
        <f t="shared" si="2"/>
        <v>38845</v>
      </c>
      <c r="C7" t="str">
        <f>IFERROR(INDEX(Starter!B:B,MATCH(B7,Starter!A:A,0)),"")</f>
        <v>Kugler, Laurin</v>
      </c>
      <c r="D7" t="str">
        <f>IFERROR(INDEX(Starter!C:C,MATCH(B7,Starter!A:A,0)),"")</f>
        <v>Absolut-Sports.com</v>
      </c>
      <c r="E7" s="78">
        <f t="shared" si="3"/>
        <v>2943</v>
      </c>
      <c r="F7">
        <f t="shared" si="4"/>
        <v>15</v>
      </c>
      <c r="G7" s="153">
        <f t="shared" si="5"/>
        <v>196.19999999199999</v>
      </c>
      <c r="L7" s="91">
        <f>INDEX(Starter!A:A,ROW()-1)</f>
        <v>38861</v>
      </c>
      <c r="M7">
        <f>INDEX(SchnittGes2!M:M,MATCH(L7,SchnittGes2!L:L,0))+INDEX(Schnitt3!M:M,MATCH(L7,Schnitt3!L:L,0))</f>
        <v>0</v>
      </c>
      <c r="N7">
        <f>INDEX(SchnittGes2!N:N,MATCH(L7,SchnittGes2!L:L,0))+INDEX(Schnitt3!N:N,MATCH(L7,Schnitt3!L:L,0))</f>
        <v>0</v>
      </c>
      <c r="O7">
        <f t="shared" si="0"/>
        <v>0</v>
      </c>
      <c r="P7">
        <f t="shared" si="1"/>
        <v>41</v>
      </c>
    </row>
    <row r="8" spans="1:16">
      <c r="A8">
        <f t="shared" si="6"/>
        <v>4</v>
      </c>
      <c r="B8">
        <f t="shared" si="2"/>
        <v>38844</v>
      </c>
      <c r="C8" t="str">
        <f>IFERROR(INDEX(Starter!B:B,MATCH(B8,Starter!A:A,0)),"")</f>
        <v>Mathe, Maximilian</v>
      </c>
      <c r="D8" t="str">
        <f>IFERROR(INDEX(Starter!C:C,MATCH(B8,Starter!A:A,0)),"")</f>
        <v>Absolut-Sports.com</v>
      </c>
      <c r="E8" s="78">
        <f t="shared" si="3"/>
        <v>972</v>
      </c>
      <c r="F8">
        <f t="shared" si="4"/>
        <v>5</v>
      </c>
      <c r="G8" s="153">
        <f t="shared" si="5"/>
        <v>194.39999999</v>
      </c>
      <c r="L8" s="91">
        <f>INDEX(Starter!A:A,ROW()-1)</f>
        <v>38845</v>
      </c>
      <c r="M8">
        <f>INDEX(SchnittGes2!M:M,MATCH(L8,SchnittGes2!L:L,0))+INDEX(Schnitt3!M:M,MATCH(L8,Schnitt3!L:L,0))</f>
        <v>2943</v>
      </c>
      <c r="N8">
        <f>INDEX(SchnittGes2!N:N,MATCH(L8,SchnittGes2!L:L,0))+INDEX(Schnitt3!N:N,MATCH(L8,Schnitt3!L:L,0))</f>
        <v>15</v>
      </c>
      <c r="O8">
        <f t="shared" si="0"/>
        <v>196.19999999199999</v>
      </c>
      <c r="P8">
        <f t="shared" si="1"/>
        <v>3</v>
      </c>
    </row>
    <row r="9" spans="1:16">
      <c r="A9">
        <f t="shared" si="6"/>
        <v>5</v>
      </c>
      <c r="B9">
        <f t="shared" si="2"/>
        <v>38327</v>
      </c>
      <c r="C9" t="str">
        <f>IFERROR(INDEX(Starter!B:B,MATCH(B9,Starter!A:A,0)),"")</f>
        <v>Jakobi, Moritz</v>
      </c>
      <c r="D9" t="str">
        <f>IFERROR(INDEX(Starter!C:C,MATCH(B9,Starter!A:A,0)),"")</f>
        <v>BK München</v>
      </c>
      <c r="E9" s="78">
        <f t="shared" si="3"/>
        <v>2875</v>
      </c>
      <c r="F9">
        <f t="shared" si="4"/>
        <v>15</v>
      </c>
      <c r="G9" s="153">
        <f t="shared" si="5"/>
        <v>191.66666663066667</v>
      </c>
      <c r="L9" s="91">
        <f>INDEX(Starter!A:A,ROW()-1)</f>
        <v>38843</v>
      </c>
      <c r="M9">
        <f>INDEX(SchnittGes2!M:M,MATCH(L9,SchnittGes2!L:L,0))+INDEX(Schnitt3!M:M,MATCH(L9,Schnitt3!L:L,0))</f>
        <v>783</v>
      </c>
      <c r="N9">
        <f>INDEX(SchnittGes2!N:N,MATCH(L9,SchnittGes2!L:L,0))+INDEX(Schnitt3!N:N,MATCH(L9,Schnitt3!L:L,0))</f>
        <v>6</v>
      </c>
      <c r="O9">
        <f t="shared" si="0"/>
        <v>130.49999999100001</v>
      </c>
      <c r="P9">
        <f t="shared" si="1"/>
        <v>20</v>
      </c>
    </row>
    <row r="10" spans="1:16">
      <c r="A10">
        <f t="shared" si="6"/>
        <v>6</v>
      </c>
      <c r="B10">
        <f t="shared" si="2"/>
        <v>38334</v>
      </c>
      <c r="C10" t="str">
        <f>IFERROR(INDEX(Starter!B:B,MATCH(B10,Starter!A:A,0)),"")</f>
        <v>Lauchner, Julian</v>
      </c>
      <c r="D10" t="str">
        <f>IFERROR(INDEX(Starter!C:C,MATCH(B10,Starter!A:A,0)),"")</f>
        <v>BK München</v>
      </c>
      <c r="E10" s="78">
        <f t="shared" si="3"/>
        <v>1916</v>
      </c>
      <c r="F10">
        <f t="shared" si="4"/>
        <v>10</v>
      </c>
      <c r="G10" s="153">
        <f t="shared" si="5"/>
        <v>191.59999995499999</v>
      </c>
      <c r="L10" s="91">
        <f>INDEX(Starter!A:A,ROW()-1)</f>
        <v>38844</v>
      </c>
      <c r="M10">
        <f>INDEX(SchnittGes2!M:M,MATCH(L10,SchnittGes2!L:L,0))+INDEX(Schnitt3!M:M,MATCH(L10,Schnitt3!L:L,0))</f>
        <v>972</v>
      </c>
      <c r="N10">
        <f>INDEX(SchnittGes2!N:N,MATCH(L10,SchnittGes2!L:L,0))+INDEX(Schnitt3!N:N,MATCH(L10,Schnitt3!L:L,0))</f>
        <v>5</v>
      </c>
      <c r="O10">
        <f t="shared" si="0"/>
        <v>194.39999999</v>
      </c>
      <c r="P10">
        <f t="shared" si="1"/>
        <v>4</v>
      </c>
    </row>
    <row r="11" spans="1:16">
      <c r="A11">
        <f t="shared" si="6"/>
        <v>7</v>
      </c>
      <c r="B11">
        <f t="shared" si="2"/>
        <v>38942</v>
      </c>
      <c r="C11" t="str">
        <f>IFERROR(INDEX(Starter!B:B,MATCH(B11,Starter!A:A,0)),"")</f>
        <v>Klettenheimer, Julius</v>
      </c>
      <c r="D11" t="str">
        <f>IFERROR(INDEX(Starter!C:C,MATCH(B11,Starter!A:A,0)),"")</f>
        <v>Bowling Jugend Bayern</v>
      </c>
      <c r="E11" s="78">
        <f t="shared" si="3"/>
        <v>1393</v>
      </c>
      <c r="F11">
        <f t="shared" si="4"/>
        <v>8</v>
      </c>
      <c r="G11" s="153">
        <f t="shared" si="5"/>
        <v>174.12499995600001</v>
      </c>
      <c r="L11" s="91">
        <f>INDEX(Starter!A:A,ROW()-1)</f>
        <v>38772</v>
      </c>
      <c r="M11">
        <f>INDEX(SchnittGes2!M:M,MATCH(L11,SchnittGes2!L:L,0))+INDEX(Schnitt3!M:M,MATCH(L11,Schnitt3!L:L,0))</f>
        <v>790</v>
      </c>
      <c r="N11">
        <f>INDEX(SchnittGes2!N:N,MATCH(L11,SchnittGes2!L:L,0))+INDEX(Schnitt3!N:N,MATCH(L11,Schnitt3!L:L,0))</f>
        <v>5</v>
      </c>
      <c r="O11">
        <f t="shared" si="0"/>
        <v>157.999999989</v>
      </c>
      <c r="P11">
        <f t="shared" si="1"/>
        <v>11</v>
      </c>
    </row>
    <row r="12" spans="1:16">
      <c r="A12">
        <f t="shared" si="6"/>
        <v>8</v>
      </c>
      <c r="B12">
        <f t="shared" si="2"/>
        <v>38714</v>
      </c>
      <c r="C12" t="str">
        <f>IFERROR(INDEX(Starter!B:B,MATCH(B12,Starter!A:A,0)),"")</f>
        <v>Wieser, Lukas</v>
      </c>
      <c r="D12" t="str">
        <f>IFERROR(INDEX(Starter!C:C,MATCH(B12,Starter!A:A,0)),"")</f>
        <v>BC Berchtesgaden</v>
      </c>
      <c r="E12" s="78">
        <f t="shared" si="3"/>
        <v>1306</v>
      </c>
      <c r="F12">
        <f t="shared" si="4"/>
        <v>8</v>
      </c>
      <c r="G12" s="153">
        <f t="shared" si="5"/>
        <v>163.24999997099999</v>
      </c>
      <c r="L12" s="91">
        <f>INDEX(Starter!A:A,ROW()-1)</f>
        <v>38893</v>
      </c>
      <c r="M12">
        <f>INDEX(SchnittGes2!M:M,MATCH(L12,SchnittGes2!L:L,0))+INDEX(Schnitt3!M:M,MATCH(L12,Schnitt3!L:L,0))</f>
        <v>547</v>
      </c>
      <c r="N12">
        <f>INDEX(SchnittGes2!N:N,MATCH(L12,SchnittGes2!L:L,0))+INDEX(Schnitt3!N:N,MATCH(L12,Schnitt3!L:L,0))</f>
        <v>6</v>
      </c>
      <c r="O12">
        <f t="shared" si="0"/>
        <v>91.16666665466667</v>
      </c>
      <c r="P12">
        <f t="shared" si="1"/>
        <v>38</v>
      </c>
    </row>
    <row r="13" spans="1:16">
      <c r="A13">
        <f t="shared" si="6"/>
        <v>9</v>
      </c>
      <c r="B13">
        <f t="shared" si="2"/>
        <v>38781</v>
      </c>
      <c r="C13" t="str">
        <f>IFERROR(INDEX(Starter!B:B,MATCH(B13,Starter!A:A,0)),"")</f>
        <v>Reichenauer, Leon</v>
      </c>
      <c r="D13" t="str">
        <f>IFERROR(INDEX(Starter!C:C,MATCH(B13,Starter!A:A,0)),"")</f>
        <v>Bowling Jugend Bayern</v>
      </c>
      <c r="E13" s="78">
        <f t="shared" si="3"/>
        <v>1296</v>
      </c>
      <c r="F13">
        <f t="shared" si="4"/>
        <v>8</v>
      </c>
      <c r="G13" s="153">
        <f t="shared" si="5"/>
        <v>161.99999995799999</v>
      </c>
      <c r="L13" s="91">
        <f>INDEX(Starter!A:A,ROW()-1)</f>
        <v>38760</v>
      </c>
      <c r="M13">
        <f>INDEX(SchnittGes2!M:M,MATCH(L13,SchnittGes2!L:L,0))+INDEX(Schnitt3!M:M,MATCH(L13,Schnitt3!L:L,0))</f>
        <v>1933</v>
      </c>
      <c r="N13">
        <f>INDEX(SchnittGes2!N:N,MATCH(L13,SchnittGes2!L:L,0))+INDEX(Schnitt3!N:N,MATCH(L13,Schnitt3!L:L,0))</f>
        <v>13</v>
      </c>
      <c r="O13">
        <f t="shared" si="0"/>
        <v>148.69230767930767</v>
      </c>
      <c r="P13">
        <f t="shared" si="1"/>
        <v>16</v>
      </c>
    </row>
    <row r="14" spans="1:16">
      <c r="A14">
        <f t="shared" si="6"/>
        <v>10</v>
      </c>
      <c r="B14">
        <f t="shared" si="2"/>
        <v>38809</v>
      </c>
      <c r="C14" t="str">
        <f>IFERROR(INDEX(Starter!B:B,MATCH(B14,Starter!A:A,0)),"")</f>
        <v>Elze, Julian</v>
      </c>
      <c r="D14" t="str">
        <f>IFERROR(INDEX(Starter!C:C,MATCH(B14,Starter!A:A,0)),"")</f>
        <v>BSC Highroller Rosenheim</v>
      </c>
      <c r="E14" s="78">
        <f t="shared" si="3"/>
        <v>485</v>
      </c>
      <c r="F14">
        <f t="shared" si="4"/>
        <v>3</v>
      </c>
      <c r="G14" s="153">
        <f t="shared" si="5"/>
        <v>161.66666664966667</v>
      </c>
      <c r="L14" s="91">
        <f>INDEX(Starter!A:A,ROW()-1)</f>
        <v>38759</v>
      </c>
      <c r="M14">
        <f>INDEX(SchnittGes2!M:M,MATCH(L14,SchnittGes2!L:L,0))+INDEX(Schnitt3!M:M,MATCH(L14,Schnitt3!L:L,0))</f>
        <v>2004</v>
      </c>
      <c r="N14">
        <f>INDEX(SchnittGes2!N:N,MATCH(L14,SchnittGes2!L:L,0))+INDEX(Schnitt3!N:N,MATCH(L14,Schnitt3!L:L,0))</f>
        <v>13</v>
      </c>
      <c r="O14">
        <f t="shared" si="0"/>
        <v>154.15384613984617</v>
      </c>
      <c r="P14">
        <f t="shared" si="1"/>
        <v>13</v>
      </c>
    </row>
    <row r="15" spans="1:16">
      <c r="A15">
        <f t="shared" si="6"/>
        <v>11</v>
      </c>
      <c r="B15">
        <f t="shared" si="2"/>
        <v>38772</v>
      </c>
      <c r="C15" t="str">
        <f>IFERROR(INDEX(Starter!B:B,MATCH(B15,Starter!A:A,0)),"")</f>
        <v>Sturm, Sebastian</v>
      </c>
      <c r="D15" t="str">
        <f>IFERROR(INDEX(Starter!C:C,MATCH(B15,Starter!A:A,0)),"")</f>
        <v>Absolut-Sports.com</v>
      </c>
      <c r="E15" s="78">
        <f t="shared" si="3"/>
        <v>790</v>
      </c>
      <c r="F15">
        <f t="shared" si="4"/>
        <v>5</v>
      </c>
      <c r="G15" s="153">
        <f t="shared" si="5"/>
        <v>157.999999989</v>
      </c>
      <c r="L15" s="91">
        <f>INDEX(Starter!A:A,ROW()-1)</f>
        <v>38831</v>
      </c>
      <c r="M15">
        <f>INDEX(SchnittGes2!M:M,MATCH(L15,SchnittGes2!L:L,0))+INDEX(Schnitt3!M:M,MATCH(L15,Schnitt3!L:L,0))</f>
        <v>589</v>
      </c>
      <c r="N15">
        <f>INDEX(SchnittGes2!N:N,MATCH(L15,SchnittGes2!L:L,0))+INDEX(Schnitt3!N:N,MATCH(L15,Schnitt3!L:L,0))</f>
        <v>6</v>
      </c>
      <c r="O15">
        <f t="shared" si="0"/>
        <v>98.166666651666674</v>
      </c>
      <c r="P15">
        <f t="shared" si="1"/>
        <v>35</v>
      </c>
    </row>
    <row r="16" spans="1:16">
      <c r="A16">
        <f t="shared" si="6"/>
        <v>12</v>
      </c>
      <c r="B16">
        <f t="shared" si="2"/>
        <v>38795</v>
      </c>
      <c r="C16" t="str">
        <f>IFERROR(INDEX(Starter!B:B,MATCH(B16,Starter!A:A,0)),"")</f>
        <v>Catalano, Leandro</v>
      </c>
      <c r="D16" t="str">
        <f>IFERROR(INDEX(Starter!C:C,MATCH(B16,Starter!A:A,0)),"")</f>
        <v>Bowling Jugend Bayern</v>
      </c>
      <c r="E16" s="78">
        <f t="shared" si="3"/>
        <v>778</v>
      </c>
      <c r="F16">
        <f t="shared" si="4"/>
        <v>5</v>
      </c>
      <c r="G16" s="153">
        <f t="shared" si="5"/>
        <v>155.599999962</v>
      </c>
      <c r="L16" s="91">
        <f>INDEX(Starter!A:A,ROW()-1)</f>
        <v>38773</v>
      </c>
      <c r="M16">
        <f>INDEX(SchnittGes2!M:M,MATCH(L16,SchnittGes2!L:L,0))+INDEX(Schnitt3!M:M,MATCH(L16,Schnitt3!L:L,0))</f>
        <v>1995</v>
      </c>
      <c r="N16">
        <f>INDEX(SchnittGes2!N:N,MATCH(L16,SchnittGes2!L:L,0))+INDEX(Schnitt3!N:N,MATCH(L16,Schnitt3!L:L,0))</f>
        <v>13</v>
      </c>
      <c r="O16">
        <f t="shared" si="0"/>
        <v>153.46153844553845</v>
      </c>
      <c r="P16">
        <f t="shared" si="1"/>
        <v>14</v>
      </c>
    </row>
    <row r="17" spans="1:16">
      <c r="A17">
        <f t="shared" si="6"/>
        <v>13</v>
      </c>
      <c r="B17">
        <f t="shared" si="2"/>
        <v>38759</v>
      </c>
      <c r="C17" t="str">
        <f>IFERROR(INDEX(Starter!B:B,MATCH(B17,Starter!A:A,0)),"")</f>
        <v>Stölzel, Celia</v>
      </c>
      <c r="D17" t="str">
        <f>IFERROR(INDEX(Starter!C:C,MATCH(B17,Starter!A:A,0)),"")</f>
        <v>BSC Highroller Rosenheim</v>
      </c>
      <c r="E17" s="78">
        <f t="shared" si="3"/>
        <v>2004</v>
      </c>
      <c r="F17">
        <f t="shared" si="4"/>
        <v>13</v>
      </c>
      <c r="G17" s="153">
        <f t="shared" si="5"/>
        <v>154.15384613984617</v>
      </c>
      <c r="L17" s="91">
        <f>INDEX(Starter!A:A,ROW()-1)</f>
        <v>38809</v>
      </c>
      <c r="M17">
        <f>INDEX(SchnittGes2!M:M,MATCH(L17,SchnittGes2!L:L,0))+INDEX(Schnitt3!M:M,MATCH(L17,Schnitt3!L:L,0))</f>
        <v>485</v>
      </c>
      <c r="N17">
        <f>INDEX(SchnittGes2!N:N,MATCH(L17,SchnittGes2!L:L,0))+INDEX(Schnitt3!N:N,MATCH(L17,Schnitt3!L:L,0))</f>
        <v>3</v>
      </c>
      <c r="O17">
        <f t="shared" si="0"/>
        <v>161.66666664966667</v>
      </c>
      <c r="P17">
        <f t="shared" si="1"/>
        <v>10</v>
      </c>
    </row>
    <row r="18" spans="1:16">
      <c r="A18">
        <f t="shared" si="6"/>
        <v>14</v>
      </c>
      <c r="B18">
        <f t="shared" si="2"/>
        <v>38773</v>
      </c>
      <c r="C18" t="str">
        <f>IFERROR(INDEX(Starter!B:B,MATCH(B18,Starter!A:A,0)),"")</f>
        <v>Weiss, Luisa Samira</v>
      </c>
      <c r="D18" t="str">
        <f>IFERROR(INDEX(Starter!C:C,MATCH(B18,Starter!A:A,0)),"")</f>
        <v>BSC Highroller Rosenheim</v>
      </c>
      <c r="E18" s="78">
        <f t="shared" si="3"/>
        <v>1995</v>
      </c>
      <c r="F18">
        <f t="shared" si="4"/>
        <v>13</v>
      </c>
      <c r="G18" s="153">
        <f t="shared" si="5"/>
        <v>153.46153844553845</v>
      </c>
      <c r="L18" s="91">
        <f>INDEX(Starter!A:A,ROW()-1)</f>
        <v>38923</v>
      </c>
      <c r="M18">
        <f>INDEX(SchnittGes2!M:M,MATCH(L18,SchnittGes2!L:L,0))+INDEX(Schnitt3!M:M,MATCH(L18,Schnitt3!L:L,0))</f>
        <v>1242</v>
      </c>
      <c r="N18">
        <f>INDEX(SchnittGes2!N:N,MATCH(L18,SchnittGes2!L:L,0))+INDEX(Schnitt3!N:N,MATCH(L18,Schnitt3!L:L,0))</f>
        <v>11</v>
      </c>
      <c r="O18">
        <f t="shared" si="0"/>
        <v>112.90909089109091</v>
      </c>
      <c r="P18">
        <f t="shared" si="1"/>
        <v>31</v>
      </c>
    </row>
    <row r="19" spans="1:16">
      <c r="A19">
        <f t="shared" si="6"/>
        <v>15</v>
      </c>
      <c r="B19">
        <f t="shared" si="2"/>
        <v>38706</v>
      </c>
      <c r="C19" t="str">
        <f>IFERROR(INDEX(Starter!B:B,MATCH(B19,Starter!A:A,0)),"")</f>
        <v>Böhm, Eric-Pascal</v>
      </c>
      <c r="D19" t="str">
        <f>IFERROR(INDEX(Starter!C:C,MATCH(B19,Starter!A:A,0)),"")</f>
        <v>BC EMAX</v>
      </c>
      <c r="E19" s="78">
        <f t="shared" si="3"/>
        <v>1340</v>
      </c>
      <c r="F19">
        <f t="shared" si="4"/>
        <v>9</v>
      </c>
      <c r="G19" s="153">
        <f t="shared" si="5"/>
        <v>148.8888888848889</v>
      </c>
      <c r="L19" s="91">
        <f>INDEX(Starter!A:A,ROW()-1)</f>
        <v>38920</v>
      </c>
      <c r="M19">
        <f>INDEX(SchnittGes2!M:M,MATCH(L19,SchnittGes2!L:L,0))+INDEX(Schnitt3!M:M,MATCH(L19,Schnitt3!L:L,0))</f>
        <v>1033</v>
      </c>
      <c r="N19">
        <f>INDEX(SchnittGes2!N:N,MATCH(L19,SchnittGes2!L:L,0))+INDEX(Schnitt3!N:N,MATCH(L19,Schnitt3!L:L,0))</f>
        <v>11</v>
      </c>
      <c r="O19">
        <f t="shared" si="0"/>
        <v>93.909090890090908</v>
      </c>
      <c r="P19">
        <f t="shared" si="1"/>
        <v>36</v>
      </c>
    </row>
    <row r="20" spans="1:16">
      <c r="A20">
        <f t="shared" si="6"/>
        <v>16</v>
      </c>
      <c r="B20">
        <f t="shared" si="2"/>
        <v>38760</v>
      </c>
      <c r="C20" t="str">
        <f>IFERROR(INDEX(Starter!B:B,MATCH(B20,Starter!A:A,0)),"")</f>
        <v>Achhammer, Klara</v>
      </c>
      <c r="D20" t="str">
        <f>IFERROR(INDEX(Starter!C:C,MATCH(B20,Starter!A:A,0)),"")</f>
        <v>BSC Highroller Rosenheim</v>
      </c>
      <c r="E20" s="78">
        <f t="shared" si="3"/>
        <v>1933</v>
      </c>
      <c r="F20">
        <f t="shared" si="4"/>
        <v>13</v>
      </c>
      <c r="G20" s="153">
        <f t="shared" si="5"/>
        <v>148.69230767930767</v>
      </c>
      <c r="L20" s="91">
        <f>INDEX(Starter!A:A,ROW()-1)</f>
        <v>38921</v>
      </c>
      <c r="M20">
        <f>INDEX(SchnittGes2!M:M,MATCH(L20,SchnittGes2!L:L,0))+INDEX(Schnitt3!M:M,MATCH(L20,Schnitt3!L:L,0))</f>
        <v>735</v>
      </c>
      <c r="N20">
        <f>INDEX(SchnittGes2!N:N,MATCH(L20,SchnittGes2!L:L,0))+INDEX(Schnitt3!N:N,MATCH(L20,Schnitt3!L:L,0))</f>
        <v>10</v>
      </c>
      <c r="O20">
        <f t="shared" si="0"/>
        <v>73.499999979999998</v>
      </c>
      <c r="P20">
        <f t="shared" si="1"/>
        <v>39</v>
      </c>
    </row>
    <row r="21" spans="1:16">
      <c r="A21">
        <f t="shared" si="6"/>
        <v>17</v>
      </c>
      <c r="B21">
        <f t="shared" si="2"/>
        <v>38894</v>
      </c>
      <c r="C21" t="str">
        <f>IFERROR(INDEX(Starter!B:B,MATCH(B21,Starter!A:A,0)),"")</f>
        <v>Prieß, Marc</v>
      </c>
      <c r="D21" t="str">
        <f>IFERROR(INDEX(Starter!C:C,MATCH(B21,Starter!A:A,0)),"")</f>
        <v>Bowling Jugend Bayern</v>
      </c>
      <c r="E21" s="78">
        <f t="shared" si="3"/>
        <v>713</v>
      </c>
      <c r="F21">
        <f t="shared" si="4"/>
        <v>5</v>
      </c>
      <c r="G21" s="153">
        <f t="shared" si="5"/>
        <v>142.59999995999999</v>
      </c>
      <c r="L21" s="91">
        <f>INDEX(Starter!A:A,ROW()-1)</f>
        <v>38922</v>
      </c>
      <c r="M21">
        <f>INDEX(SchnittGes2!M:M,MATCH(L21,SchnittGes2!L:L,0))+INDEX(Schnitt3!M:M,MATCH(L21,Schnitt3!L:L,0))</f>
        <v>935</v>
      </c>
      <c r="N21">
        <f>INDEX(SchnittGes2!N:N,MATCH(L21,SchnittGes2!L:L,0))+INDEX(Schnitt3!N:N,MATCH(L21,Schnitt3!L:L,0))</f>
        <v>10</v>
      </c>
      <c r="O21">
        <f t="shared" si="0"/>
        <v>93.499999978999995</v>
      </c>
      <c r="P21">
        <f t="shared" si="1"/>
        <v>37</v>
      </c>
    </row>
    <row r="22" spans="1:16">
      <c r="A22">
        <f t="shared" si="6"/>
        <v>18</v>
      </c>
      <c r="B22">
        <f t="shared" si="2"/>
        <v>38937</v>
      </c>
      <c r="C22" t="str">
        <f>IFERROR(INDEX(Starter!B:B,MATCH(B22,Starter!A:A,0)),"")</f>
        <v>Ruppert, Raja</v>
      </c>
      <c r="D22" t="str">
        <f>IFERROR(INDEX(Starter!C:C,MATCH(B22,Starter!A:A,0)),"")</f>
        <v>LA Bowling</v>
      </c>
      <c r="E22" s="78">
        <f t="shared" si="3"/>
        <v>1223</v>
      </c>
      <c r="F22">
        <f t="shared" si="4"/>
        <v>9</v>
      </c>
      <c r="G22" s="153">
        <f t="shared" si="5"/>
        <v>135.88888885588889</v>
      </c>
      <c r="L22" s="91">
        <f>INDEX(Starter!A:A,ROW()-1)</f>
        <v>38808</v>
      </c>
      <c r="M22">
        <f>INDEX(SchnittGes2!M:M,MATCH(L22,SchnittGes2!L:L,0))+INDEX(Schnitt3!M:M,MATCH(L22,Schnitt3!L:L,0))</f>
        <v>1204</v>
      </c>
      <c r="N22">
        <f>INDEX(SchnittGes2!N:N,MATCH(L22,SchnittGes2!L:L,0))+INDEX(Schnitt3!N:N,MATCH(L22,Schnitt3!L:L,0))</f>
        <v>10</v>
      </c>
      <c r="O22">
        <f t="shared" si="0"/>
        <v>120.39999997800001</v>
      </c>
      <c r="P22">
        <f t="shared" si="1"/>
        <v>25</v>
      </c>
    </row>
    <row r="23" spans="1:16">
      <c r="A23">
        <f t="shared" si="6"/>
        <v>19</v>
      </c>
      <c r="B23">
        <f t="shared" si="2"/>
        <v>38904</v>
      </c>
      <c r="C23" t="str">
        <f>IFERROR(INDEX(Starter!B:B,MATCH(B23,Starter!A:A,0)),"")</f>
        <v>Vogt, Leonard</v>
      </c>
      <c r="D23" t="str">
        <f>IFERROR(INDEX(Starter!C:C,MATCH(B23,Starter!A:A,0)),"")</f>
        <v>BC EMAX</v>
      </c>
      <c r="E23" s="78">
        <f t="shared" si="3"/>
        <v>1437</v>
      </c>
      <c r="F23">
        <f t="shared" si="4"/>
        <v>11</v>
      </c>
      <c r="G23" s="153">
        <f t="shared" si="5"/>
        <v>130.63636363136362</v>
      </c>
      <c r="L23" s="91">
        <f>INDEX(Starter!A:A,ROW()-1)</f>
        <v>38810</v>
      </c>
      <c r="M23">
        <f>INDEX(SchnittGes2!M:M,MATCH(L23,SchnittGes2!L:L,0))+INDEX(Schnitt3!M:M,MATCH(L23,Schnitt3!L:L,0))</f>
        <v>1039</v>
      </c>
      <c r="N23">
        <f>INDEX(SchnittGes2!N:N,MATCH(L23,SchnittGes2!L:L,0))+INDEX(Schnitt3!N:N,MATCH(L23,Schnitt3!L:L,0))</f>
        <v>9</v>
      </c>
      <c r="O23">
        <f t="shared" si="0"/>
        <v>115.44444442144444</v>
      </c>
      <c r="P23">
        <f t="shared" si="1"/>
        <v>27</v>
      </c>
    </row>
    <row r="24" spans="1:16">
      <c r="A24">
        <f t="shared" si="6"/>
        <v>20</v>
      </c>
      <c r="B24">
        <f t="shared" si="2"/>
        <v>38843</v>
      </c>
      <c r="C24" t="str">
        <f>IFERROR(INDEX(Starter!B:B,MATCH(B24,Starter!A:A,0)),"")</f>
        <v>Lintner, Lena</v>
      </c>
      <c r="D24" t="str">
        <f>IFERROR(INDEX(Starter!C:C,MATCH(B24,Starter!A:A,0)),"")</f>
        <v>Absolut-Sports.com</v>
      </c>
      <c r="E24" s="78">
        <f t="shared" si="3"/>
        <v>783</v>
      </c>
      <c r="F24">
        <f t="shared" si="4"/>
        <v>6</v>
      </c>
      <c r="G24" s="153">
        <f t="shared" si="5"/>
        <v>130.49999999100001</v>
      </c>
      <c r="L24" s="91">
        <f>INDEX(Starter!A:A,ROW()-1)</f>
        <v>38848</v>
      </c>
      <c r="M24">
        <f>INDEX(SchnittGes2!M:M,MATCH(L24,SchnittGes2!L:L,0))+INDEX(Schnitt3!M:M,MATCH(L24,Schnitt3!L:L,0))</f>
        <v>1512</v>
      </c>
      <c r="N24">
        <f>INDEX(SchnittGes2!N:N,MATCH(L24,SchnittGes2!L:L,0))+INDEX(Schnitt3!N:N,MATCH(L24,Schnitt3!L:L,0))</f>
        <v>12</v>
      </c>
      <c r="O24">
        <f t="shared" si="0"/>
        <v>125.999999976</v>
      </c>
      <c r="P24">
        <f t="shared" si="1"/>
        <v>22</v>
      </c>
    </row>
    <row r="25" spans="1:16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1553</v>
      </c>
      <c r="F25">
        <f t="shared" si="4"/>
        <v>12</v>
      </c>
      <c r="G25" s="153">
        <f t="shared" si="5"/>
        <v>129.41666663666666</v>
      </c>
      <c r="L25" s="91">
        <f>INDEX(Starter!A:A,ROW()-1)</f>
        <v>38849</v>
      </c>
      <c r="M25">
        <f>INDEX(SchnittGes2!M:M,MATCH(L25,SchnittGes2!L:L,0))+INDEX(Schnitt3!M:M,MATCH(L25,Schnitt3!L:L,0))</f>
        <v>1599</v>
      </c>
      <c r="N25">
        <f>INDEX(SchnittGes2!N:N,MATCH(L25,SchnittGes2!L:L,0))+INDEX(Schnitt3!N:N,MATCH(L25,Schnitt3!L:L,0))</f>
        <v>14</v>
      </c>
      <c r="O25">
        <f t="shared" si="0"/>
        <v>114.2142856892857</v>
      </c>
      <c r="P25">
        <f t="shared" si="1"/>
        <v>28</v>
      </c>
    </row>
    <row r="26" spans="1:16">
      <c r="A26">
        <f t="shared" si="6"/>
        <v>22</v>
      </c>
      <c r="B26">
        <f t="shared" si="2"/>
        <v>38848</v>
      </c>
      <c r="C26" t="str">
        <f>IFERROR(INDEX(Starter!B:B,MATCH(B26,Starter!A:A,0)),"")</f>
        <v>Marker, Anna</v>
      </c>
      <c r="D26" t="str">
        <f>IFERROR(INDEX(Starter!C:C,MATCH(B26,Starter!A:A,0)),"")</f>
        <v>BSC Highroller Rosenheim</v>
      </c>
      <c r="E26" s="78">
        <f t="shared" si="3"/>
        <v>1512</v>
      </c>
      <c r="F26">
        <f t="shared" si="4"/>
        <v>12</v>
      </c>
      <c r="G26" s="153">
        <f t="shared" si="5"/>
        <v>125.999999976</v>
      </c>
      <c r="L26" s="91">
        <f>INDEX(Starter!A:A,ROW()-1)</f>
        <v>38925</v>
      </c>
      <c r="M26">
        <f>INDEX(SchnittGes2!M:M,MATCH(L26,SchnittGes2!L:L,0))+INDEX(Schnitt3!M:M,MATCH(L26,Schnitt3!L:L,0))</f>
        <v>0</v>
      </c>
      <c r="N26">
        <f>INDEX(SchnittGes2!N:N,MATCH(L26,SchnittGes2!L:L,0))+INDEX(Schnitt3!N:N,MATCH(L26,Schnitt3!L:L,0))</f>
        <v>0</v>
      </c>
      <c r="O26">
        <f t="shared" si="0"/>
        <v>0</v>
      </c>
      <c r="P26">
        <f t="shared" si="1"/>
        <v>41</v>
      </c>
    </row>
    <row r="27" spans="1:16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378</v>
      </c>
      <c r="F27">
        <f t="shared" si="4"/>
        <v>3</v>
      </c>
      <c r="G27" s="153">
        <f t="shared" si="5"/>
        <v>125.999999957</v>
      </c>
      <c r="L27" s="91">
        <f>INDEX(Starter!A:A,ROW()-1)</f>
        <v>38924</v>
      </c>
      <c r="M27">
        <f>INDEX(SchnittGes2!M:M,MATCH(L27,SchnittGes2!L:L,0))+INDEX(Schnitt3!M:M,MATCH(L27,Schnitt3!L:L,0))</f>
        <v>0</v>
      </c>
      <c r="N27">
        <f>INDEX(SchnittGes2!N:N,MATCH(L27,SchnittGes2!L:L,0))+INDEX(Schnitt3!N:N,MATCH(L27,Schnitt3!L:L,0))</f>
        <v>0</v>
      </c>
      <c r="O27">
        <f t="shared" si="0"/>
        <v>0</v>
      </c>
      <c r="P27">
        <f t="shared" si="1"/>
        <v>41</v>
      </c>
    </row>
    <row r="28" spans="1:16">
      <c r="A28">
        <f t="shared" si="6"/>
        <v>24</v>
      </c>
      <c r="B28">
        <f t="shared" si="2"/>
        <v>38910</v>
      </c>
      <c r="C28" t="str">
        <f>IFERROR(INDEX(Starter!B:B,MATCH(B28,Starter!A:A,0)),"")</f>
        <v>Heiming, Thalea</v>
      </c>
      <c r="D28" t="str">
        <f>IFERROR(INDEX(Starter!C:C,MATCH(B28,Starter!A:A,0)),"")</f>
        <v>BC EMAX</v>
      </c>
      <c r="E28" s="78">
        <f t="shared" si="3"/>
        <v>1330</v>
      </c>
      <c r="F28">
        <f t="shared" si="4"/>
        <v>11</v>
      </c>
      <c r="G28" s="153">
        <f t="shared" si="5"/>
        <v>120.90909090309091</v>
      </c>
      <c r="L28" s="91">
        <f>INDEX(Starter!A:A,ROW()-1)</f>
        <v>38865</v>
      </c>
      <c r="M28">
        <f>INDEX(SchnittGes2!M:M,MATCH(L28,SchnittGes2!L:L,0))+INDEX(Schnitt3!M:M,MATCH(L28,Schnitt3!L:L,0))</f>
        <v>913</v>
      </c>
      <c r="N28">
        <f>INDEX(SchnittGes2!N:N,MATCH(L28,SchnittGes2!L:L,0))+INDEX(Schnitt3!N:N,MATCH(L28,Schnitt3!L:L,0))</f>
        <v>8</v>
      </c>
      <c r="O28">
        <f t="shared" si="0"/>
        <v>114.124999972</v>
      </c>
      <c r="P28">
        <f t="shared" si="1"/>
        <v>29</v>
      </c>
    </row>
    <row r="29" spans="1:16">
      <c r="A29">
        <f t="shared" si="6"/>
        <v>25</v>
      </c>
      <c r="B29">
        <f t="shared" si="2"/>
        <v>38808</v>
      </c>
      <c r="C29" t="str">
        <f>IFERROR(INDEX(Starter!B:B,MATCH(B29,Starter!A:A,0)),"")</f>
        <v>Reinhold, Moritz</v>
      </c>
      <c r="D29" t="str">
        <f>IFERROR(INDEX(Starter!C:C,MATCH(B29,Starter!A:A,0)),"")</f>
        <v>BSC Highroller Rosenheim</v>
      </c>
      <c r="E29" s="78">
        <f t="shared" si="3"/>
        <v>1204</v>
      </c>
      <c r="F29">
        <f t="shared" si="4"/>
        <v>10</v>
      </c>
      <c r="G29" s="153">
        <f t="shared" si="5"/>
        <v>120.39999997800001</v>
      </c>
      <c r="L29" s="91">
        <f>INDEX(Starter!A:A,ROW()-1)</f>
        <v>38714</v>
      </c>
      <c r="M29">
        <f>INDEX(SchnittGes2!M:M,MATCH(L29,SchnittGes2!L:L,0))+INDEX(Schnitt3!M:M,MATCH(L29,Schnitt3!L:L,0))</f>
        <v>1306</v>
      </c>
      <c r="N29">
        <f>INDEX(SchnittGes2!N:N,MATCH(L29,SchnittGes2!L:L,0))+INDEX(Schnitt3!N:N,MATCH(L29,Schnitt3!L:L,0))</f>
        <v>8</v>
      </c>
      <c r="O29">
        <f t="shared" si="0"/>
        <v>163.24999997099999</v>
      </c>
      <c r="P29">
        <f t="shared" si="1"/>
        <v>8</v>
      </c>
    </row>
    <row r="30" spans="1:16">
      <c r="A30">
        <f t="shared" si="6"/>
        <v>26</v>
      </c>
      <c r="B30">
        <f t="shared" si="2"/>
        <v>38915</v>
      </c>
      <c r="C30" t="str">
        <f>IFERROR(INDEX(Starter!B:B,MATCH(B30,Starter!A:A,0)),"")</f>
        <v>Raj, Milan</v>
      </c>
      <c r="D30" t="str">
        <f>IFERROR(INDEX(Starter!C:C,MATCH(B30,Starter!A:A,0)),"")</f>
        <v>Bowling Jugend Bayern</v>
      </c>
      <c r="E30" s="78">
        <f t="shared" si="3"/>
        <v>827</v>
      </c>
      <c r="F30">
        <f t="shared" si="4"/>
        <v>7</v>
      </c>
      <c r="G30" s="153">
        <f t="shared" si="5"/>
        <v>118.14285710185713</v>
      </c>
      <c r="L30" s="91">
        <f>INDEX(Starter!A:A,ROW()-1)</f>
        <v>38819</v>
      </c>
      <c r="M30">
        <f>INDEX(SchnittGes2!M:M,MATCH(L30,SchnittGes2!L:L,0))+INDEX(Schnitt3!M:M,MATCH(L30,Schnitt3!L:L,0))</f>
        <v>1553</v>
      </c>
      <c r="N30">
        <f>INDEX(SchnittGes2!N:N,MATCH(L30,SchnittGes2!L:L,0))+INDEX(Schnitt3!N:N,MATCH(L30,Schnitt3!L:L,0))</f>
        <v>12</v>
      </c>
      <c r="O30">
        <f t="shared" si="0"/>
        <v>129.41666663666666</v>
      </c>
      <c r="P30">
        <f t="shared" si="1"/>
        <v>21</v>
      </c>
    </row>
    <row r="31" spans="1:16">
      <c r="A31">
        <f t="shared" si="6"/>
        <v>27</v>
      </c>
      <c r="B31">
        <f t="shared" si="2"/>
        <v>38810</v>
      </c>
      <c r="C31" t="str">
        <f>IFERROR(INDEX(Starter!B:B,MATCH(B31,Starter!A:A,0)),"")</f>
        <v>Vokshi, Finn</v>
      </c>
      <c r="D31" t="str">
        <f>IFERROR(INDEX(Starter!C:C,MATCH(B31,Starter!A:A,0)),"")</f>
        <v>BSC Highroller Rosenheim</v>
      </c>
      <c r="E31" s="78">
        <f t="shared" si="3"/>
        <v>1039</v>
      </c>
      <c r="F31">
        <f t="shared" si="4"/>
        <v>9</v>
      </c>
      <c r="G31" s="153">
        <f t="shared" si="5"/>
        <v>115.44444442144444</v>
      </c>
      <c r="L31" s="91">
        <f>INDEX(Starter!A:A,ROW()-1)</f>
        <v>38817</v>
      </c>
      <c r="M31">
        <f>INDEX(SchnittGes2!M:M,MATCH(L31,SchnittGes2!L:L,0))+INDEX(Schnitt3!M:M,MATCH(L31,Schnitt3!L:L,0))</f>
        <v>0</v>
      </c>
      <c r="N31">
        <f>INDEX(SchnittGes2!N:N,MATCH(L31,SchnittGes2!L:L,0))+INDEX(Schnitt3!N:N,MATCH(L31,Schnitt3!L:L,0))</f>
        <v>0</v>
      </c>
      <c r="O31">
        <f t="shared" si="0"/>
        <v>0</v>
      </c>
      <c r="P31">
        <f t="shared" si="1"/>
        <v>41</v>
      </c>
    </row>
    <row r="32" spans="1:16">
      <c r="A32">
        <f t="shared" si="6"/>
        <v>28</v>
      </c>
      <c r="B32">
        <f t="shared" si="2"/>
        <v>38849</v>
      </c>
      <c r="C32" t="str">
        <f>IFERROR(INDEX(Starter!B:B,MATCH(B32,Starter!A:A,0)),"")</f>
        <v>Marker, Lena</v>
      </c>
      <c r="D32" t="str">
        <f>IFERROR(INDEX(Starter!C:C,MATCH(B32,Starter!A:A,0)),"")</f>
        <v>BSC Highroller Rosenheim</v>
      </c>
      <c r="E32" s="78">
        <f t="shared" si="3"/>
        <v>1599</v>
      </c>
      <c r="F32">
        <f t="shared" si="4"/>
        <v>14</v>
      </c>
      <c r="G32" s="153">
        <f t="shared" si="5"/>
        <v>114.2142856892857</v>
      </c>
      <c r="L32" s="91">
        <f>INDEX(Starter!A:A,ROW()-1)</f>
        <v>38905</v>
      </c>
      <c r="M32">
        <f>INDEX(SchnittGes2!M:M,MATCH(L32,SchnittGes2!L:L,0))+INDEX(Schnitt3!M:M,MATCH(L32,Schnitt3!L:L,0))</f>
        <v>575</v>
      </c>
      <c r="N32">
        <f>INDEX(SchnittGes2!N:N,MATCH(L32,SchnittGes2!L:L,0))+INDEX(Schnitt3!N:N,MATCH(L32,Schnitt3!L:L,0))</f>
        <v>8</v>
      </c>
      <c r="O32">
        <f t="shared" si="0"/>
        <v>71.874999967999997</v>
      </c>
      <c r="P32">
        <f t="shared" si="1"/>
        <v>40</v>
      </c>
    </row>
    <row r="33" spans="1:16">
      <c r="A33">
        <f t="shared" si="6"/>
        <v>29</v>
      </c>
      <c r="B33">
        <f t="shared" si="2"/>
        <v>38865</v>
      </c>
      <c r="C33" t="str">
        <f>IFERROR(INDEX(Starter!B:B,MATCH(B33,Starter!A:A,0)),"")</f>
        <v>Labs, Leon</v>
      </c>
      <c r="D33" t="str">
        <f>IFERROR(INDEX(Starter!C:C,MATCH(B33,Starter!A:A,0)),"")</f>
        <v>BC Berchtesgaden</v>
      </c>
      <c r="E33" s="78">
        <f t="shared" si="3"/>
        <v>913</v>
      </c>
      <c r="F33">
        <f t="shared" si="4"/>
        <v>8</v>
      </c>
      <c r="G33" s="153">
        <f t="shared" si="5"/>
        <v>114.124999972</v>
      </c>
      <c r="L33" s="91">
        <f>INDEX(Starter!A:A,ROW()-1)</f>
        <v>38937</v>
      </c>
      <c r="M33">
        <f>INDEX(SchnittGes2!M:M,MATCH(L33,SchnittGes2!L:L,0))+INDEX(Schnitt3!M:M,MATCH(L33,Schnitt3!L:L,0))</f>
        <v>1223</v>
      </c>
      <c r="N33">
        <f>INDEX(SchnittGes2!N:N,MATCH(L33,SchnittGes2!L:L,0))+INDEX(Schnitt3!N:N,MATCH(L33,Schnitt3!L:L,0))</f>
        <v>9</v>
      </c>
      <c r="O33">
        <f t="shared" si="0"/>
        <v>135.88888885588889</v>
      </c>
      <c r="P33">
        <f t="shared" si="1"/>
        <v>18</v>
      </c>
    </row>
    <row r="34" spans="1:16">
      <c r="A34">
        <f t="shared" si="6"/>
        <v>30</v>
      </c>
      <c r="B34">
        <f t="shared" si="2"/>
        <v>38927</v>
      </c>
      <c r="C34" t="str">
        <f>IFERROR(INDEX(Starter!B:B,MATCH(B34,Starter!A:A,0)),"")</f>
        <v>Bonnaire, Ben</v>
      </c>
      <c r="D34" t="str">
        <f>IFERROR(INDEX(Starter!C:C,MATCH(B34,Starter!A:A,0)),"")</f>
        <v>Bowling Jugend Bayern</v>
      </c>
      <c r="E34" s="78">
        <f t="shared" si="3"/>
        <v>1027</v>
      </c>
      <c r="F34">
        <f t="shared" si="4"/>
        <v>9</v>
      </c>
      <c r="G34" s="153">
        <f t="shared" si="5"/>
        <v>114.11111107411111</v>
      </c>
      <c r="L34" s="91">
        <f>INDEX(Starter!A:A,ROW()-1)</f>
        <v>38655</v>
      </c>
      <c r="M34">
        <f>INDEX(SchnittGes2!M:M,MATCH(L34,SchnittGes2!L:L,0))+INDEX(Schnitt3!M:M,MATCH(L34,Schnitt3!L:L,0))</f>
        <v>1091</v>
      </c>
      <c r="N34">
        <f>INDEX(SchnittGes2!N:N,MATCH(L34,SchnittGes2!L:L,0))+INDEX(Schnitt3!N:N,MATCH(L34,Schnitt3!L:L,0))</f>
        <v>5</v>
      </c>
      <c r="O34">
        <f t="shared" si="0"/>
        <v>218.19999996599998</v>
      </c>
      <c r="P34">
        <f t="shared" si="1"/>
        <v>1</v>
      </c>
    </row>
    <row r="35" spans="1:16">
      <c r="A35">
        <f t="shared" si="6"/>
        <v>31</v>
      </c>
      <c r="B35">
        <f t="shared" si="2"/>
        <v>38923</v>
      </c>
      <c r="C35" t="str">
        <f>IFERROR(INDEX(Starter!B:B,MATCH(B35,Starter!A:A,0)),"")</f>
        <v>Weinrich, Lena</v>
      </c>
      <c r="D35" t="str">
        <f>IFERROR(INDEX(Starter!C:C,MATCH(B35,Starter!A:A,0)),"")</f>
        <v>BSC Highroller Rosenheim</v>
      </c>
      <c r="E35" s="78">
        <f t="shared" si="3"/>
        <v>1242</v>
      </c>
      <c r="F35">
        <f t="shared" si="4"/>
        <v>11</v>
      </c>
      <c r="G35" s="153">
        <f t="shared" si="5"/>
        <v>112.90909089109091</v>
      </c>
      <c r="L35" s="91">
        <f>INDEX(Starter!A:A,ROW()-1)</f>
        <v>38708</v>
      </c>
      <c r="M35">
        <f>INDEX(SchnittGes2!M:M,MATCH(L35,SchnittGes2!L:L,0))+INDEX(Schnitt3!M:M,MATCH(L35,Schnitt3!L:L,0))</f>
        <v>3169</v>
      </c>
      <c r="N35">
        <f>INDEX(SchnittGes2!N:N,MATCH(L35,SchnittGes2!L:L,0))+INDEX(Schnitt3!N:N,MATCH(L35,Schnitt3!L:L,0))</f>
        <v>15</v>
      </c>
      <c r="O35">
        <f t="shared" si="0"/>
        <v>211.26666663166668</v>
      </c>
      <c r="P35">
        <f t="shared" si="1"/>
        <v>2</v>
      </c>
    </row>
    <row r="36" spans="1:16">
      <c r="A36">
        <f t="shared" si="6"/>
        <v>32</v>
      </c>
      <c r="B36">
        <f t="shared" si="2"/>
        <v>38785</v>
      </c>
      <c r="C36" t="str">
        <f>IFERROR(INDEX(Starter!B:B,MATCH(B36,Starter!A:A,0)),"")</f>
        <v>Mrosek, Laura Maria</v>
      </c>
      <c r="D36" t="str">
        <f>IFERROR(INDEX(Starter!C:C,MATCH(B36,Starter!A:A,0)),"")</f>
        <v>BC EMAX</v>
      </c>
      <c r="E36" s="78">
        <f t="shared" si="3"/>
        <v>328</v>
      </c>
      <c r="F36">
        <f t="shared" si="4"/>
        <v>3</v>
      </c>
      <c r="G36" s="153">
        <f t="shared" si="5"/>
        <v>109.33333333033333</v>
      </c>
      <c r="L36" s="91">
        <f>INDEX(Starter!A:A,ROW()-1)</f>
        <v>38327</v>
      </c>
      <c r="M36">
        <f>INDEX(SchnittGes2!M:M,MATCH(L36,SchnittGes2!L:L,0))+INDEX(Schnitt3!M:M,MATCH(L36,Schnitt3!L:L,0))</f>
        <v>2875</v>
      </c>
      <c r="N36">
        <f>INDEX(SchnittGes2!N:N,MATCH(L36,SchnittGes2!L:L,0))+INDEX(Schnitt3!N:N,MATCH(L36,Schnitt3!L:L,0))</f>
        <v>15</v>
      </c>
      <c r="O36">
        <f t="shared" si="0"/>
        <v>191.66666663066667</v>
      </c>
      <c r="P36">
        <f t="shared" si="1"/>
        <v>5</v>
      </c>
    </row>
    <row r="37" spans="1:16">
      <c r="A37">
        <f t="shared" si="6"/>
        <v>33</v>
      </c>
      <c r="B37">
        <f t="shared" si="2"/>
        <v>38941</v>
      </c>
      <c r="C37" t="str">
        <f>IFERROR(INDEX(Starter!B:B,MATCH(B37,Starter!A:A,0)),"")</f>
        <v>Calik, Ilay</v>
      </c>
      <c r="D37" t="str">
        <f>IFERROR(INDEX(Starter!C:C,MATCH(B37,Starter!A:A,0)),"")</f>
        <v>Bowling Jugend Bayern</v>
      </c>
      <c r="E37" s="78">
        <f t="shared" si="3"/>
        <v>318</v>
      </c>
      <c r="F37">
        <f t="shared" si="4"/>
        <v>3</v>
      </c>
      <c r="G37" s="153">
        <f t="shared" si="5"/>
        <v>105.999999954</v>
      </c>
      <c r="L37" s="91">
        <f>INDEX(Starter!A:A,ROW()-1)</f>
        <v>38927</v>
      </c>
      <c r="M37">
        <f>INDEX(SchnittGes2!M:M,MATCH(L37,SchnittGes2!L:L,0))+INDEX(Schnitt3!M:M,MATCH(L37,Schnitt3!L:L,0))</f>
        <v>1027</v>
      </c>
      <c r="N37">
        <f>INDEX(SchnittGes2!N:N,MATCH(L37,SchnittGes2!L:L,0))+INDEX(Schnitt3!N:N,MATCH(L37,Schnitt3!L:L,0))</f>
        <v>9</v>
      </c>
      <c r="O37">
        <f t="shared" si="0"/>
        <v>114.11111107411111</v>
      </c>
      <c r="P37">
        <f t="shared" si="1"/>
        <v>30</v>
      </c>
    </row>
    <row r="38" spans="1:16">
      <c r="A38">
        <f t="shared" si="6"/>
        <v>34</v>
      </c>
      <c r="B38">
        <f t="shared" si="2"/>
        <v>38890</v>
      </c>
      <c r="C38" t="str">
        <f>IFERROR(INDEX(Starter!B:B,MATCH(B38,Starter!A:A,0)),"")</f>
        <v>Hofer, Anja</v>
      </c>
      <c r="D38" t="str">
        <f>IFERROR(INDEX(Starter!C:C,MATCH(B38,Starter!A:A,0)),"")</f>
        <v>BC EMAX</v>
      </c>
      <c r="E38" s="78">
        <f t="shared" si="3"/>
        <v>1105</v>
      </c>
      <c r="F38">
        <f t="shared" si="4"/>
        <v>11</v>
      </c>
      <c r="G38" s="153">
        <f t="shared" si="5"/>
        <v>100.45454545254546</v>
      </c>
      <c r="L38" s="91">
        <f>INDEX(Starter!A:A,ROW()-1)</f>
        <v>38795</v>
      </c>
      <c r="M38">
        <f>INDEX(SchnittGes2!M:M,MATCH(L38,SchnittGes2!L:L,0))+INDEX(Schnitt3!M:M,MATCH(L38,Schnitt3!L:L,0))</f>
        <v>778</v>
      </c>
      <c r="N38">
        <f>INDEX(SchnittGes2!N:N,MATCH(L38,SchnittGes2!L:L,0))+INDEX(Schnitt3!N:N,MATCH(L38,Schnitt3!L:L,0))</f>
        <v>5</v>
      </c>
      <c r="O38">
        <f t="shared" si="0"/>
        <v>155.599999962</v>
      </c>
      <c r="P38">
        <f t="shared" si="1"/>
        <v>12</v>
      </c>
    </row>
    <row r="39" spans="1:16">
      <c r="A39">
        <f t="shared" si="6"/>
        <v>35</v>
      </c>
      <c r="B39">
        <f t="shared" si="2"/>
        <v>38831</v>
      </c>
      <c r="C39" t="str">
        <f>IFERROR(INDEX(Starter!B:B,MATCH(B39,Starter!A:A,0)),"")</f>
        <v>Thiele, Isabelle</v>
      </c>
      <c r="D39" t="str">
        <f>IFERROR(INDEX(Starter!C:C,MATCH(B39,Starter!A:A,0)),"")</f>
        <v>BSC Highroller Rosenheim</v>
      </c>
      <c r="E39" s="78">
        <f t="shared" si="3"/>
        <v>589</v>
      </c>
      <c r="F39">
        <f t="shared" si="4"/>
        <v>6</v>
      </c>
      <c r="G39" s="153">
        <f t="shared" si="5"/>
        <v>98.166666651666674</v>
      </c>
      <c r="L39" s="91">
        <f>INDEX(Starter!A:A,ROW()-1)</f>
        <v>38674</v>
      </c>
      <c r="M39">
        <f>INDEX(SchnittGes2!M:M,MATCH(L39,SchnittGes2!L:L,0))+INDEX(Schnitt3!M:M,MATCH(L39,Schnitt3!L:L,0))</f>
        <v>0</v>
      </c>
      <c r="N39">
        <f>INDEX(SchnittGes2!N:N,MATCH(L39,SchnittGes2!L:L,0))+INDEX(Schnitt3!N:N,MATCH(L39,Schnitt3!L:L,0))</f>
        <v>0</v>
      </c>
      <c r="O39">
        <f t="shared" si="0"/>
        <v>0</v>
      </c>
      <c r="P39">
        <f t="shared" si="1"/>
        <v>41</v>
      </c>
    </row>
    <row r="40" spans="1:16">
      <c r="A40">
        <f t="shared" si="6"/>
        <v>36</v>
      </c>
      <c r="B40">
        <f t="shared" si="2"/>
        <v>38920</v>
      </c>
      <c r="C40" t="str">
        <f>IFERROR(INDEX(Starter!B:B,MATCH(B40,Starter!A:A,0)),"")</f>
        <v>Schwarzfischer, Leon</v>
      </c>
      <c r="D40" t="str">
        <f>IFERROR(INDEX(Starter!C:C,MATCH(B40,Starter!A:A,0)),"")</f>
        <v>BSC Highroller Rosenheim</v>
      </c>
      <c r="E40" s="78">
        <f t="shared" si="3"/>
        <v>1033</v>
      </c>
      <c r="F40">
        <f t="shared" si="4"/>
        <v>11</v>
      </c>
      <c r="G40" s="153">
        <f t="shared" si="5"/>
        <v>93.909090890090908</v>
      </c>
      <c r="L40" s="91">
        <f>INDEX(Starter!A:A,ROW()-1)</f>
        <v>38894</v>
      </c>
      <c r="M40">
        <f>INDEX(SchnittGes2!M:M,MATCH(L40,SchnittGes2!L:L,0))+INDEX(Schnitt3!M:M,MATCH(L40,Schnitt3!L:L,0))</f>
        <v>713</v>
      </c>
      <c r="N40">
        <f>INDEX(SchnittGes2!N:N,MATCH(L40,SchnittGes2!L:L,0))+INDEX(Schnitt3!N:N,MATCH(L40,Schnitt3!L:L,0))</f>
        <v>5</v>
      </c>
      <c r="O40">
        <f t="shared" si="0"/>
        <v>142.59999995999999</v>
      </c>
      <c r="P40">
        <f t="shared" si="1"/>
        <v>17</v>
      </c>
    </row>
    <row r="41" spans="1:16">
      <c r="A41">
        <f t="shared" si="6"/>
        <v>37</v>
      </c>
      <c r="B41">
        <f t="shared" si="2"/>
        <v>38922</v>
      </c>
      <c r="C41" t="str">
        <f>IFERROR(INDEX(Starter!B:B,MATCH(B41,Starter!A:A,0)),"")</f>
        <v>Schimanski, Theodor</v>
      </c>
      <c r="D41" t="str">
        <f>IFERROR(INDEX(Starter!C:C,MATCH(B41,Starter!A:A,0)),"")</f>
        <v>BSC Highroller Rosenheim</v>
      </c>
      <c r="E41" s="78">
        <f t="shared" si="3"/>
        <v>935</v>
      </c>
      <c r="F41">
        <f t="shared" si="4"/>
        <v>10</v>
      </c>
      <c r="G41" s="153">
        <f t="shared" si="5"/>
        <v>93.499999978999995</v>
      </c>
      <c r="L41" s="91">
        <f>INDEX(Starter!A:A,ROW()-1)</f>
        <v>38915</v>
      </c>
      <c r="M41">
        <f>INDEX(SchnittGes2!M:M,MATCH(L41,SchnittGes2!L:L,0))+INDEX(Schnitt3!M:M,MATCH(L41,Schnitt3!L:L,0))</f>
        <v>827</v>
      </c>
      <c r="N41">
        <f>INDEX(SchnittGes2!N:N,MATCH(L41,SchnittGes2!L:L,0))+INDEX(Schnitt3!N:N,MATCH(L41,Schnitt3!L:L,0))</f>
        <v>7</v>
      </c>
      <c r="O41">
        <f t="shared" si="0"/>
        <v>118.14285710185713</v>
      </c>
      <c r="P41">
        <f t="shared" si="1"/>
        <v>26</v>
      </c>
    </row>
    <row r="42" spans="1:16">
      <c r="A42">
        <f t="shared" si="6"/>
        <v>38</v>
      </c>
      <c r="B42">
        <f t="shared" si="2"/>
        <v>38893</v>
      </c>
      <c r="C42" t="str">
        <f>IFERROR(INDEX(Starter!B:B,MATCH(B42,Starter!A:A,0)),"")</f>
        <v>Rothemund, Louis</v>
      </c>
      <c r="D42" t="str">
        <f>IFERROR(INDEX(Starter!C:C,MATCH(B42,Starter!A:A,0)),"")</f>
        <v>Absolut-Sports.com</v>
      </c>
      <c r="E42" s="78">
        <f t="shared" si="3"/>
        <v>547</v>
      </c>
      <c r="F42">
        <f t="shared" si="4"/>
        <v>6</v>
      </c>
      <c r="G42" s="153">
        <f t="shared" si="5"/>
        <v>91.16666665466667</v>
      </c>
      <c r="L42" s="91">
        <f>INDEX(Starter!A:A,ROW()-1)</f>
        <v>38781</v>
      </c>
      <c r="M42">
        <f>INDEX(SchnittGes2!M:M,MATCH(L42,SchnittGes2!L:L,0))+INDEX(Schnitt3!M:M,MATCH(L42,Schnitt3!L:L,0))</f>
        <v>1296</v>
      </c>
      <c r="N42">
        <f>INDEX(SchnittGes2!N:N,MATCH(L42,SchnittGes2!L:L,0))+INDEX(Schnitt3!N:N,MATCH(L42,Schnitt3!L:L,0))</f>
        <v>8</v>
      </c>
      <c r="O42">
        <f t="shared" si="0"/>
        <v>161.99999995799999</v>
      </c>
      <c r="P42">
        <f t="shared" si="1"/>
        <v>9</v>
      </c>
    </row>
    <row r="43" spans="1:16">
      <c r="A43">
        <f t="shared" si="6"/>
        <v>39</v>
      </c>
      <c r="B43">
        <f t="shared" si="2"/>
        <v>38921</v>
      </c>
      <c r="C43" t="str">
        <f>IFERROR(INDEX(Starter!B:B,MATCH(B43,Starter!A:A,0)),"")</f>
        <v>Schimanski, Johanna</v>
      </c>
      <c r="D43" t="str">
        <f>IFERROR(INDEX(Starter!C:C,MATCH(B43,Starter!A:A,0)),"")</f>
        <v>BSC Highroller Rosenheim</v>
      </c>
      <c r="E43" s="78">
        <f t="shared" si="3"/>
        <v>735</v>
      </c>
      <c r="F43">
        <f t="shared" si="4"/>
        <v>10</v>
      </c>
      <c r="G43" s="153">
        <f t="shared" si="5"/>
        <v>73.499999979999998</v>
      </c>
      <c r="L43" s="91">
        <f>INDEX(Starter!A:A,ROW()-1)</f>
        <v>38940</v>
      </c>
      <c r="M43">
        <f>INDEX(SchnittGes2!M:M,MATCH(L43,SchnittGes2!L:L,0))+INDEX(Schnitt3!M:M,MATCH(L43,Schnitt3!L:L,0))</f>
        <v>378</v>
      </c>
      <c r="N43">
        <f>INDEX(SchnittGes2!N:N,MATCH(L43,SchnittGes2!L:L,0))+INDEX(Schnitt3!N:N,MATCH(L43,Schnitt3!L:L,0))</f>
        <v>3</v>
      </c>
      <c r="O43">
        <f t="shared" si="0"/>
        <v>125.999999957</v>
      </c>
      <c r="P43">
        <f t="shared" si="1"/>
        <v>23</v>
      </c>
    </row>
    <row r="44" spans="1:16">
      <c r="A44">
        <f t="shared" si="6"/>
        <v>40</v>
      </c>
      <c r="B44">
        <f t="shared" si="2"/>
        <v>38905</v>
      </c>
      <c r="C44" t="str">
        <f>IFERROR(INDEX(Starter!B:B,MATCH(B44,Starter!A:A,0)),"")</f>
        <v>Laubach, Nina</v>
      </c>
      <c r="D44" t="str">
        <f>IFERROR(INDEX(Starter!C:C,MATCH(B44,Starter!A:A,0)),"")</f>
        <v>BC Berchtesgaden</v>
      </c>
      <c r="E44" s="78">
        <f t="shared" si="3"/>
        <v>575</v>
      </c>
      <c r="F44">
        <f t="shared" si="4"/>
        <v>8</v>
      </c>
      <c r="G44" s="153">
        <f t="shared" si="5"/>
        <v>71.874999967999997</v>
      </c>
      <c r="L44" s="91">
        <f>INDEX(Starter!A:A,ROW()-1)</f>
        <v>38942</v>
      </c>
      <c r="M44">
        <f>INDEX(SchnittGes2!M:M,MATCH(L44,SchnittGes2!L:L,0))+INDEX(Schnitt3!M:M,MATCH(L44,Schnitt3!L:L,0))</f>
        <v>1393</v>
      </c>
      <c r="N44">
        <f>INDEX(SchnittGes2!N:N,MATCH(L44,SchnittGes2!L:L,0))+INDEX(Schnitt3!N:N,MATCH(L44,Schnitt3!L:L,0))</f>
        <v>8</v>
      </c>
      <c r="O44">
        <f t="shared" si="0"/>
        <v>174.12499995600001</v>
      </c>
      <c r="P44">
        <f t="shared" si="1"/>
        <v>7</v>
      </c>
    </row>
    <row r="45" spans="1:16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3"/>
        <v/>
      </c>
      <c r="F45" t="str">
        <f t="shared" si="4"/>
        <v/>
      </c>
      <c r="G45" s="153" t="str">
        <f t="shared" si="5"/>
        <v/>
      </c>
      <c r="L45" s="91">
        <f>INDEX(Starter!A:A,ROW()-1)</f>
        <v>38334</v>
      </c>
      <c r="M45">
        <f>INDEX(SchnittGes2!M:M,MATCH(L45,SchnittGes2!L:L,0))+INDEX(Schnitt3!M:M,MATCH(L45,Schnitt3!L:L,0))</f>
        <v>1916</v>
      </c>
      <c r="N45">
        <f>INDEX(SchnittGes2!N:N,MATCH(L45,SchnittGes2!L:L,0))+INDEX(Schnitt3!N:N,MATCH(L45,Schnitt3!L:L,0))</f>
        <v>10</v>
      </c>
      <c r="O45">
        <f t="shared" si="0"/>
        <v>191.59999995499999</v>
      </c>
      <c r="P45">
        <f t="shared" si="1"/>
        <v>6</v>
      </c>
    </row>
    <row r="46" spans="1:16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38941</v>
      </c>
      <c r="M46">
        <f>INDEX(SchnittGes2!M:M,MATCH(L46,SchnittGes2!L:L,0))+INDEX(Schnitt3!M:M,MATCH(L46,Schnitt3!L:L,0))</f>
        <v>318</v>
      </c>
      <c r="N46">
        <f>INDEX(SchnittGes2!N:N,MATCH(L46,SchnittGes2!L:L,0))+INDEX(Schnitt3!N:N,MATCH(L46,Schnitt3!L:L,0))</f>
        <v>3</v>
      </c>
      <c r="O46">
        <f t="shared" si="0"/>
        <v>105.999999954</v>
      </c>
      <c r="P46">
        <f t="shared" si="1"/>
        <v>33</v>
      </c>
    </row>
    <row r="47" spans="1:16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38626</v>
      </c>
      <c r="M47">
        <f>INDEX(SchnittGes2!M:M,MATCH(L47,SchnittGes2!L:L,0))+INDEX(Schnitt3!M:M,MATCH(L47,Schnitt3!L:L,0))</f>
        <v>0</v>
      </c>
      <c r="N47">
        <f>INDEX(SchnittGes2!N:N,MATCH(L47,SchnittGes2!L:L,0))+INDEX(Schnitt3!N:N,MATCH(L47,Schnitt3!L:L,0))</f>
        <v>0</v>
      </c>
      <c r="O47">
        <f t="shared" si="0"/>
        <v>0</v>
      </c>
      <c r="P47">
        <f t="shared" si="1"/>
        <v>41</v>
      </c>
    </row>
    <row r="48" spans="1:16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INDEX(SchnittGes2!M:M,MATCH(L48,SchnittGes2!L:L,0))+INDEX(Schnitt3!M:M,MATCH(L48,Schnitt3!L:L,0))</f>
        <v>0</v>
      </c>
      <c r="N48">
        <f>INDEX(SchnittGes2!N:N,MATCH(L48,SchnittGes2!L:L,0))+INDEX(Schnitt3!N:N,MATCH(L48,Schnitt3!L:L,0))</f>
        <v>0</v>
      </c>
      <c r="O48">
        <f t="shared" si="0"/>
        <v>0</v>
      </c>
      <c r="P48">
        <f t="shared" si="1"/>
        <v>41</v>
      </c>
    </row>
    <row r="49" spans="1:16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INDEX(SchnittGes2!M:M,MATCH(L49,SchnittGes2!L:L,0))+INDEX(Schnitt3!M:M,MATCH(L49,Schnitt3!L:L,0))</f>
        <v>0</v>
      </c>
      <c r="N49">
        <f>INDEX(SchnittGes2!N:N,MATCH(L49,SchnittGes2!L:L,0))+INDEX(Schnitt3!N:N,MATCH(L49,Schnitt3!L:L,0))</f>
        <v>0</v>
      </c>
      <c r="O49">
        <f t="shared" si="0"/>
        <v>0</v>
      </c>
      <c r="P49">
        <f t="shared" si="1"/>
        <v>41</v>
      </c>
    </row>
    <row r="50" spans="1:16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INDEX(SchnittGes2!M:M,MATCH(L50,SchnittGes2!L:L,0))+INDEX(Schnitt3!M:M,MATCH(L50,Schnitt3!L:L,0))</f>
        <v>0</v>
      </c>
      <c r="N50">
        <f>INDEX(SchnittGes2!N:N,MATCH(L50,SchnittGes2!L:L,0))+INDEX(Schnitt3!N:N,MATCH(L50,Schnitt3!L:L,0))</f>
        <v>0</v>
      </c>
      <c r="O50">
        <f t="shared" si="0"/>
        <v>0</v>
      </c>
      <c r="P50">
        <f t="shared" si="1"/>
        <v>41</v>
      </c>
    </row>
    <row r="51" spans="1:16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INDEX(SchnittGes2!M:M,MATCH(L51,SchnittGes2!L:L,0))+INDEX(Schnitt3!M:M,MATCH(L51,Schnitt3!L:L,0))</f>
        <v>0</v>
      </c>
      <c r="N51">
        <f>INDEX(SchnittGes2!N:N,MATCH(L51,SchnittGes2!L:L,0))+INDEX(Schnitt3!N:N,MATCH(L51,Schnitt3!L:L,0))</f>
        <v>0</v>
      </c>
      <c r="O51">
        <f t="shared" si="0"/>
        <v>0</v>
      </c>
      <c r="P51">
        <f t="shared" si="1"/>
        <v>41</v>
      </c>
    </row>
    <row r="52" spans="1:16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INDEX(SchnittGes2!M:M,MATCH(L52,SchnittGes2!L:L,0))+INDEX(Schnitt3!M:M,MATCH(L52,Schnitt3!L:L,0))</f>
        <v>0</v>
      </c>
      <c r="N52">
        <f>INDEX(SchnittGes2!N:N,MATCH(L52,SchnittGes2!L:L,0))+INDEX(Schnitt3!N:N,MATCH(L52,Schnitt3!L:L,0))</f>
        <v>0</v>
      </c>
      <c r="O52">
        <f t="shared" si="0"/>
        <v>0</v>
      </c>
      <c r="P52">
        <f t="shared" si="1"/>
        <v>41</v>
      </c>
    </row>
    <row r="53" spans="1:16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INDEX(SchnittGes2!M:M,MATCH(L53,SchnittGes2!L:L,0))+INDEX(Schnitt3!M:M,MATCH(L53,Schnitt3!L:L,0))</f>
        <v>0</v>
      </c>
      <c r="N53">
        <f>INDEX(SchnittGes2!N:N,MATCH(L53,SchnittGes2!L:L,0))+INDEX(Schnitt3!N:N,MATCH(L53,Schnitt3!L:L,0))</f>
        <v>0</v>
      </c>
      <c r="O53">
        <f t="shared" si="0"/>
        <v>0</v>
      </c>
      <c r="P53">
        <f t="shared" si="1"/>
        <v>41</v>
      </c>
    </row>
    <row r="54" spans="1:16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INDEX(SchnittGes2!M:M,MATCH(L54,SchnittGes2!L:L,0))+INDEX(Schnitt3!M:M,MATCH(L54,Schnitt3!L:L,0))</f>
        <v>0</v>
      </c>
      <c r="N54">
        <f>INDEX(SchnittGes2!N:N,MATCH(L54,SchnittGes2!L:L,0))+INDEX(Schnitt3!N:N,MATCH(L54,Schnitt3!L:L,0))</f>
        <v>0</v>
      </c>
      <c r="O54">
        <f t="shared" si="0"/>
        <v>0</v>
      </c>
      <c r="P54">
        <f t="shared" si="1"/>
        <v>41</v>
      </c>
    </row>
    <row r="55" spans="1:16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INDEX(SchnittGes2!M:M,MATCH(L55,SchnittGes2!L:L,0))+INDEX(Schnitt3!M:M,MATCH(L55,Schnitt3!L:L,0))</f>
        <v>0</v>
      </c>
      <c r="N55">
        <f>INDEX(SchnittGes2!N:N,MATCH(L55,SchnittGes2!L:L,0))+INDEX(Schnitt3!N:N,MATCH(L55,Schnitt3!L:L,0))</f>
        <v>0</v>
      </c>
      <c r="O55">
        <f t="shared" si="0"/>
        <v>0</v>
      </c>
      <c r="P55">
        <f t="shared" si="1"/>
        <v>41</v>
      </c>
    </row>
    <row r="56" spans="1:16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INDEX(SchnittGes2!M:M,MATCH(L56,SchnittGes2!L:L,0))+INDEX(Schnitt3!M:M,MATCH(L56,Schnitt3!L:L,0))</f>
        <v>0</v>
      </c>
      <c r="N56">
        <f>INDEX(SchnittGes2!N:N,MATCH(L56,SchnittGes2!L:L,0))+INDEX(Schnitt3!N:N,MATCH(L56,Schnitt3!L:L,0))</f>
        <v>0</v>
      </c>
      <c r="O56">
        <f t="shared" si="0"/>
        <v>0</v>
      </c>
      <c r="P56">
        <f t="shared" si="1"/>
        <v>41</v>
      </c>
    </row>
    <row r="57" spans="1:16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INDEX(SchnittGes2!M:M,MATCH(L57,SchnittGes2!L:L,0))+INDEX(Schnitt3!M:M,MATCH(L57,Schnitt3!L:L,0))</f>
        <v>0</v>
      </c>
      <c r="N57">
        <f>INDEX(SchnittGes2!N:N,MATCH(L57,SchnittGes2!L:L,0))+INDEX(Schnitt3!N:N,MATCH(L57,Schnitt3!L:L,0))</f>
        <v>0</v>
      </c>
      <c r="O57">
        <f t="shared" si="0"/>
        <v>0</v>
      </c>
      <c r="P57">
        <f t="shared" si="1"/>
        <v>41</v>
      </c>
    </row>
    <row r="58" spans="1:16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INDEX(SchnittGes2!M:M,MATCH(L58,SchnittGes2!L:L,0))+INDEX(Schnitt3!M:M,MATCH(L58,Schnitt3!L:L,0))</f>
        <v>0</v>
      </c>
      <c r="N58">
        <f>INDEX(SchnittGes2!N:N,MATCH(L58,SchnittGes2!L:L,0))+INDEX(Schnitt3!N:N,MATCH(L58,Schnitt3!L:L,0))</f>
        <v>0</v>
      </c>
      <c r="O58">
        <f t="shared" si="0"/>
        <v>0</v>
      </c>
      <c r="P58">
        <f t="shared" si="1"/>
        <v>41</v>
      </c>
    </row>
    <row r="59" spans="1:16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INDEX(SchnittGes2!M:M,MATCH(L59,SchnittGes2!L:L,0))+INDEX(Schnitt3!M:M,MATCH(L59,Schnitt3!L:L,0))</f>
        <v>0</v>
      </c>
      <c r="N59">
        <f>INDEX(SchnittGes2!N:N,MATCH(L59,SchnittGes2!L:L,0))+INDEX(Schnitt3!N:N,MATCH(L59,Schnitt3!L:L,0))</f>
        <v>0</v>
      </c>
      <c r="O59">
        <f t="shared" si="0"/>
        <v>0</v>
      </c>
      <c r="P59">
        <f t="shared" si="1"/>
        <v>41</v>
      </c>
    </row>
    <row r="60" spans="1:16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INDEX(SchnittGes2!M:M,MATCH(L60,SchnittGes2!L:L,0))+INDEX(Schnitt3!M:M,MATCH(L60,Schnitt3!L:L,0))</f>
        <v>0</v>
      </c>
      <c r="N60">
        <f>INDEX(SchnittGes2!N:N,MATCH(L60,SchnittGes2!L:L,0))+INDEX(Schnitt3!N:N,MATCH(L60,Schnitt3!L:L,0))</f>
        <v>0</v>
      </c>
      <c r="O60">
        <f t="shared" si="0"/>
        <v>0</v>
      </c>
      <c r="P60">
        <f t="shared" si="1"/>
        <v>41</v>
      </c>
    </row>
    <row r="61" spans="1:16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INDEX(SchnittGes2!M:M,MATCH(L61,SchnittGes2!L:L,0))+INDEX(Schnitt3!M:M,MATCH(L61,Schnitt3!L:L,0))</f>
        <v>0</v>
      </c>
      <c r="N61">
        <f>INDEX(SchnittGes2!N:N,MATCH(L61,SchnittGes2!L:L,0))+INDEX(Schnitt3!N:N,MATCH(L61,Schnitt3!L:L,0))</f>
        <v>0</v>
      </c>
      <c r="O61">
        <f t="shared" si="0"/>
        <v>0</v>
      </c>
      <c r="P61">
        <f t="shared" si="1"/>
        <v>41</v>
      </c>
    </row>
    <row r="62" spans="1:16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INDEX(SchnittGes2!M:M,MATCH(L62,SchnittGes2!L:L,0))+INDEX(Schnitt3!M:M,MATCH(L62,Schnitt3!L:L,0))</f>
        <v>0</v>
      </c>
      <c r="N62">
        <f>INDEX(SchnittGes2!N:N,MATCH(L62,SchnittGes2!L:L,0))+INDEX(Schnitt3!N:N,MATCH(L62,Schnitt3!L:L,0))</f>
        <v>0</v>
      </c>
      <c r="O62">
        <f t="shared" si="0"/>
        <v>0</v>
      </c>
      <c r="P62">
        <f t="shared" si="1"/>
        <v>41</v>
      </c>
    </row>
    <row r="63" spans="1:16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INDEX(SchnittGes2!M:M,MATCH(L63,SchnittGes2!L:L,0))+INDEX(Schnitt3!M:M,MATCH(L63,Schnitt3!L:L,0))</f>
        <v>0</v>
      </c>
      <c r="N63">
        <f>INDEX(SchnittGes2!N:N,MATCH(L63,SchnittGes2!L:L,0))+INDEX(Schnitt3!N:N,MATCH(L63,Schnitt3!L:L,0))</f>
        <v>0</v>
      </c>
      <c r="O63">
        <f t="shared" si="0"/>
        <v>0</v>
      </c>
      <c r="P63">
        <f t="shared" si="1"/>
        <v>41</v>
      </c>
    </row>
    <row r="64" spans="1:16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INDEX(SchnittGes2!M:M,MATCH(L64,SchnittGes2!L:L,0))+INDEX(Schnitt3!M:M,MATCH(L64,Schnitt3!L:L,0))</f>
        <v>0</v>
      </c>
      <c r="N64">
        <f>INDEX(SchnittGes2!N:N,MATCH(L64,SchnittGes2!L:L,0))+INDEX(Schnitt3!N:N,MATCH(L64,Schnitt3!L:L,0))</f>
        <v>0</v>
      </c>
      <c r="O64">
        <f t="shared" si="0"/>
        <v>0</v>
      </c>
      <c r="P64">
        <f t="shared" si="1"/>
        <v>41</v>
      </c>
    </row>
    <row r="65" spans="1:16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INDEX(SchnittGes2!M:M,MATCH(L65,SchnittGes2!L:L,0))+INDEX(Schnitt3!M:M,MATCH(L65,Schnitt3!L:L,0))</f>
        <v>0</v>
      </c>
      <c r="N65">
        <f>INDEX(SchnittGes2!N:N,MATCH(L65,SchnittGes2!L:L,0))+INDEX(Schnitt3!N:N,MATCH(L65,Schnitt3!L:L,0))</f>
        <v>0</v>
      </c>
      <c r="O65">
        <f t="shared" si="0"/>
        <v>0</v>
      </c>
      <c r="P65">
        <f t="shared" si="1"/>
        <v>41</v>
      </c>
    </row>
    <row r="66" spans="1:16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INDEX(SchnittGes2!M:M,MATCH(L66,SchnittGes2!L:L,0))+INDEX(Schnitt3!M:M,MATCH(L66,Schnitt3!L:L,0))</f>
        <v>0</v>
      </c>
      <c r="N66">
        <f>INDEX(SchnittGes2!N:N,MATCH(L66,SchnittGes2!L:L,0))+INDEX(Schnitt3!N:N,MATCH(L66,Schnitt3!L:L,0))</f>
        <v>0</v>
      </c>
      <c r="O66">
        <f t="shared" ref="O66:O104" si="7">IF(N66=0,0,M66/N66-ROW()/1000000000)</f>
        <v>0</v>
      </c>
      <c r="P66">
        <f t="shared" ref="P66:P104" si="8">RANK(O66,O:O)</f>
        <v>41</v>
      </c>
    </row>
    <row r="67" spans="1:16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INDEX(SchnittGes2!M:M,MATCH(L67,SchnittGes2!L:L,0))+INDEX(Schnitt3!M:M,MATCH(L67,Schnitt3!L:L,0))</f>
        <v>0</v>
      </c>
      <c r="N67">
        <f>INDEX(SchnittGes2!N:N,MATCH(L67,SchnittGes2!L:L,0))+INDEX(Schnitt3!N:N,MATCH(L67,Schnitt3!L:L,0))</f>
        <v>0</v>
      </c>
      <c r="O67">
        <f t="shared" si="7"/>
        <v>0</v>
      </c>
      <c r="P67">
        <f t="shared" si="8"/>
        <v>41</v>
      </c>
    </row>
    <row r="68" spans="1:16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INDEX(SchnittGes2!M:M,MATCH(L68,SchnittGes2!L:L,0))+INDEX(Schnitt3!M:M,MATCH(L68,Schnitt3!L:L,0))</f>
        <v>0</v>
      </c>
      <c r="N68">
        <f>INDEX(SchnittGes2!N:N,MATCH(L68,SchnittGes2!L:L,0))+INDEX(Schnitt3!N:N,MATCH(L68,Schnitt3!L:L,0))</f>
        <v>0</v>
      </c>
      <c r="O68">
        <f t="shared" si="7"/>
        <v>0</v>
      </c>
      <c r="P68">
        <f t="shared" si="8"/>
        <v>41</v>
      </c>
    </row>
    <row r="69" spans="1:16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INDEX(SchnittGes2!M:M,MATCH(L69,SchnittGes2!L:L,0))+INDEX(Schnitt3!M:M,MATCH(L69,Schnitt3!L:L,0))</f>
        <v>0</v>
      </c>
      <c r="N69">
        <f>INDEX(SchnittGes2!N:N,MATCH(L69,SchnittGes2!L:L,0))+INDEX(Schnitt3!N:N,MATCH(L69,Schnitt3!L:L,0))</f>
        <v>0</v>
      </c>
      <c r="O69">
        <f t="shared" si="7"/>
        <v>0</v>
      </c>
      <c r="P69">
        <f t="shared" si="8"/>
        <v>41</v>
      </c>
    </row>
    <row r="70" spans="1:16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8"/>
        <v>41</v>
      </c>
    </row>
    <row r="71" spans="1:16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8"/>
        <v>41</v>
      </c>
    </row>
    <row r="72" spans="1:16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8"/>
        <v>41</v>
      </c>
    </row>
    <row r="73" spans="1:16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8"/>
        <v>41</v>
      </c>
    </row>
    <row r="74" spans="1:16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8"/>
        <v>41</v>
      </c>
    </row>
    <row r="75" spans="1:16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8"/>
        <v>41</v>
      </c>
    </row>
    <row r="76" spans="1:16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si="7"/>
        <v>0</v>
      </c>
      <c r="P76">
        <f t="shared" si="8"/>
        <v>41</v>
      </c>
    </row>
    <row r="77" spans="1:16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7"/>
        <v>0</v>
      </c>
      <c r="P77">
        <f t="shared" si="8"/>
        <v>41</v>
      </c>
    </row>
    <row r="78" spans="1:16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7"/>
        <v>0</v>
      </c>
      <c r="P78">
        <f t="shared" si="8"/>
        <v>41</v>
      </c>
    </row>
    <row r="79" spans="1:16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7"/>
        <v>0</v>
      </c>
      <c r="P79">
        <f t="shared" si="8"/>
        <v>41</v>
      </c>
    </row>
    <row r="80" spans="1:16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7"/>
        <v>0</v>
      </c>
      <c r="P80">
        <f t="shared" si="8"/>
        <v>41</v>
      </c>
    </row>
    <row r="81" spans="1:16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7"/>
        <v>0</v>
      </c>
      <c r="P81">
        <f t="shared" si="8"/>
        <v>41</v>
      </c>
    </row>
    <row r="82" spans="1:16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7"/>
        <v>0</v>
      </c>
      <c r="P82">
        <f t="shared" si="8"/>
        <v>41</v>
      </c>
    </row>
    <row r="83" spans="1:16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7"/>
        <v>0</v>
      </c>
      <c r="P83">
        <f t="shared" si="8"/>
        <v>41</v>
      </c>
    </row>
    <row r="84" spans="1:16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7"/>
        <v>0</v>
      </c>
      <c r="P84">
        <f t="shared" si="8"/>
        <v>41</v>
      </c>
    </row>
    <row r="85" spans="1:16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7"/>
        <v>0</v>
      </c>
      <c r="P85">
        <f t="shared" si="8"/>
        <v>41</v>
      </c>
    </row>
    <row r="86" spans="1:16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7"/>
        <v>0</v>
      </c>
      <c r="P86">
        <f t="shared" si="8"/>
        <v>41</v>
      </c>
    </row>
    <row r="87" spans="1:16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7"/>
        <v>0</v>
      </c>
      <c r="P87">
        <f t="shared" si="8"/>
        <v>41</v>
      </c>
    </row>
    <row r="88" spans="1:16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7"/>
        <v>0</v>
      </c>
      <c r="P88">
        <f t="shared" si="8"/>
        <v>41</v>
      </c>
    </row>
    <row r="89" spans="1:16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7"/>
        <v>0</v>
      </c>
      <c r="P89">
        <f t="shared" si="8"/>
        <v>41</v>
      </c>
    </row>
    <row r="90" spans="1:16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7"/>
        <v>0</v>
      </c>
      <c r="P90">
        <f t="shared" si="8"/>
        <v>41</v>
      </c>
    </row>
    <row r="91" spans="1:16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7"/>
        <v>0</v>
      </c>
      <c r="P91">
        <f t="shared" si="8"/>
        <v>41</v>
      </c>
    </row>
    <row r="92" spans="1:16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7"/>
        <v>0</v>
      </c>
      <c r="P92">
        <f t="shared" si="8"/>
        <v>41</v>
      </c>
    </row>
    <row r="93" spans="1:16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7"/>
        <v>0</v>
      </c>
      <c r="P93">
        <f t="shared" si="8"/>
        <v>41</v>
      </c>
    </row>
    <row r="94" spans="1:16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7"/>
        <v>0</v>
      </c>
      <c r="P94">
        <f t="shared" si="8"/>
        <v>41</v>
      </c>
    </row>
    <row r="95" spans="1:16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7"/>
        <v>0</v>
      </c>
      <c r="P95">
        <f t="shared" si="8"/>
        <v>41</v>
      </c>
    </row>
    <row r="96" spans="1:16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7"/>
        <v>0</v>
      </c>
      <c r="P96">
        <f t="shared" si="8"/>
        <v>41</v>
      </c>
    </row>
    <row r="97" spans="1:16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7"/>
        <v>0</v>
      </c>
      <c r="P97">
        <f t="shared" si="8"/>
        <v>41</v>
      </c>
    </row>
    <row r="98" spans="1:16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7"/>
        <v>0</v>
      </c>
      <c r="P98">
        <f t="shared" si="8"/>
        <v>41</v>
      </c>
    </row>
    <row r="99" spans="1:16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7"/>
        <v>0</v>
      </c>
      <c r="P99">
        <f t="shared" si="8"/>
        <v>41</v>
      </c>
    </row>
    <row r="100" spans="1:16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7"/>
        <v>0</v>
      </c>
      <c r="P100">
        <f t="shared" si="8"/>
        <v>41</v>
      </c>
    </row>
    <row r="101" spans="1:16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7"/>
        <v>0</v>
      </c>
      <c r="P101">
        <f t="shared" si="8"/>
        <v>41</v>
      </c>
    </row>
    <row r="102" spans="1:16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7"/>
        <v>0</v>
      </c>
      <c r="P102">
        <f t="shared" si="8"/>
        <v>41</v>
      </c>
    </row>
    <row r="103" spans="1:16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7"/>
        <v>0</v>
      </c>
      <c r="P103">
        <f t="shared" si="8"/>
        <v>41</v>
      </c>
    </row>
    <row r="104" spans="1:16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7"/>
        <v>0</v>
      </c>
      <c r="P104">
        <f t="shared" si="8"/>
        <v>41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7"/>
  <sheetViews>
    <sheetView showGridLines="0" zoomScaleNormal="100" workbookViewId="0">
      <selection activeCell="V24" sqref="V24"/>
    </sheetView>
  </sheetViews>
  <sheetFormatPr baseColWidth="10" defaultColWidth="0" defaultRowHeight="13.2"/>
  <cols>
    <col min="1" max="1" width="1.21875" customWidth="1"/>
    <col min="2" max="2" width="3.44140625" customWidth="1"/>
    <col min="3" max="3" width="10.664062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21875" customWidth="1"/>
    <col min="9" max="9" width="2.21875" customWidth="1"/>
    <col min="10" max="10" width="3.21875" customWidth="1"/>
    <col min="11" max="11" width="0.6640625" customWidth="1"/>
    <col min="12" max="12" width="9.33203125" customWidth="1"/>
    <col min="13" max="13" width="2.21875" customWidth="1"/>
    <col min="14" max="14" width="3.21875" customWidth="1"/>
    <col min="15" max="15" width="0.6640625" customWidth="1"/>
    <col min="16" max="16" width="11.21875" customWidth="1"/>
    <col min="17" max="17" width="2.21875" customWidth="1"/>
    <col min="18" max="18" width="3.21875" customWidth="1"/>
    <col min="19" max="19" width="0.6640625" customWidth="1"/>
    <col min="20" max="20" width="11.6640625" customWidth="1"/>
    <col min="21" max="21" width="2.21875" customWidth="1"/>
    <col min="22" max="22" width="1" customWidth="1"/>
    <col min="23" max="16384" width="9.21875" hidden="1"/>
  </cols>
  <sheetData>
    <row r="1" spans="2:21" ht="3.75" customHeight="1"/>
    <row r="2" spans="2:21" ht="24.6">
      <c r="B2" s="378" t="s">
        <v>1824</v>
      </c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</row>
    <row r="3" spans="2:21" ht="11.25" customHeight="1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>
      <c r="P4" s="106"/>
      <c r="Q4" s="379"/>
      <c r="R4" s="379"/>
      <c r="S4" s="379"/>
      <c r="T4" s="379"/>
      <c r="U4" s="379"/>
    </row>
    <row r="5" spans="2:21" ht="11.25" customHeight="1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>
      <c r="B6" s="56"/>
      <c r="C6" s="110" t="s">
        <v>1788</v>
      </c>
      <c r="D6" s="110"/>
      <c r="E6" s="380">
        <f>+Spielzettel4!N2</f>
        <v>4</v>
      </c>
      <c r="F6" s="381"/>
      <c r="P6" s="110" t="s">
        <v>1825</v>
      </c>
      <c r="Q6" s="382">
        <f>+Spielzettel4!M1</f>
        <v>45787</v>
      </c>
      <c r="R6" s="383">
        <v>0</v>
      </c>
      <c r="S6" s="383">
        <v>0</v>
      </c>
      <c r="T6" s="384">
        <v>0</v>
      </c>
      <c r="U6" s="111"/>
    </row>
    <row r="7" spans="2:21">
      <c r="B7" s="56"/>
      <c r="C7" s="110"/>
      <c r="D7" s="110"/>
      <c r="U7" s="111"/>
    </row>
    <row r="8" spans="2:21">
      <c r="B8" s="56"/>
      <c r="C8" s="110" t="s">
        <v>1826</v>
      </c>
      <c r="D8" s="110"/>
      <c r="E8" s="388" t="str">
        <f>+Spielzettel4!E2</f>
        <v>Bad Tölz Flint Bowling</v>
      </c>
      <c r="F8" s="389"/>
      <c r="G8" s="389"/>
      <c r="H8" s="389">
        <v>0</v>
      </c>
      <c r="I8" s="389"/>
      <c r="J8" s="390"/>
      <c r="N8" s="110" t="s">
        <v>1827</v>
      </c>
      <c r="P8" s="388" t="str">
        <f>+Spielzettel4!E1</f>
        <v>Landesliga Jugend</v>
      </c>
      <c r="Q8" s="389"/>
      <c r="R8" s="389"/>
      <c r="S8" s="389"/>
      <c r="T8" s="390"/>
      <c r="U8" s="111"/>
    </row>
    <row r="9" spans="2:21" ht="11.25" customHeight="1" thickBot="1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3.8" thickBot="1"/>
    <row r="11" spans="2:21" s="2" customFormat="1" ht="30" customHeight="1" thickBot="1">
      <c r="B11" s="115"/>
      <c r="C11" s="372" t="s">
        <v>1828</v>
      </c>
      <c r="D11" s="372"/>
      <c r="E11" s="372"/>
      <c r="F11" s="372"/>
      <c r="G11" s="372"/>
      <c r="H11" s="372"/>
      <c r="I11" s="372"/>
      <c r="J11" s="372"/>
      <c r="K11" s="372"/>
      <c r="L11" s="372"/>
      <c r="M11" s="372"/>
      <c r="N11" s="372"/>
      <c r="O11" s="372"/>
      <c r="P11" s="372"/>
      <c r="Q11" s="372"/>
      <c r="R11" s="372"/>
      <c r="S11" s="372"/>
      <c r="T11" s="372"/>
      <c r="U11" s="116"/>
    </row>
    <row r="12" spans="2:21" ht="21.75" customHeight="1">
      <c r="B12" s="117"/>
      <c r="C12" s="373" t="s">
        <v>1829</v>
      </c>
      <c r="D12" s="373"/>
      <c r="E12" s="373"/>
      <c r="F12" s="373"/>
      <c r="G12" s="373"/>
      <c r="H12" s="373"/>
      <c r="I12" s="373"/>
      <c r="J12" s="373"/>
      <c r="L12" s="118"/>
      <c r="M12" s="119" t="s">
        <v>1830</v>
      </c>
      <c r="P12" s="89"/>
      <c r="U12" s="111"/>
    </row>
    <row r="13" spans="2:21" ht="6.75" customHeight="1" thickBot="1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>
      <c r="B14" s="56"/>
      <c r="U14" s="111"/>
    </row>
    <row r="15" spans="2:21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>
      <c r="B16" s="56"/>
      <c r="C16" s="121"/>
      <c r="D16" s="121"/>
      <c r="F16" s="7"/>
      <c r="J16" s="86"/>
      <c r="U16" s="111"/>
    </row>
    <row r="17" spans="2:21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4.950000000000003" customHeight="1">
      <c r="B19" s="56"/>
      <c r="C19" s="366"/>
      <c r="D19" s="367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4"/>
      <c r="T19" s="375"/>
      <c r="U19" s="111"/>
    </row>
    <row r="20" spans="2:21" ht="12.75" customHeight="1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>
      <c r="B21" s="56"/>
      <c r="C21" s="121" t="s">
        <v>1836</v>
      </c>
      <c r="D21" s="121"/>
      <c r="U21" s="111"/>
    </row>
    <row r="22" spans="2:21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4.950000000000003" customHeight="1">
      <c r="B24" s="56"/>
      <c r="C24" s="366" t="s">
        <v>2342</v>
      </c>
      <c r="D24" s="367"/>
      <c r="E24" s="367"/>
      <c r="F24" s="367"/>
      <c r="G24" s="367"/>
      <c r="H24" s="367"/>
      <c r="I24" s="367"/>
      <c r="J24" s="367"/>
      <c r="K24" s="367"/>
      <c r="L24" s="367"/>
      <c r="M24" s="367"/>
      <c r="N24" s="367"/>
      <c r="O24" s="367"/>
      <c r="P24" s="367"/>
      <c r="Q24" s="367"/>
      <c r="R24" s="367"/>
      <c r="S24" s="367"/>
      <c r="T24" s="368"/>
      <c r="U24" s="111"/>
    </row>
    <row r="25" spans="2:21" ht="12.75" hidden="1" customHeight="1">
      <c r="B25" s="56"/>
      <c r="C25" s="127"/>
      <c r="D25" s="127"/>
      <c r="U25" s="111"/>
    </row>
    <row r="26" spans="2:21" ht="13.5" hidden="1" customHeight="1">
      <c r="B26" s="56"/>
      <c r="C26" s="121" t="s">
        <v>1838</v>
      </c>
      <c r="D26" s="121"/>
      <c r="U26" s="111"/>
    </row>
    <row r="27" spans="2:21" hidden="1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4.950000000000003" hidden="1" customHeight="1">
      <c r="B29" s="56"/>
      <c r="C29" s="366"/>
      <c r="D29" s="367"/>
      <c r="E29" s="367"/>
      <c r="F29" s="367"/>
      <c r="G29" s="367"/>
      <c r="H29" s="367"/>
      <c r="I29" s="367"/>
      <c r="J29" s="367"/>
      <c r="K29" s="367"/>
      <c r="L29" s="367"/>
      <c r="M29" s="367"/>
      <c r="N29" s="367"/>
      <c r="O29" s="367"/>
      <c r="P29" s="367"/>
      <c r="Q29" s="367"/>
      <c r="R29" s="367"/>
      <c r="S29" s="367"/>
      <c r="T29" s="368"/>
      <c r="U29" s="111"/>
    </row>
    <row r="30" spans="2:21" ht="12.75" customHeight="1" thickBot="1">
      <c r="B30" s="56"/>
      <c r="C30" s="127"/>
      <c r="D30" s="127"/>
      <c r="P30" s="128"/>
      <c r="U30" s="111"/>
    </row>
    <row r="31" spans="2:21" s="133" customFormat="1" ht="21.75" customHeight="1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>
      <c r="B33" s="135"/>
      <c r="U33" s="111"/>
    </row>
    <row r="34" spans="2:21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>
      <c r="B35" s="56"/>
      <c r="C35" s="121" t="s">
        <v>1843</v>
      </c>
      <c r="D35" s="121"/>
      <c r="F35" s="376"/>
      <c r="G35" s="376"/>
      <c r="H35" s="121"/>
      <c r="U35" s="111"/>
    </row>
    <row r="36" spans="2:21" ht="17.25" customHeight="1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4.950000000000003" customHeight="1">
      <c r="B37" s="56"/>
      <c r="C37" s="366"/>
      <c r="D37" s="367"/>
      <c r="E37" s="367"/>
      <c r="F37" s="367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8"/>
      <c r="U37" s="111"/>
    </row>
    <row r="38" spans="2:21">
      <c r="B38" s="56"/>
      <c r="C38" s="127"/>
      <c r="D38" s="127"/>
      <c r="U38" s="111"/>
    </row>
    <row r="39" spans="2:21" ht="6.75" customHeight="1">
      <c r="B39" s="56"/>
      <c r="C39" s="127"/>
      <c r="D39" s="127"/>
      <c r="U39" s="111"/>
    </row>
    <row r="40" spans="2:21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>
      <c r="B41" s="56"/>
      <c r="C41" s="137" t="s">
        <v>1849</v>
      </c>
      <c r="D41" s="137"/>
      <c r="F41" s="377"/>
      <c r="G41" s="377"/>
      <c r="H41" s="377"/>
      <c r="U41" s="111"/>
    </row>
    <row r="42" spans="2:21" ht="11.25" customHeight="1" thickBot="1">
      <c r="B42" s="56"/>
      <c r="U42" s="111"/>
    </row>
    <row r="43" spans="2:21" s="133" customFormat="1" ht="21.75" customHeight="1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>
      <c r="B45" s="135"/>
      <c r="U45" s="111"/>
    </row>
    <row r="46" spans="2:21" ht="13.8">
      <c r="B46" s="138" t="s">
        <v>1850</v>
      </c>
      <c r="U46" s="111"/>
    </row>
    <row r="47" spans="2:21" ht="9" customHeight="1">
      <c r="B47" s="56"/>
      <c r="U47" s="111"/>
    </row>
    <row r="48" spans="2:21" ht="80.25" customHeight="1">
      <c r="B48" s="56"/>
      <c r="C48" s="366"/>
      <c r="D48" s="367"/>
      <c r="E48" s="367"/>
      <c r="F48" s="367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8"/>
      <c r="U48" s="111"/>
    </row>
    <row r="49" spans="2:21" ht="11.25" customHeight="1" thickBot="1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3.8" thickBot="1"/>
    <row r="51" spans="2:21" s="2" customFormat="1" ht="30" customHeight="1" thickBot="1">
      <c r="B51" s="115"/>
      <c r="C51" s="372" t="s">
        <v>1851</v>
      </c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O51" s="372"/>
      <c r="P51" s="372"/>
      <c r="Q51" s="372"/>
      <c r="R51" s="372"/>
      <c r="S51" s="372"/>
      <c r="T51" s="372"/>
      <c r="U51" s="116"/>
    </row>
    <row r="52" spans="2:21" ht="9" customHeight="1">
      <c r="B52" s="56"/>
      <c r="U52" s="111"/>
    </row>
    <row r="53" spans="2:21" ht="13.8">
      <c r="B53" s="138"/>
      <c r="C53" s="89" t="s">
        <v>1852</v>
      </c>
      <c r="D53" s="89"/>
      <c r="U53" s="111"/>
    </row>
    <row r="54" spans="2:21" ht="9" customHeight="1">
      <c r="B54" s="56"/>
      <c r="U54" s="111"/>
    </row>
    <row r="55" spans="2:21" ht="36.75" customHeight="1">
      <c r="B55" s="56"/>
      <c r="C55" s="366"/>
      <c r="D55" s="367"/>
      <c r="E55" s="367"/>
      <c r="F55" s="367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8"/>
      <c r="U55" s="111"/>
    </row>
    <row r="56" spans="2:21" ht="12.75" customHeight="1">
      <c r="B56" s="56"/>
      <c r="C56" s="127"/>
      <c r="D56" s="127"/>
      <c r="U56" s="111"/>
    </row>
    <row r="57" spans="2:21" ht="12.75" customHeight="1">
      <c r="B57" s="138"/>
      <c r="C57" s="89" t="s">
        <v>1853</v>
      </c>
      <c r="D57" s="89"/>
      <c r="U57" s="111"/>
    </row>
    <row r="58" spans="2:21" ht="6.75" customHeight="1">
      <c r="B58" s="56"/>
      <c r="U58" s="111"/>
    </row>
    <row r="59" spans="2:21" ht="36.75" customHeight="1">
      <c r="B59" s="56"/>
      <c r="C59" s="366"/>
      <c r="D59" s="367"/>
      <c r="E59" s="367"/>
      <c r="F59" s="367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8"/>
      <c r="U59" s="111"/>
    </row>
    <row r="60" spans="2:21" ht="12.75" customHeight="1">
      <c r="B60" s="56"/>
      <c r="C60" s="127"/>
      <c r="D60" s="127"/>
      <c r="U60" s="111"/>
    </row>
    <row r="61" spans="2:21" ht="12.75" customHeight="1">
      <c r="B61" s="138"/>
      <c r="C61" s="89" t="s">
        <v>1854</v>
      </c>
      <c r="D61" s="89"/>
      <c r="U61" s="111"/>
    </row>
    <row r="62" spans="2:21" ht="6.75" customHeight="1">
      <c r="B62" s="56"/>
      <c r="U62" s="111"/>
    </row>
    <row r="63" spans="2:21" ht="36.75" customHeight="1">
      <c r="B63" s="56"/>
      <c r="C63" s="366"/>
      <c r="D63" s="367"/>
      <c r="E63" s="367"/>
      <c r="F63" s="367"/>
      <c r="G63" s="367"/>
      <c r="H63" s="367"/>
      <c r="I63" s="36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8"/>
      <c r="U63" s="111"/>
    </row>
    <row r="64" spans="2:21" ht="11.25" customHeight="1">
      <c r="B64" s="56"/>
      <c r="C64" s="127"/>
      <c r="D64" s="127"/>
      <c r="U64" s="111"/>
    </row>
    <row r="65" spans="1:21" ht="13.5" customHeight="1">
      <c r="B65" s="138"/>
      <c r="C65" s="89" t="s">
        <v>1855</v>
      </c>
      <c r="D65" s="89"/>
      <c r="U65" s="111"/>
    </row>
    <row r="66" spans="1:21" ht="6.75" customHeight="1">
      <c r="B66" s="56"/>
      <c r="U66" s="111"/>
    </row>
    <row r="67" spans="1:21" ht="36.75" customHeight="1">
      <c r="B67" s="56"/>
      <c r="C67" s="366"/>
      <c r="D67" s="367"/>
      <c r="E67" s="367"/>
      <c r="F67" s="367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8"/>
      <c r="U67" s="111"/>
    </row>
    <row r="68" spans="1:21" ht="11.25" customHeight="1">
      <c r="B68" s="56"/>
      <c r="C68" s="127"/>
      <c r="D68" s="127"/>
      <c r="U68" s="111"/>
    </row>
    <row r="69" spans="1:21" ht="13.8">
      <c r="B69" s="138"/>
      <c r="C69" s="89" t="s">
        <v>1856</v>
      </c>
      <c r="D69" s="89"/>
      <c r="U69" s="111"/>
    </row>
    <row r="70" spans="1:21" ht="6" customHeight="1">
      <c r="B70" s="56"/>
      <c r="U70" s="111"/>
    </row>
    <row r="71" spans="1:21" ht="36.75" customHeight="1">
      <c r="B71" s="56"/>
      <c r="C71" s="366"/>
      <c r="D71" s="367"/>
      <c r="E71" s="367"/>
      <c r="F71" s="367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8"/>
      <c r="U71" s="111"/>
    </row>
    <row r="72" spans="1:21" ht="12.75" customHeight="1">
      <c r="B72" s="56"/>
      <c r="C72" s="127"/>
      <c r="D72" s="127"/>
      <c r="U72" s="111"/>
    </row>
    <row r="73" spans="1:21" ht="12.75" customHeight="1">
      <c r="B73" s="138"/>
      <c r="C73" s="89" t="s">
        <v>1857</v>
      </c>
      <c r="D73" s="89"/>
      <c r="U73" s="111"/>
    </row>
    <row r="74" spans="1:21" ht="6.75" customHeight="1">
      <c r="B74" s="56"/>
      <c r="U74" s="111"/>
    </row>
    <row r="75" spans="1:21" ht="36.75" customHeight="1">
      <c r="B75" s="56"/>
      <c r="C75" s="366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8"/>
      <c r="U75" s="111"/>
    </row>
    <row r="76" spans="1:21" ht="11.25" customHeight="1" thickBot="1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>
      <c r="B78" s="135"/>
      <c r="U78" s="111"/>
    </row>
    <row r="79" spans="1:21" s="53" customFormat="1" ht="18" customHeight="1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>
      <c r="B80" s="56"/>
      <c r="P80" s="53"/>
      <c r="Q80" s="53"/>
      <c r="U80" s="111"/>
    </row>
    <row r="81" spans="2:21" ht="6" customHeight="1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4.950000000000003" customHeight="1">
      <c r="B82" s="56"/>
      <c r="C82" s="369"/>
      <c r="D82" s="370"/>
      <c r="E82" s="370"/>
      <c r="F82" s="370"/>
      <c r="G82" s="370"/>
      <c r="H82" s="370"/>
      <c r="I82" s="37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1"/>
      <c r="U82" s="111"/>
    </row>
    <row r="83" spans="2:21" ht="11.25" customHeight="1" thickBot="1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/>
    <row r="85" spans="2:21" ht="17.25" customHeight="1"/>
    <row r="86" spans="2:21">
      <c r="B86" s="89" t="s">
        <v>1862</v>
      </c>
      <c r="D86" s="466"/>
      <c r="E86" s="365"/>
      <c r="F86" s="365"/>
      <c r="G86" s="365"/>
      <c r="H86" s="365"/>
      <c r="I86" s="365"/>
      <c r="J86" s="365"/>
      <c r="K86" s="365"/>
      <c r="L86" s="365"/>
      <c r="M86" s="365"/>
      <c r="P86" s="365"/>
      <c r="Q86" s="365"/>
      <c r="R86" s="365"/>
      <c r="S86" s="365"/>
      <c r="T86" s="365"/>
      <c r="U86" s="365"/>
    </row>
    <row r="87" spans="2:21">
      <c r="C87" s="143"/>
      <c r="D87" s="53" t="s">
        <v>1860</v>
      </c>
      <c r="P87" s="144" t="s">
        <v>1861</v>
      </c>
    </row>
  </sheetData>
  <sheetProtection algorithmName="SHA-512" hashValue="NwKmw9ngUB//RxcThcN7vHJO0U3FIWEtc/qGmd/JUIgriM8V7138kbknOjWVt8oE8Uyr+49xSoda/4azFydOlA==" saltValue="Iq38cYGiHr5ksMPI1BnW/Q==" spinCount="100000" sheet="1" objects="1" scenarios="1" formatCells="0" formatColumns="0" formatRows="0"/>
  <mergeCells count="25"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AD200"/>
  <sheetViews>
    <sheetView view="pageBreakPreview" zoomScaleNormal="100" zoomScaleSheetLayoutView="100" workbookViewId="0">
      <selection activeCell="V24" sqref="V24"/>
    </sheetView>
  </sheetViews>
  <sheetFormatPr baseColWidth="10" defaultRowHeight="13.2"/>
  <cols>
    <col min="1" max="1" width="4.44140625" customWidth="1"/>
    <col min="2" max="2" width="20.6640625" customWidth="1"/>
    <col min="3" max="3" width="13.6640625" customWidth="1"/>
    <col min="4" max="4" width="7.4414062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4414062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6">
        <f>Schlüssel!$BU$1</f>
        <v>45787</v>
      </c>
      <c r="N1" s="406"/>
      <c r="O1" s="406"/>
      <c r="AD1" s="76" t="s">
        <v>1814</v>
      </c>
    </row>
    <row r="2" spans="1:30" ht="17.25" customHeight="1" thickBot="1">
      <c r="A2" s="53"/>
      <c r="B2" s="54">
        <v>1</v>
      </c>
      <c r="C2" s="35" t="s">
        <v>1787</v>
      </c>
      <c r="D2" s="35"/>
      <c r="E2" s="72" t="str">
        <f>Schlüssel!$BK$2</f>
        <v>Bad Tölz Flint Bowling</v>
      </c>
      <c r="G2" s="66"/>
      <c r="H2" s="66"/>
      <c r="I2" s="66"/>
      <c r="J2" s="66"/>
      <c r="L2" s="66"/>
      <c r="M2" s="34" t="s">
        <v>1785</v>
      </c>
      <c r="N2" s="38">
        <v>4</v>
      </c>
      <c r="O2" s="33"/>
      <c r="AD2" s="77">
        <v>1</v>
      </c>
    </row>
    <row r="3" spans="1:30" ht="15.75" customHeight="1" thickBot="1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3.8" thickBot="1">
      <c r="A4" s="6"/>
      <c r="B4" s="7"/>
      <c r="C4" s="43"/>
      <c r="D4" s="43"/>
      <c r="E4" s="47" t="s">
        <v>10</v>
      </c>
      <c r="F4" s="7">
        <f>VLOOKUP(B2,Schlüssel!$A$5:$DZ$12,73)</f>
        <v>8</v>
      </c>
      <c r="G4" s="51" t="s">
        <v>10</v>
      </c>
      <c r="H4" s="7">
        <f>VLOOKUP(B2,Schlüssel!$A$5:$DZ$12,74)</f>
        <v>3</v>
      </c>
      <c r="I4" s="51" t="s">
        <v>10</v>
      </c>
      <c r="J4" s="7">
        <f>VLOOKUP(B2,Schlüssel!$A$5:$DZ$12,75)</f>
        <v>7</v>
      </c>
      <c r="K4" s="51" t="s">
        <v>10</v>
      </c>
      <c r="L4" s="7">
        <f>VLOOKUP(B2,Schlüssel!$A$5:$DZ$12,76)</f>
        <v>1</v>
      </c>
      <c r="M4" s="51" t="s">
        <v>10</v>
      </c>
      <c r="N4" s="57">
        <f>VLOOKUP(B2,Schlüssel!$A$5:$DZ$12,77)</f>
        <v>4</v>
      </c>
    </row>
    <row r="5" spans="1:30" ht="20.25" customHeight="1">
      <c r="B5" s="44" t="s">
        <v>1</v>
      </c>
      <c r="C5" s="45"/>
      <c r="D5" s="45"/>
      <c r="E5" s="407" t="s">
        <v>1793</v>
      </c>
      <c r="F5" s="408"/>
      <c r="G5" s="407" t="s">
        <v>1794</v>
      </c>
      <c r="H5" s="408"/>
      <c r="I5" s="407" t="s">
        <v>1795</v>
      </c>
      <c r="J5" s="408"/>
      <c r="K5" s="407" t="s">
        <v>1796</v>
      </c>
      <c r="L5" s="408"/>
      <c r="M5" s="407" t="s">
        <v>1797</v>
      </c>
      <c r="N5" s="408"/>
      <c r="O5" s="409" t="s">
        <v>1792</v>
      </c>
      <c r="P5" s="410"/>
    </row>
    <row r="6" spans="1:30" ht="15" customHeight="1" thickBot="1">
      <c r="B6" s="9" t="s">
        <v>1798</v>
      </c>
      <c r="C6" s="48" t="s">
        <v>1799</v>
      </c>
      <c r="D6" s="48" t="s">
        <v>2264</v>
      </c>
      <c r="E6" s="464" t="s">
        <v>1800</v>
      </c>
      <c r="F6" s="465" t="s">
        <v>1801</v>
      </c>
      <c r="G6" s="464" t="s">
        <v>1800</v>
      </c>
      <c r="H6" s="465" t="s">
        <v>1801</v>
      </c>
      <c r="I6" s="464" t="s">
        <v>1800</v>
      </c>
      <c r="J6" s="465" t="s">
        <v>1801</v>
      </c>
      <c r="K6" s="464" t="s">
        <v>1800</v>
      </c>
      <c r="L6" s="465" t="s">
        <v>1801</v>
      </c>
      <c r="M6" s="464" t="s">
        <v>1800</v>
      </c>
      <c r="N6" s="465" t="s">
        <v>1801</v>
      </c>
      <c r="O6" s="464" t="s">
        <v>1800</v>
      </c>
      <c r="P6" s="465" t="s">
        <v>1801</v>
      </c>
    </row>
    <row r="7" spans="1:30" ht="16.95" customHeight="1">
      <c r="A7" s="403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58"/>
      <c r="F7" s="459"/>
      <c r="G7" s="458"/>
      <c r="H7" s="459"/>
      <c r="I7" s="458"/>
      <c r="J7" s="459"/>
      <c r="K7" s="458"/>
      <c r="L7" s="459"/>
      <c r="M7" s="458"/>
      <c r="N7" s="459"/>
      <c r="O7" s="458"/>
      <c r="P7" s="459"/>
    </row>
    <row r="8" spans="1:30" ht="16.95" customHeight="1">
      <c r="A8" s="404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60"/>
      <c r="F8" s="461"/>
      <c r="G8" s="460"/>
      <c r="H8" s="461"/>
      <c r="I8" s="460"/>
      <c r="J8" s="461"/>
      <c r="K8" s="460"/>
      <c r="L8" s="461"/>
      <c r="M8" s="460"/>
      <c r="N8" s="461"/>
      <c r="O8" s="460"/>
      <c r="P8" s="461"/>
    </row>
    <row r="9" spans="1:30" ht="16.95" customHeight="1" thickBot="1">
      <c r="A9" s="405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62"/>
      <c r="F9" s="463"/>
      <c r="G9" s="462"/>
      <c r="H9" s="463"/>
      <c r="I9" s="462"/>
      <c r="J9" s="463"/>
      <c r="K9" s="462"/>
      <c r="L9" s="463"/>
      <c r="M9" s="462"/>
      <c r="N9" s="463"/>
      <c r="O9" s="462"/>
      <c r="P9" s="463"/>
    </row>
    <row r="10" spans="1:30" ht="16.95" customHeight="1">
      <c r="A10" s="403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58"/>
      <c r="F10" s="459"/>
      <c r="G10" s="458"/>
      <c r="H10" s="459"/>
      <c r="I10" s="458"/>
      <c r="J10" s="459"/>
      <c r="K10" s="458"/>
      <c r="L10" s="459"/>
      <c r="M10" s="458"/>
      <c r="N10" s="459"/>
      <c r="O10" s="458"/>
      <c r="P10" s="459"/>
    </row>
    <row r="11" spans="1:30" ht="16.95" customHeight="1">
      <c r="A11" s="404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60"/>
      <c r="F11" s="461"/>
      <c r="G11" s="460"/>
      <c r="H11" s="461"/>
      <c r="I11" s="460"/>
      <c r="J11" s="461"/>
      <c r="K11" s="460"/>
      <c r="L11" s="461"/>
      <c r="M11" s="460"/>
      <c r="N11" s="461"/>
      <c r="O11" s="460"/>
      <c r="P11" s="461"/>
    </row>
    <row r="12" spans="1:30" ht="16.95" customHeight="1" thickBot="1">
      <c r="A12" s="405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62"/>
      <c r="F12" s="463"/>
      <c r="G12" s="462"/>
      <c r="H12" s="463"/>
      <c r="I12" s="462"/>
      <c r="J12" s="463"/>
      <c r="K12" s="462"/>
      <c r="L12" s="463"/>
      <c r="M12" s="462"/>
      <c r="N12" s="463"/>
      <c r="O12" s="462"/>
      <c r="P12" s="463"/>
    </row>
    <row r="13" spans="1:30" ht="16.95" customHeight="1">
      <c r="A13" s="403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58"/>
      <c r="F13" s="459"/>
      <c r="G13" s="458"/>
      <c r="H13" s="459"/>
      <c r="I13" s="458"/>
      <c r="J13" s="459"/>
      <c r="K13" s="458"/>
      <c r="L13" s="459"/>
      <c r="M13" s="458"/>
      <c r="N13" s="459"/>
      <c r="O13" s="458"/>
      <c r="P13" s="459"/>
    </row>
    <row r="14" spans="1:30" ht="16.95" customHeight="1">
      <c r="A14" s="404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60"/>
      <c r="F14" s="461"/>
      <c r="G14" s="460"/>
      <c r="H14" s="461"/>
      <c r="I14" s="460"/>
      <c r="J14" s="461"/>
      <c r="K14" s="460"/>
      <c r="L14" s="461"/>
      <c r="M14" s="460"/>
      <c r="N14" s="461"/>
      <c r="O14" s="460"/>
      <c r="P14" s="461"/>
    </row>
    <row r="15" spans="1:30" ht="16.95" customHeight="1" thickBot="1">
      <c r="A15" s="405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62"/>
      <c r="F15" s="463"/>
      <c r="G15" s="462"/>
      <c r="H15" s="463"/>
      <c r="I15" s="462"/>
      <c r="J15" s="463"/>
      <c r="K15" s="462"/>
      <c r="L15" s="463"/>
      <c r="M15" s="462"/>
      <c r="N15" s="463"/>
      <c r="O15" s="462"/>
      <c r="P15" s="463"/>
    </row>
    <row r="16" spans="1:30" ht="27.75" customHeight="1" thickBot="1">
      <c r="B16" s="11"/>
      <c r="C16" s="25"/>
      <c r="D16" s="204"/>
      <c r="E16" s="456"/>
      <c r="F16" s="457"/>
      <c r="G16" s="456"/>
      <c r="H16" s="457"/>
      <c r="I16" s="456"/>
      <c r="J16" s="457"/>
      <c r="K16" s="456"/>
      <c r="L16" s="457"/>
      <c r="M16" s="456"/>
      <c r="N16" s="457"/>
      <c r="O16" s="456"/>
      <c r="P16" s="457"/>
    </row>
    <row r="17" spans="1:30" ht="24" customHeight="1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>
      <c r="B19" s="211" t="s">
        <v>1790</v>
      </c>
      <c r="C19" s="42" t="s">
        <v>1791</v>
      </c>
      <c r="D19" s="42"/>
      <c r="E19" s="398">
        <f>VLOOKUP(B2,Schlüssel!$A$5:$DZ$12,63)</f>
        <v>5</v>
      </c>
      <c r="F19" s="398"/>
      <c r="G19" s="398">
        <f>VLOOKUP(B2,Schlüssel!$A$5:$DZ$12,64)</f>
        <v>7</v>
      </c>
      <c r="H19" s="398"/>
      <c r="I19" s="398">
        <f>VLOOKUP(B2,Schlüssel!$A$5:$DZ$12,65)</f>
        <v>4</v>
      </c>
      <c r="J19" s="398"/>
      <c r="K19" s="398">
        <f>VLOOKUP(B2,Schlüssel!$A$5:$DZ$12,66)</f>
        <v>6</v>
      </c>
      <c r="L19" s="398"/>
      <c r="M19" s="398">
        <f>VLOOKUP(B2,Schlüssel!$A$5:$DZ$12,67)</f>
        <v>2</v>
      </c>
      <c r="N19" s="398"/>
      <c r="O19" s="399"/>
      <c r="P19" s="399"/>
    </row>
    <row r="20" spans="1:30" ht="28.5" customHeight="1">
      <c r="B20" s="4"/>
      <c r="C20" s="1"/>
      <c r="D20" s="1"/>
      <c r="E20" s="395" t="str">
        <f>VLOOKUP(E19,Schlüssel!$A$5:$K$12,2)</f>
        <v>Berchtesgaden 1</v>
      </c>
      <c r="F20" s="396"/>
      <c r="G20" s="395" t="str">
        <f>VLOOKUP(G19,Schlüssel!$A$5:$K$12,2)</f>
        <v>BK München 1</v>
      </c>
      <c r="H20" s="396"/>
      <c r="I20" s="395" t="str">
        <f>VLOOKUP(I19,Schlüssel!$A$5:$K$12,2)</f>
        <v>Highroller Rosenheim 3</v>
      </c>
      <c r="J20" s="396"/>
      <c r="K20" s="395" t="str">
        <f>VLOOKUP(K19,Schlüssel!$A$5:$K$12,2)</f>
        <v>Bowling Jugend Bayern 1</v>
      </c>
      <c r="L20" s="396"/>
      <c r="M20" s="395" t="str">
        <f>VLOOKUP(M19,Schlüssel!$A$5:$K$12,2)</f>
        <v>Highroller Rosenheim 1</v>
      </c>
      <c r="N20" s="396"/>
      <c r="O20" s="397"/>
      <c r="P20" s="397"/>
    </row>
    <row r="21" spans="1:30" ht="12" customHeight="1">
      <c r="B21" s="4"/>
      <c r="C21" s="1"/>
      <c r="D21" s="1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53"/>
      <c r="P21" s="353"/>
    </row>
    <row r="22" spans="1:30" ht="16.2" customHeight="1">
      <c r="B22" s="39" t="s">
        <v>0</v>
      </c>
      <c r="C22" s="40"/>
      <c r="D22" s="40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3"/>
      <c r="P22" s="393"/>
    </row>
    <row r="23" spans="1:30" ht="16.2" customHeight="1">
      <c r="B23" s="39" t="s">
        <v>2</v>
      </c>
      <c r="C23" s="40"/>
      <c r="D23" s="40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3"/>
      <c r="P23" s="393"/>
    </row>
    <row r="24" spans="1:30" ht="16.2" customHeight="1">
      <c r="B24" s="39" t="s">
        <v>3</v>
      </c>
      <c r="C24" s="40"/>
      <c r="D24" s="40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3"/>
      <c r="P24" s="393"/>
    </row>
    <row r="25" spans="1:30" ht="16.2" customHeight="1">
      <c r="B25" s="41" t="s">
        <v>1792</v>
      </c>
      <c r="C25" s="42"/>
      <c r="D25" s="42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41"/>
      <c r="P25" s="341"/>
    </row>
    <row r="26" spans="1:30" ht="21" customHeight="1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6">
        <f>Schlüssel!$BU$1</f>
        <v>45787</v>
      </c>
      <c r="N26" s="406"/>
      <c r="O26" s="406"/>
      <c r="AD26" s="76"/>
    </row>
    <row r="27" spans="1:30" ht="17.25" customHeight="1" thickBot="1">
      <c r="A27" s="53"/>
      <c r="B27" s="54">
        <f>+B2+1</f>
        <v>2</v>
      </c>
      <c r="C27" s="35" t="s">
        <v>1787</v>
      </c>
      <c r="D27" s="35"/>
      <c r="E27" s="72" t="str">
        <f>Schlüssel!$BK$2</f>
        <v>Bad Tölz Flint Bowling</v>
      </c>
      <c r="G27" s="66"/>
      <c r="H27" s="66"/>
      <c r="I27" s="66"/>
      <c r="J27" s="66"/>
      <c r="L27" s="66"/>
      <c r="M27" s="34" t="s">
        <v>1785</v>
      </c>
      <c r="N27" s="38">
        <v>4</v>
      </c>
      <c r="O27" s="33"/>
      <c r="AD27" s="77"/>
    </row>
    <row r="28" spans="1:30" ht="15.75" customHeight="1" thickBot="1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3.8" thickBot="1">
      <c r="A29" s="6"/>
      <c r="B29" s="7"/>
      <c r="C29" s="43"/>
      <c r="D29" s="43"/>
      <c r="E29" s="47" t="s">
        <v>10</v>
      </c>
      <c r="F29" s="7">
        <f>VLOOKUP(B27,Schlüssel!$A$5:$DZ$12,73)</f>
        <v>1</v>
      </c>
      <c r="G29" s="51" t="s">
        <v>10</v>
      </c>
      <c r="H29" s="7">
        <f>VLOOKUP(B27,Schlüssel!$A$5:$DZ$12,74)</f>
        <v>5</v>
      </c>
      <c r="I29" s="51" t="s">
        <v>10</v>
      </c>
      <c r="J29" s="7">
        <f>VLOOKUP(B27,Schlüssel!$A$5:$DZ$12,75)</f>
        <v>4</v>
      </c>
      <c r="K29" s="51" t="s">
        <v>10</v>
      </c>
      <c r="L29" s="7">
        <f>VLOOKUP(B27,Schlüssel!$A$5:$DZ$12,76)</f>
        <v>7</v>
      </c>
      <c r="M29" s="51" t="s">
        <v>10</v>
      </c>
      <c r="N29" s="57">
        <f>VLOOKUP(B27,Schlüssel!$A$5:$DZ$12,77)</f>
        <v>3</v>
      </c>
    </row>
    <row r="30" spans="1:30" ht="20.25" customHeight="1">
      <c r="B30" s="44" t="s">
        <v>1</v>
      </c>
      <c r="C30" s="45"/>
      <c r="D30" s="45"/>
      <c r="E30" s="407" t="s">
        <v>1793</v>
      </c>
      <c r="F30" s="408"/>
      <c r="G30" s="407" t="s">
        <v>1794</v>
      </c>
      <c r="H30" s="408"/>
      <c r="I30" s="407" t="s">
        <v>1795</v>
      </c>
      <c r="J30" s="408"/>
      <c r="K30" s="407" t="s">
        <v>1796</v>
      </c>
      <c r="L30" s="408"/>
      <c r="M30" s="407" t="s">
        <v>1797</v>
      </c>
      <c r="N30" s="408"/>
      <c r="O30" s="409" t="s">
        <v>1792</v>
      </c>
      <c r="P30" s="410"/>
    </row>
    <row r="31" spans="1:30" ht="15" customHeight="1" thickBot="1">
      <c r="B31" s="9" t="s">
        <v>1798</v>
      </c>
      <c r="C31" s="48" t="s">
        <v>1799</v>
      </c>
      <c r="D31" s="48" t="s">
        <v>2264</v>
      </c>
      <c r="E31" s="464" t="s">
        <v>1800</v>
      </c>
      <c r="F31" s="465" t="s">
        <v>1801</v>
      </c>
      <c r="G31" s="464" t="s">
        <v>1800</v>
      </c>
      <c r="H31" s="465" t="s">
        <v>1801</v>
      </c>
      <c r="I31" s="464" t="s">
        <v>1800</v>
      </c>
      <c r="J31" s="465" t="s">
        <v>1801</v>
      </c>
      <c r="K31" s="464" t="s">
        <v>1800</v>
      </c>
      <c r="L31" s="465" t="s">
        <v>1801</v>
      </c>
      <c r="M31" s="464" t="s">
        <v>1800</v>
      </c>
      <c r="N31" s="465" t="s">
        <v>1801</v>
      </c>
      <c r="O31" s="464" t="s">
        <v>1800</v>
      </c>
      <c r="P31" s="465" t="s">
        <v>1801</v>
      </c>
    </row>
    <row r="32" spans="1:30" ht="16.95" customHeight="1">
      <c r="A32" s="403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58"/>
      <c r="F32" s="459"/>
      <c r="G32" s="458"/>
      <c r="H32" s="459"/>
      <c r="I32" s="458"/>
      <c r="J32" s="459"/>
      <c r="K32" s="458"/>
      <c r="L32" s="459"/>
      <c r="M32" s="458"/>
      <c r="N32" s="459"/>
      <c r="O32" s="458"/>
      <c r="P32" s="459"/>
    </row>
    <row r="33" spans="1:16" ht="16.95" customHeight="1">
      <c r="A33" s="404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60"/>
      <c r="F33" s="461"/>
      <c r="G33" s="460"/>
      <c r="H33" s="461"/>
      <c r="I33" s="460"/>
      <c r="J33" s="461"/>
      <c r="K33" s="460"/>
      <c r="L33" s="461"/>
      <c r="M33" s="460"/>
      <c r="N33" s="461"/>
      <c r="O33" s="460"/>
      <c r="P33" s="461"/>
    </row>
    <row r="34" spans="1:16" ht="16.95" customHeight="1" thickBot="1">
      <c r="A34" s="405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62"/>
      <c r="F34" s="463"/>
      <c r="G34" s="462"/>
      <c r="H34" s="463"/>
      <c r="I34" s="462"/>
      <c r="J34" s="463"/>
      <c r="K34" s="462"/>
      <c r="L34" s="463"/>
      <c r="M34" s="462"/>
      <c r="N34" s="463"/>
      <c r="O34" s="462"/>
      <c r="P34" s="463"/>
    </row>
    <row r="35" spans="1:16" ht="16.95" customHeight="1">
      <c r="A35" s="403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58"/>
      <c r="F35" s="459"/>
      <c r="G35" s="458"/>
      <c r="H35" s="459"/>
      <c r="I35" s="458"/>
      <c r="J35" s="459"/>
      <c r="K35" s="458"/>
      <c r="L35" s="459"/>
      <c r="M35" s="458"/>
      <c r="N35" s="459"/>
      <c r="O35" s="458"/>
      <c r="P35" s="459"/>
    </row>
    <row r="36" spans="1:16" ht="16.95" customHeight="1">
      <c r="A36" s="404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60"/>
      <c r="F36" s="461"/>
      <c r="G36" s="460"/>
      <c r="H36" s="461"/>
      <c r="I36" s="460"/>
      <c r="J36" s="461"/>
      <c r="K36" s="460"/>
      <c r="L36" s="461"/>
      <c r="M36" s="460"/>
      <c r="N36" s="461"/>
      <c r="O36" s="460"/>
      <c r="P36" s="461"/>
    </row>
    <row r="37" spans="1:16" ht="16.95" customHeight="1" thickBot="1">
      <c r="A37" s="405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62"/>
      <c r="F37" s="463"/>
      <c r="G37" s="462"/>
      <c r="H37" s="463"/>
      <c r="I37" s="462"/>
      <c r="J37" s="463"/>
      <c r="K37" s="462"/>
      <c r="L37" s="463"/>
      <c r="M37" s="462"/>
      <c r="N37" s="463"/>
      <c r="O37" s="462"/>
      <c r="P37" s="463"/>
    </row>
    <row r="38" spans="1:16" ht="16.95" customHeight="1">
      <c r="A38" s="403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58"/>
      <c r="F38" s="459"/>
      <c r="G38" s="458"/>
      <c r="H38" s="459"/>
      <c r="I38" s="458"/>
      <c r="J38" s="459"/>
      <c r="K38" s="458"/>
      <c r="L38" s="459"/>
      <c r="M38" s="458"/>
      <c r="N38" s="459"/>
      <c r="O38" s="458"/>
      <c r="P38" s="459"/>
    </row>
    <row r="39" spans="1:16" ht="16.95" customHeight="1">
      <c r="A39" s="404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60"/>
      <c r="F39" s="461"/>
      <c r="G39" s="460"/>
      <c r="H39" s="461"/>
      <c r="I39" s="460"/>
      <c r="J39" s="461"/>
      <c r="K39" s="460"/>
      <c r="L39" s="461"/>
      <c r="M39" s="460"/>
      <c r="N39" s="461"/>
      <c r="O39" s="460"/>
      <c r="P39" s="461"/>
    </row>
    <row r="40" spans="1:16" ht="16.95" customHeight="1" thickBot="1">
      <c r="A40" s="405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62"/>
      <c r="F40" s="463"/>
      <c r="G40" s="462"/>
      <c r="H40" s="463"/>
      <c r="I40" s="462"/>
      <c r="J40" s="463"/>
      <c r="K40" s="462"/>
      <c r="L40" s="463"/>
      <c r="M40" s="462"/>
      <c r="N40" s="463"/>
      <c r="O40" s="462"/>
      <c r="P40" s="463"/>
    </row>
    <row r="41" spans="1:16" ht="27.75" customHeight="1" thickBot="1">
      <c r="B41" s="11"/>
      <c r="C41" s="25"/>
      <c r="D41" s="204"/>
      <c r="E41" s="456"/>
      <c r="F41" s="457"/>
      <c r="G41" s="456"/>
      <c r="H41" s="457"/>
      <c r="I41" s="456"/>
      <c r="J41" s="457"/>
      <c r="K41" s="456"/>
      <c r="L41" s="457"/>
      <c r="M41" s="456"/>
      <c r="N41" s="457"/>
      <c r="O41" s="456"/>
      <c r="P41" s="457"/>
    </row>
    <row r="42" spans="1:16" ht="24" customHeight="1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>
      <c r="B44" s="211" t="s">
        <v>1790</v>
      </c>
      <c r="C44" s="42" t="s">
        <v>1791</v>
      </c>
      <c r="D44" s="42"/>
      <c r="E44" s="398">
        <f>VLOOKUP(B27,Schlüssel!$A$5:$DZ$12,63)</f>
        <v>7</v>
      </c>
      <c r="F44" s="398"/>
      <c r="G44" s="398">
        <f>VLOOKUP(B27,Schlüssel!$A$5:$DZ$12,64)</f>
        <v>5</v>
      </c>
      <c r="H44" s="398"/>
      <c r="I44" s="398">
        <f>VLOOKUP(B27,Schlüssel!$A$5:$DZ$12,65)</f>
        <v>3</v>
      </c>
      <c r="J44" s="398"/>
      <c r="K44" s="398">
        <f>VLOOKUP(B27,Schlüssel!$A$5:$DZ$12,66)</f>
        <v>8</v>
      </c>
      <c r="L44" s="398"/>
      <c r="M44" s="398">
        <f>VLOOKUP(B27,Schlüssel!$A$5:$DZ$12,67)</f>
        <v>1</v>
      </c>
      <c r="N44" s="398"/>
      <c r="O44" s="399"/>
      <c r="P44" s="399"/>
    </row>
    <row r="45" spans="1:16" ht="28.5" customHeight="1">
      <c r="B45" s="4"/>
      <c r="C45" s="1"/>
      <c r="D45" s="1"/>
      <c r="E45" s="395" t="str">
        <f>VLOOKUP(E44,Schlüssel!$A$5:$K$12,2)</f>
        <v>BK München 1</v>
      </c>
      <c r="F45" s="396"/>
      <c r="G45" s="395" t="str">
        <f>VLOOKUP(G44,Schlüssel!$A$5:$K$12,2)</f>
        <v>Berchtesgaden 1</v>
      </c>
      <c r="H45" s="396"/>
      <c r="I45" s="395" t="str">
        <f>VLOOKUP(I44,Schlüssel!$A$5:$K$12,2)</f>
        <v>Highroller Rosenheim 2</v>
      </c>
      <c r="J45" s="396"/>
      <c r="K45" s="395" t="str">
        <f>VLOOKUP(K44,Schlüssel!$A$5:$K$12,2)</f>
        <v>EMAX 1</v>
      </c>
      <c r="L45" s="396"/>
      <c r="M45" s="395" t="str">
        <f>VLOOKUP(M44,Schlüssel!$A$5:$K$12,2)</f>
        <v>Bad Tölz 1</v>
      </c>
      <c r="N45" s="396"/>
      <c r="O45" s="397"/>
      <c r="P45" s="397"/>
    </row>
    <row r="46" spans="1:16" ht="12" customHeight="1">
      <c r="B46" s="4"/>
      <c r="C46" s="1"/>
      <c r="D46" s="1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53"/>
      <c r="P46" s="353"/>
    </row>
    <row r="47" spans="1:16" ht="16.2" customHeight="1">
      <c r="B47" s="39" t="s">
        <v>0</v>
      </c>
      <c r="C47" s="40"/>
      <c r="D47" s="40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3"/>
      <c r="P47" s="393"/>
    </row>
    <row r="48" spans="1:16" ht="16.2" customHeight="1">
      <c r="B48" s="39" t="s">
        <v>2</v>
      </c>
      <c r="C48" s="40"/>
      <c r="D48" s="40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3"/>
      <c r="P48" s="393"/>
    </row>
    <row r="49" spans="1:30" ht="16.2" customHeight="1">
      <c r="B49" s="39" t="s">
        <v>3</v>
      </c>
      <c r="C49" s="40"/>
      <c r="D49" s="40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3"/>
      <c r="P49" s="393"/>
    </row>
    <row r="50" spans="1:30" ht="15.75" customHeight="1">
      <c r="B50" s="41" t="s">
        <v>1792</v>
      </c>
      <c r="C50" s="42"/>
      <c r="D50" s="42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41"/>
      <c r="P50" s="341"/>
    </row>
    <row r="51" spans="1:30" ht="21" customHeight="1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6">
        <f>Schlüssel!$BU$1</f>
        <v>45787</v>
      </c>
      <c r="N51" s="406"/>
      <c r="O51" s="406"/>
      <c r="AD51" s="76"/>
    </row>
    <row r="52" spans="1:30" ht="17.25" customHeight="1" thickBot="1">
      <c r="A52" s="53"/>
      <c r="B52" s="54">
        <f>+B27+1</f>
        <v>3</v>
      </c>
      <c r="C52" s="35" t="s">
        <v>1787</v>
      </c>
      <c r="D52" s="35"/>
      <c r="E52" s="72" t="str">
        <f>Schlüssel!$BK$2</f>
        <v>Bad Tölz Flint Bowling</v>
      </c>
      <c r="G52" s="66"/>
      <c r="H52" s="66"/>
      <c r="I52" s="66"/>
      <c r="J52" s="66"/>
      <c r="L52" s="66"/>
      <c r="M52" s="34" t="s">
        <v>1785</v>
      </c>
      <c r="N52" s="38">
        <v>4</v>
      </c>
      <c r="O52" s="33"/>
      <c r="AD52" s="77"/>
    </row>
    <row r="53" spans="1:30" ht="15.75" customHeight="1" thickBot="1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3.8" thickBot="1">
      <c r="A54" s="6"/>
      <c r="B54" s="7"/>
      <c r="C54" s="43"/>
      <c r="D54" s="43"/>
      <c r="E54" s="47" t="s">
        <v>10</v>
      </c>
      <c r="F54" s="7">
        <f>VLOOKUP(B52,Schlüssel!$A$5:$DZ$12,73)</f>
        <v>4</v>
      </c>
      <c r="G54" s="51" t="s">
        <v>10</v>
      </c>
      <c r="H54" s="7">
        <f>VLOOKUP(B52,Schlüssel!$A$5:$DZ$12,74)</f>
        <v>8</v>
      </c>
      <c r="I54" s="51" t="s">
        <v>10</v>
      </c>
      <c r="J54" s="7">
        <f>VLOOKUP(B52,Schlüssel!$A$5:$DZ$12,75)</f>
        <v>3</v>
      </c>
      <c r="K54" s="51" t="s">
        <v>10</v>
      </c>
      <c r="L54" s="7">
        <f>VLOOKUP(B52,Schlüssel!$A$5:$DZ$12,76)</f>
        <v>6</v>
      </c>
      <c r="M54" s="51" t="s">
        <v>10</v>
      </c>
      <c r="N54" s="57">
        <f>VLOOKUP(B52,Schlüssel!$A$5:$DZ$12,77)</f>
        <v>2</v>
      </c>
    </row>
    <row r="55" spans="1:30" ht="20.25" customHeight="1">
      <c r="B55" s="44" t="s">
        <v>1</v>
      </c>
      <c r="C55" s="45"/>
      <c r="D55" s="45"/>
      <c r="E55" s="407" t="s">
        <v>1793</v>
      </c>
      <c r="F55" s="408"/>
      <c r="G55" s="407" t="s">
        <v>1794</v>
      </c>
      <c r="H55" s="408"/>
      <c r="I55" s="407" t="s">
        <v>1795</v>
      </c>
      <c r="J55" s="408"/>
      <c r="K55" s="407" t="s">
        <v>1796</v>
      </c>
      <c r="L55" s="408"/>
      <c r="M55" s="407" t="s">
        <v>1797</v>
      </c>
      <c r="N55" s="408"/>
      <c r="O55" s="409" t="s">
        <v>1792</v>
      </c>
      <c r="P55" s="410"/>
    </row>
    <row r="56" spans="1:30" ht="15" customHeight="1" thickBot="1">
      <c r="B56" s="9" t="s">
        <v>1798</v>
      </c>
      <c r="C56" s="48" t="s">
        <v>1799</v>
      </c>
      <c r="D56" s="48" t="s">
        <v>2264</v>
      </c>
      <c r="E56" s="464" t="s">
        <v>1800</v>
      </c>
      <c r="F56" s="465" t="s">
        <v>1801</v>
      </c>
      <c r="G56" s="464" t="s">
        <v>1800</v>
      </c>
      <c r="H56" s="465" t="s">
        <v>1801</v>
      </c>
      <c r="I56" s="464" t="s">
        <v>1800</v>
      </c>
      <c r="J56" s="465" t="s">
        <v>1801</v>
      </c>
      <c r="K56" s="464" t="s">
        <v>1800</v>
      </c>
      <c r="L56" s="465" t="s">
        <v>1801</v>
      </c>
      <c r="M56" s="464" t="s">
        <v>1800</v>
      </c>
      <c r="N56" s="465" t="s">
        <v>1801</v>
      </c>
      <c r="O56" s="464" t="s">
        <v>1800</v>
      </c>
      <c r="P56" s="465" t="s">
        <v>1801</v>
      </c>
    </row>
    <row r="57" spans="1:30" ht="16.95" customHeight="1">
      <c r="A57" s="403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58"/>
      <c r="F57" s="459"/>
      <c r="G57" s="458"/>
      <c r="H57" s="459"/>
      <c r="I57" s="458"/>
      <c r="J57" s="459"/>
      <c r="K57" s="458"/>
      <c r="L57" s="459"/>
      <c r="M57" s="458"/>
      <c r="N57" s="459"/>
      <c r="O57" s="458"/>
      <c r="P57" s="459"/>
    </row>
    <row r="58" spans="1:30" ht="16.95" customHeight="1">
      <c r="A58" s="404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60"/>
      <c r="F58" s="461"/>
      <c r="G58" s="460"/>
      <c r="H58" s="461"/>
      <c r="I58" s="460"/>
      <c r="J58" s="461"/>
      <c r="K58" s="460"/>
      <c r="L58" s="461"/>
      <c r="M58" s="460"/>
      <c r="N58" s="461"/>
      <c r="O58" s="460"/>
      <c r="P58" s="461"/>
    </row>
    <row r="59" spans="1:30" ht="16.95" customHeight="1" thickBot="1">
      <c r="A59" s="405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62"/>
      <c r="F59" s="463"/>
      <c r="G59" s="462"/>
      <c r="H59" s="463"/>
      <c r="I59" s="462"/>
      <c r="J59" s="463"/>
      <c r="K59" s="462"/>
      <c r="L59" s="463"/>
      <c r="M59" s="462"/>
      <c r="N59" s="463"/>
      <c r="O59" s="462"/>
      <c r="P59" s="463"/>
    </row>
    <row r="60" spans="1:30" ht="16.95" customHeight="1">
      <c r="A60" s="403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58"/>
      <c r="F60" s="459"/>
      <c r="G60" s="458"/>
      <c r="H60" s="459"/>
      <c r="I60" s="458"/>
      <c r="J60" s="459"/>
      <c r="K60" s="458"/>
      <c r="L60" s="459"/>
      <c r="M60" s="458"/>
      <c r="N60" s="459"/>
      <c r="O60" s="458"/>
      <c r="P60" s="459"/>
    </row>
    <row r="61" spans="1:30" ht="16.95" customHeight="1">
      <c r="A61" s="404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60"/>
      <c r="F61" s="461"/>
      <c r="G61" s="460"/>
      <c r="H61" s="461"/>
      <c r="I61" s="460"/>
      <c r="J61" s="461"/>
      <c r="K61" s="460"/>
      <c r="L61" s="461"/>
      <c r="M61" s="460"/>
      <c r="N61" s="461"/>
      <c r="O61" s="460"/>
      <c r="P61" s="461"/>
    </row>
    <row r="62" spans="1:30" ht="16.95" customHeight="1" thickBot="1">
      <c r="A62" s="405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62"/>
      <c r="F62" s="463"/>
      <c r="G62" s="462"/>
      <c r="H62" s="463"/>
      <c r="I62" s="462"/>
      <c r="J62" s="463"/>
      <c r="K62" s="462"/>
      <c r="L62" s="463"/>
      <c r="M62" s="462"/>
      <c r="N62" s="463"/>
      <c r="O62" s="462"/>
      <c r="P62" s="463"/>
    </row>
    <row r="63" spans="1:30" ht="16.95" customHeight="1">
      <c r="A63" s="403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58"/>
      <c r="F63" s="459"/>
      <c r="G63" s="458"/>
      <c r="H63" s="459"/>
      <c r="I63" s="458"/>
      <c r="J63" s="459"/>
      <c r="K63" s="458"/>
      <c r="L63" s="459"/>
      <c r="M63" s="458"/>
      <c r="N63" s="459"/>
      <c r="O63" s="458"/>
      <c r="P63" s="459"/>
    </row>
    <row r="64" spans="1:30" ht="16.95" customHeight="1">
      <c r="A64" s="404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60"/>
      <c r="F64" s="461"/>
      <c r="G64" s="460"/>
      <c r="H64" s="461"/>
      <c r="I64" s="460"/>
      <c r="J64" s="461"/>
      <c r="K64" s="460"/>
      <c r="L64" s="461"/>
      <c r="M64" s="460"/>
      <c r="N64" s="461"/>
      <c r="O64" s="460"/>
      <c r="P64" s="461"/>
    </row>
    <row r="65" spans="1:30" ht="16.95" customHeight="1" thickBot="1">
      <c r="A65" s="405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62"/>
      <c r="F65" s="463"/>
      <c r="G65" s="462"/>
      <c r="H65" s="463"/>
      <c r="I65" s="462"/>
      <c r="J65" s="463"/>
      <c r="K65" s="462"/>
      <c r="L65" s="463"/>
      <c r="M65" s="462"/>
      <c r="N65" s="463"/>
      <c r="O65" s="462"/>
      <c r="P65" s="463"/>
    </row>
    <row r="66" spans="1:30" ht="27.75" customHeight="1" thickBot="1">
      <c r="B66" s="11"/>
      <c r="C66" s="25"/>
      <c r="D66" s="204"/>
      <c r="E66" s="456"/>
      <c r="F66" s="457"/>
      <c r="G66" s="456"/>
      <c r="H66" s="457"/>
      <c r="I66" s="456"/>
      <c r="J66" s="457"/>
      <c r="K66" s="456"/>
      <c r="L66" s="457"/>
      <c r="M66" s="456"/>
      <c r="N66" s="457"/>
      <c r="O66" s="456"/>
      <c r="P66" s="457"/>
    </row>
    <row r="67" spans="1:30" ht="24" customHeight="1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>
      <c r="B69" s="211" t="s">
        <v>1790</v>
      </c>
      <c r="C69" s="42" t="s">
        <v>1791</v>
      </c>
      <c r="D69" s="42"/>
      <c r="E69" s="398">
        <f>VLOOKUP(B52,Schlüssel!$A$5:$DZ$12,63)</f>
        <v>6</v>
      </c>
      <c r="F69" s="398"/>
      <c r="G69" s="398">
        <f>VLOOKUP(B52,Schlüssel!$A$5:$DZ$12,64)</f>
        <v>8</v>
      </c>
      <c r="H69" s="398"/>
      <c r="I69" s="398">
        <f>VLOOKUP(B52,Schlüssel!$A$5:$DZ$12,65)</f>
        <v>2</v>
      </c>
      <c r="J69" s="398"/>
      <c r="K69" s="398">
        <f>VLOOKUP(B52,Schlüssel!$A$5:$DZ$12,66)</f>
        <v>5</v>
      </c>
      <c r="L69" s="398"/>
      <c r="M69" s="398">
        <f>VLOOKUP(B52,Schlüssel!$A$5:$DZ$12,67)</f>
        <v>4</v>
      </c>
      <c r="N69" s="398"/>
      <c r="O69" s="399"/>
      <c r="P69" s="399"/>
    </row>
    <row r="70" spans="1:30" ht="28.5" customHeight="1">
      <c r="B70" s="4"/>
      <c r="C70" s="1"/>
      <c r="D70" s="1"/>
      <c r="E70" s="395" t="str">
        <f>VLOOKUP(E69,Schlüssel!$A$5:$K$12,2)</f>
        <v>Bowling Jugend Bayern 1</v>
      </c>
      <c r="F70" s="396"/>
      <c r="G70" s="395" t="str">
        <f>VLOOKUP(G69,Schlüssel!$A$5:$K$12,2)</f>
        <v>EMAX 1</v>
      </c>
      <c r="H70" s="396"/>
      <c r="I70" s="395" t="str">
        <f>VLOOKUP(I69,Schlüssel!$A$5:$K$12,2)</f>
        <v>Highroller Rosenheim 1</v>
      </c>
      <c r="J70" s="396"/>
      <c r="K70" s="395" t="str">
        <f>VLOOKUP(K69,Schlüssel!$A$5:$K$12,2)</f>
        <v>Berchtesgaden 1</v>
      </c>
      <c r="L70" s="396"/>
      <c r="M70" s="395" t="str">
        <f>VLOOKUP(M69,Schlüssel!$A$5:$K$12,2)</f>
        <v>Highroller Rosenheim 3</v>
      </c>
      <c r="N70" s="396"/>
      <c r="O70" s="397"/>
      <c r="P70" s="397"/>
    </row>
    <row r="71" spans="1:30" ht="12" customHeight="1">
      <c r="B71" s="4"/>
      <c r="C71" s="1"/>
      <c r="D71" s="1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53"/>
      <c r="P71" s="353"/>
    </row>
    <row r="72" spans="1:30" ht="16.2" customHeight="1">
      <c r="B72" s="39" t="s">
        <v>0</v>
      </c>
      <c r="C72" s="40"/>
      <c r="D72" s="40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3"/>
      <c r="P72" s="393"/>
    </row>
    <row r="73" spans="1:30" ht="16.2" customHeight="1">
      <c r="B73" s="39" t="s">
        <v>2</v>
      </c>
      <c r="C73" s="40"/>
      <c r="D73" s="40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3"/>
      <c r="P73" s="393"/>
    </row>
    <row r="74" spans="1:30" ht="16.2" customHeight="1">
      <c r="B74" s="39" t="s">
        <v>3</v>
      </c>
      <c r="C74" s="40"/>
      <c r="D74" s="40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3"/>
      <c r="P74" s="393"/>
    </row>
    <row r="75" spans="1:30" ht="15.75" customHeight="1">
      <c r="B75" s="41" t="s">
        <v>1792</v>
      </c>
      <c r="C75" s="42"/>
      <c r="D75" s="42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41"/>
      <c r="P75" s="341"/>
    </row>
    <row r="76" spans="1:30" ht="21" customHeight="1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6">
        <f>Schlüssel!$BU$1</f>
        <v>45787</v>
      </c>
      <c r="N76" s="406"/>
      <c r="O76" s="406"/>
      <c r="AD76" s="76"/>
    </row>
    <row r="77" spans="1:30" ht="17.25" customHeight="1" thickBot="1">
      <c r="A77" s="53"/>
      <c r="B77" s="54">
        <f>+B52+1</f>
        <v>4</v>
      </c>
      <c r="C77" s="35" t="s">
        <v>1787</v>
      </c>
      <c r="D77" s="35"/>
      <c r="E77" s="72" t="str">
        <f>Schlüssel!$BK$2</f>
        <v>Bad Tölz Flint Bowling</v>
      </c>
      <c r="G77" s="66"/>
      <c r="H77" s="66"/>
      <c r="I77" s="66"/>
      <c r="J77" s="66"/>
      <c r="L77" s="66"/>
      <c r="M77" s="34" t="s">
        <v>1785</v>
      </c>
      <c r="N77" s="38">
        <v>4</v>
      </c>
      <c r="O77" s="33"/>
      <c r="AD77" s="77"/>
    </row>
    <row r="78" spans="1:30" ht="15.75" customHeight="1" thickBot="1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3.8" thickBot="1">
      <c r="A79" s="6"/>
      <c r="B79" s="7"/>
      <c r="C79" s="43"/>
      <c r="D79" s="43"/>
      <c r="E79" s="47" t="s">
        <v>10</v>
      </c>
      <c r="F79" s="7">
        <f>VLOOKUP(B77,Schlüssel!$A$5:$DZ$12,73)</f>
        <v>5</v>
      </c>
      <c r="G79" s="51" t="s">
        <v>10</v>
      </c>
      <c r="H79" s="7">
        <f>VLOOKUP(B77,Schlüssel!$A$5:$DZ$12,74)</f>
        <v>2</v>
      </c>
      <c r="I79" s="51" t="s">
        <v>10</v>
      </c>
      <c r="J79" s="7">
        <f>VLOOKUP(B77,Schlüssel!$A$5:$DZ$12,75)</f>
        <v>8</v>
      </c>
      <c r="K79" s="51" t="s">
        <v>10</v>
      </c>
      <c r="L79" s="7">
        <f>VLOOKUP(B77,Schlüssel!$A$5:$DZ$12,76)</f>
        <v>4</v>
      </c>
      <c r="M79" s="51" t="s">
        <v>10</v>
      </c>
      <c r="N79" s="57">
        <f>VLOOKUP(B77,Schlüssel!$A$5:$DZ$12,77)</f>
        <v>1</v>
      </c>
    </row>
    <row r="80" spans="1:30" ht="20.25" customHeight="1">
      <c r="B80" s="44" t="s">
        <v>1</v>
      </c>
      <c r="C80" s="45"/>
      <c r="D80" s="45"/>
      <c r="E80" s="407" t="s">
        <v>1793</v>
      </c>
      <c r="F80" s="408"/>
      <c r="G80" s="407" t="s">
        <v>1794</v>
      </c>
      <c r="H80" s="408"/>
      <c r="I80" s="407" t="s">
        <v>1795</v>
      </c>
      <c r="J80" s="408"/>
      <c r="K80" s="407" t="s">
        <v>1796</v>
      </c>
      <c r="L80" s="408"/>
      <c r="M80" s="407" t="s">
        <v>1797</v>
      </c>
      <c r="N80" s="408"/>
      <c r="O80" s="409" t="s">
        <v>1792</v>
      </c>
      <c r="P80" s="410"/>
    </row>
    <row r="81" spans="1:16" ht="15" customHeight="1" thickBot="1">
      <c r="B81" s="9" t="s">
        <v>1798</v>
      </c>
      <c r="C81" s="48" t="s">
        <v>1799</v>
      </c>
      <c r="D81" s="48" t="s">
        <v>2264</v>
      </c>
      <c r="E81" s="464" t="s">
        <v>1800</v>
      </c>
      <c r="F81" s="465" t="s">
        <v>1801</v>
      </c>
      <c r="G81" s="464" t="s">
        <v>1800</v>
      </c>
      <c r="H81" s="465" t="s">
        <v>1801</v>
      </c>
      <c r="I81" s="464" t="s">
        <v>1800</v>
      </c>
      <c r="J81" s="465" t="s">
        <v>1801</v>
      </c>
      <c r="K81" s="464" t="s">
        <v>1800</v>
      </c>
      <c r="L81" s="465" t="s">
        <v>1801</v>
      </c>
      <c r="M81" s="464" t="s">
        <v>1800</v>
      </c>
      <c r="N81" s="465" t="s">
        <v>1801</v>
      </c>
      <c r="O81" s="464" t="s">
        <v>1800</v>
      </c>
      <c r="P81" s="465" t="s">
        <v>1801</v>
      </c>
    </row>
    <row r="82" spans="1:16" ht="16.95" customHeight="1">
      <c r="A82" s="403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58"/>
      <c r="F82" s="459"/>
      <c r="G82" s="458"/>
      <c r="H82" s="459"/>
      <c r="I82" s="458"/>
      <c r="J82" s="459"/>
      <c r="K82" s="458"/>
      <c r="L82" s="459"/>
      <c r="M82" s="458"/>
      <c r="N82" s="459"/>
      <c r="O82" s="458"/>
      <c r="P82" s="459"/>
    </row>
    <row r="83" spans="1:16" ht="16.95" customHeight="1">
      <c r="A83" s="404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60"/>
      <c r="F83" s="461"/>
      <c r="G83" s="460"/>
      <c r="H83" s="461"/>
      <c r="I83" s="460"/>
      <c r="J83" s="461"/>
      <c r="K83" s="460"/>
      <c r="L83" s="461"/>
      <c r="M83" s="460"/>
      <c r="N83" s="461"/>
      <c r="O83" s="460"/>
      <c r="P83" s="461"/>
    </row>
    <row r="84" spans="1:16" ht="16.95" customHeight="1" thickBot="1">
      <c r="A84" s="405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62"/>
      <c r="F84" s="463"/>
      <c r="G84" s="462"/>
      <c r="H84" s="463"/>
      <c r="I84" s="462"/>
      <c r="J84" s="463"/>
      <c r="K84" s="462"/>
      <c r="L84" s="463"/>
      <c r="M84" s="462"/>
      <c r="N84" s="463"/>
      <c r="O84" s="462"/>
      <c r="P84" s="463"/>
    </row>
    <row r="85" spans="1:16" ht="16.95" customHeight="1">
      <c r="A85" s="403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58"/>
      <c r="F85" s="459"/>
      <c r="G85" s="458"/>
      <c r="H85" s="459"/>
      <c r="I85" s="458"/>
      <c r="J85" s="459"/>
      <c r="K85" s="458"/>
      <c r="L85" s="459"/>
      <c r="M85" s="458"/>
      <c r="N85" s="459"/>
      <c r="O85" s="458"/>
      <c r="P85" s="459"/>
    </row>
    <row r="86" spans="1:16" ht="16.95" customHeight="1">
      <c r="A86" s="404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60"/>
      <c r="F86" s="461"/>
      <c r="G86" s="460"/>
      <c r="H86" s="461"/>
      <c r="I86" s="460"/>
      <c r="J86" s="461"/>
      <c r="K86" s="460"/>
      <c r="L86" s="461"/>
      <c r="M86" s="460"/>
      <c r="N86" s="461"/>
      <c r="O86" s="460"/>
      <c r="P86" s="461"/>
    </row>
    <row r="87" spans="1:16" ht="16.95" customHeight="1" thickBot="1">
      <c r="A87" s="405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62"/>
      <c r="F87" s="463"/>
      <c r="G87" s="462"/>
      <c r="H87" s="463"/>
      <c r="I87" s="462"/>
      <c r="J87" s="463"/>
      <c r="K87" s="462"/>
      <c r="L87" s="463"/>
      <c r="M87" s="462"/>
      <c r="N87" s="463"/>
      <c r="O87" s="462"/>
      <c r="P87" s="463"/>
    </row>
    <row r="88" spans="1:16" ht="16.95" customHeight="1">
      <c r="A88" s="403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58"/>
      <c r="F88" s="459"/>
      <c r="G88" s="458"/>
      <c r="H88" s="459"/>
      <c r="I88" s="458"/>
      <c r="J88" s="459"/>
      <c r="K88" s="458"/>
      <c r="L88" s="459"/>
      <c r="M88" s="458"/>
      <c r="N88" s="459"/>
      <c r="O88" s="458"/>
      <c r="P88" s="459"/>
    </row>
    <row r="89" spans="1:16" ht="16.95" customHeight="1">
      <c r="A89" s="404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60"/>
      <c r="F89" s="461"/>
      <c r="G89" s="460"/>
      <c r="H89" s="461"/>
      <c r="I89" s="460"/>
      <c r="J89" s="461"/>
      <c r="K89" s="460"/>
      <c r="L89" s="461"/>
      <c r="M89" s="460"/>
      <c r="N89" s="461"/>
      <c r="O89" s="460"/>
      <c r="P89" s="461"/>
    </row>
    <row r="90" spans="1:16" ht="16.95" customHeight="1" thickBot="1">
      <c r="A90" s="405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62"/>
      <c r="F90" s="463"/>
      <c r="G90" s="462"/>
      <c r="H90" s="463"/>
      <c r="I90" s="462"/>
      <c r="J90" s="463"/>
      <c r="K90" s="462"/>
      <c r="L90" s="463"/>
      <c r="M90" s="462"/>
      <c r="N90" s="463"/>
      <c r="O90" s="462"/>
      <c r="P90" s="463"/>
    </row>
    <row r="91" spans="1:16" ht="27.75" customHeight="1" thickBot="1">
      <c r="B91" s="11"/>
      <c r="C91" s="25"/>
      <c r="D91" s="204"/>
      <c r="E91" s="456"/>
      <c r="F91" s="457"/>
      <c r="G91" s="456"/>
      <c r="H91" s="457"/>
      <c r="I91" s="456"/>
      <c r="J91" s="457"/>
      <c r="K91" s="456"/>
      <c r="L91" s="457"/>
      <c r="M91" s="456"/>
      <c r="N91" s="457"/>
      <c r="O91" s="456"/>
      <c r="P91" s="457"/>
    </row>
    <row r="92" spans="1:16" ht="24" customHeight="1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>
      <c r="B94" s="211" t="s">
        <v>1790</v>
      </c>
      <c r="C94" s="42" t="s">
        <v>1791</v>
      </c>
      <c r="D94" s="42"/>
      <c r="E94" s="398">
        <f>VLOOKUP(B77,Schlüssel!$A$5:$DZ$12,63)</f>
        <v>8</v>
      </c>
      <c r="F94" s="398"/>
      <c r="G94" s="398">
        <f>VLOOKUP(B77,Schlüssel!$A$5:$DZ$12,64)</f>
        <v>6</v>
      </c>
      <c r="H94" s="398"/>
      <c r="I94" s="398">
        <f>VLOOKUP(B77,Schlüssel!$A$5:$DZ$12,65)</f>
        <v>1</v>
      </c>
      <c r="J94" s="398"/>
      <c r="K94" s="398">
        <f>VLOOKUP(B77,Schlüssel!$A$5:$DZ$12,66)</f>
        <v>7</v>
      </c>
      <c r="L94" s="398"/>
      <c r="M94" s="398">
        <f>VLOOKUP(B77,Schlüssel!$A$5:$DZ$12,67)</f>
        <v>3</v>
      </c>
      <c r="N94" s="398"/>
      <c r="O94" s="399"/>
      <c r="P94" s="399"/>
    </row>
    <row r="95" spans="1:16" ht="28.5" customHeight="1">
      <c r="B95" s="4"/>
      <c r="C95" s="1"/>
      <c r="D95" s="1"/>
      <c r="E95" s="395" t="str">
        <f>VLOOKUP(E94,Schlüssel!$A$5:$K$12,2)</f>
        <v>EMAX 1</v>
      </c>
      <c r="F95" s="396"/>
      <c r="G95" s="395" t="str">
        <f>VLOOKUP(G94,Schlüssel!$A$5:$K$12,2)</f>
        <v>Bowling Jugend Bayern 1</v>
      </c>
      <c r="H95" s="396"/>
      <c r="I95" s="395" t="str">
        <f>VLOOKUP(I94,Schlüssel!$A$5:$K$12,2)</f>
        <v>Bad Tölz 1</v>
      </c>
      <c r="J95" s="396"/>
      <c r="K95" s="395" t="str">
        <f>VLOOKUP(K94,Schlüssel!$A$5:$K$12,2)</f>
        <v>BK München 1</v>
      </c>
      <c r="L95" s="396"/>
      <c r="M95" s="395" t="str">
        <f>VLOOKUP(M94,Schlüssel!$A$5:$K$12,2)</f>
        <v>Highroller Rosenheim 2</v>
      </c>
      <c r="N95" s="396"/>
      <c r="O95" s="397"/>
      <c r="P95" s="397"/>
    </row>
    <row r="96" spans="1:16" ht="12" customHeight="1">
      <c r="B96" s="4"/>
      <c r="C96" s="1"/>
      <c r="D96" s="1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53"/>
      <c r="P96" s="353"/>
    </row>
    <row r="97" spans="1:30" ht="16.2" customHeight="1">
      <c r="B97" s="39" t="s">
        <v>0</v>
      </c>
      <c r="C97" s="40"/>
      <c r="D97" s="40"/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393"/>
      <c r="P97" s="393"/>
    </row>
    <row r="98" spans="1:30" ht="16.2" customHeight="1">
      <c r="B98" s="39" t="s">
        <v>2</v>
      </c>
      <c r="C98" s="40"/>
      <c r="D98" s="40"/>
      <c r="E98" s="392"/>
      <c r="F98" s="392"/>
      <c r="G98" s="392"/>
      <c r="H98" s="392"/>
      <c r="I98" s="392"/>
      <c r="J98" s="392"/>
      <c r="K98" s="392"/>
      <c r="L98" s="392"/>
      <c r="M98" s="392"/>
      <c r="N98" s="392"/>
      <c r="O98" s="393"/>
      <c r="P98" s="393"/>
    </row>
    <row r="99" spans="1:30" ht="16.2" customHeight="1">
      <c r="B99" s="39" t="s">
        <v>3</v>
      </c>
      <c r="C99" s="40"/>
      <c r="D99" s="40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3"/>
      <c r="P99" s="393"/>
    </row>
    <row r="100" spans="1:30" ht="15.75" customHeight="1">
      <c r="B100" s="41" t="s">
        <v>1792</v>
      </c>
      <c r="C100" s="42"/>
      <c r="D100" s="42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41"/>
      <c r="P100" s="341"/>
    </row>
    <row r="101" spans="1:30" ht="21" customHeight="1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6">
        <f>Schlüssel!$BU$1</f>
        <v>45787</v>
      </c>
      <c r="N101" s="406"/>
      <c r="O101" s="406"/>
      <c r="AD101" s="76"/>
    </row>
    <row r="102" spans="1:30" ht="17.25" customHeight="1" thickBot="1">
      <c r="A102" s="53"/>
      <c r="B102" s="54">
        <f>+B77+1</f>
        <v>5</v>
      </c>
      <c r="C102" s="35" t="s">
        <v>1787</v>
      </c>
      <c r="D102" s="35"/>
      <c r="E102" s="72" t="str">
        <f>Schlüssel!$BK$2</f>
        <v>Bad Tölz Flint Bowling</v>
      </c>
      <c r="G102" s="66"/>
      <c r="H102" s="66"/>
      <c r="I102" s="66"/>
      <c r="J102" s="66"/>
      <c r="L102" s="66"/>
      <c r="M102" s="34" t="s">
        <v>1785</v>
      </c>
      <c r="N102" s="38">
        <v>4</v>
      </c>
      <c r="O102" s="33"/>
      <c r="AD102" s="77"/>
    </row>
    <row r="103" spans="1:30" ht="15.75" customHeight="1" thickBot="1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3.8" thickBot="1">
      <c r="A104" s="6"/>
      <c r="B104" s="7"/>
      <c r="C104" s="43"/>
      <c r="D104" s="43"/>
      <c r="E104" s="47" t="s">
        <v>10</v>
      </c>
      <c r="F104" s="7">
        <f>VLOOKUP(B102,Schlüssel!$A$5:$DZ$12,73)</f>
        <v>7</v>
      </c>
      <c r="G104" s="51" t="s">
        <v>10</v>
      </c>
      <c r="H104" s="7">
        <f>VLOOKUP(B102,Schlüssel!$A$5:$DZ$12,74)</f>
        <v>6</v>
      </c>
      <c r="I104" s="51" t="s">
        <v>10</v>
      </c>
      <c r="J104" s="7">
        <f>VLOOKUP(B102,Schlüssel!$A$5:$DZ$12,75)</f>
        <v>1</v>
      </c>
      <c r="K104" s="51" t="s">
        <v>10</v>
      </c>
      <c r="L104" s="7">
        <f>VLOOKUP(B102,Schlüssel!$A$5:$DZ$12,76)</f>
        <v>5</v>
      </c>
      <c r="M104" s="51" t="s">
        <v>10</v>
      </c>
      <c r="N104" s="57">
        <f>VLOOKUP(B102,Schlüssel!$A$5:$DZ$12,77)</f>
        <v>8</v>
      </c>
    </row>
    <row r="105" spans="1:30" ht="20.25" customHeight="1">
      <c r="B105" s="44" t="s">
        <v>1</v>
      </c>
      <c r="C105" s="45"/>
      <c r="D105" s="45"/>
      <c r="E105" s="407" t="s">
        <v>1793</v>
      </c>
      <c r="F105" s="408"/>
      <c r="G105" s="407" t="s">
        <v>1794</v>
      </c>
      <c r="H105" s="408"/>
      <c r="I105" s="407" t="s">
        <v>1795</v>
      </c>
      <c r="J105" s="408"/>
      <c r="K105" s="407" t="s">
        <v>1796</v>
      </c>
      <c r="L105" s="408"/>
      <c r="M105" s="407" t="s">
        <v>1797</v>
      </c>
      <c r="N105" s="408"/>
      <c r="O105" s="409" t="s">
        <v>1792</v>
      </c>
      <c r="P105" s="410"/>
    </row>
    <row r="106" spans="1:30" ht="15" customHeight="1" thickBot="1">
      <c r="B106" s="9" t="s">
        <v>1798</v>
      </c>
      <c r="C106" s="48" t="s">
        <v>1799</v>
      </c>
      <c r="D106" s="48" t="s">
        <v>2264</v>
      </c>
      <c r="E106" s="464" t="s">
        <v>1800</v>
      </c>
      <c r="F106" s="465" t="s">
        <v>1801</v>
      </c>
      <c r="G106" s="464" t="s">
        <v>1800</v>
      </c>
      <c r="H106" s="465" t="s">
        <v>1801</v>
      </c>
      <c r="I106" s="464" t="s">
        <v>1800</v>
      </c>
      <c r="J106" s="465" t="s">
        <v>1801</v>
      </c>
      <c r="K106" s="464" t="s">
        <v>1800</v>
      </c>
      <c r="L106" s="465" t="s">
        <v>1801</v>
      </c>
      <c r="M106" s="464" t="s">
        <v>1800</v>
      </c>
      <c r="N106" s="465" t="s">
        <v>1801</v>
      </c>
      <c r="O106" s="464" t="s">
        <v>1800</v>
      </c>
      <c r="P106" s="465" t="s">
        <v>1801</v>
      </c>
    </row>
    <row r="107" spans="1:30" ht="16.95" customHeight="1">
      <c r="A107" s="403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58"/>
      <c r="F107" s="459"/>
      <c r="G107" s="458"/>
      <c r="H107" s="459"/>
      <c r="I107" s="458"/>
      <c r="J107" s="459"/>
      <c r="K107" s="458"/>
      <c r="L107" s="459"/>
      <c r="M107" s="458"/>
      <c r="N107" s="459"/>
      <c r="O107" s="458"/>
      <c r="P107" s="459"/>
    </row>
    <row r="108" spans="1:30" ht="16.95" customHeight="1">
      <c r="A108" s="404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60"/>
      <c r="F108" s="461"/>
      <c r="G108" s="460"/>
      <c r="H108" s="461"/>
      <c r="I108" s="460"/>
      <c r="J108" s="461"/>
      <c r="K108" s="460"/>
      <c r="L108" s="461"/>
      <c r="M108" s="460"/>
      <c r="N108" s="461"/>
      <c r="O108" s="460"/>
      <c r="P108" s="461"/>
    </row>
    <row r="109" spans="1:30" ht="16.95" customHeight="1" thickBot="1">
      <c r="A109" s="405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62"/>
      <c r="F109" s="463"/>
      <c r="G109" s="462"/>
      <c r="H109" s="463"/>
      <c r="I109" s="462"/>
      <c r="J109" s="463"/>
      <c r="K109" s="462"/>
      <c r="L109" s="463"/>
      <c r="M109" s="462"/>
      <c r="N109" s="463"/>
      <c r="O109" s="462"/>
      <c r="P109" s="463"/>
    </row>
    <row r="110" spans="1:30" ht="16.95" customHeight="1">
      <c r="A110" s="403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58"/>
      <c r="F110" s="459"/>
      <c r="G110" s="458"/>
      <c r="H110" s="459"/>
      <c r="I110" s="458"/>
      <c r="J110" s="459"/>
      <c r="K110" s="458"/>
      <c r="L110" s="459"/>
      <c r="M110" s="458"/>
      <c r="N110" s="459"/>
      <c r="O110" s="458"/>
      <c r="P110" s="459"/>
    </row>
    <row r="111" spans="1:30" ht="16.95" customHeight="1">
      <c r="A111" s="404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60"/>
      <c r="F111" s="461"/>
      <c r="G111" s="460"/>
      <c r="H111" s="461"/>
      <c r="I111" s="460"/>
      <c r="J111" s="461"/>
      <c r="K111" s="460"/>
      <c r="L111" s="461"/>
      <c r="M111" s="460"/>
      <c r="N111" s="461"/>
      <c r="O111" s="460"/>
      <c r="P111" s="461"/>
    </row>
    <row r="112" spans="1:30" ht="16.95" customHeight="1" thickBot="1">
      <c r="A112" s="405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62"/>
      <c r="F112" s="463"/>
      <c r="G112" s="462"/>
      <c r="H112" s="463"/>
      <c r="I112" s="462"/>
      <c r="J112" s="463"/>
      <c r="K112" s="462"/>
      <c r="L112" s="463"/>
      <c r="M112" s="462"/>
      <c r="N112" s="463"/>
      <c r="O112" s="462"/>
      <c r="P112" s="463"/>
    </row>
    <row r="113" spans="1:30" ht="16.95" customHeight="1">
      <c r="A113" s="403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58"/>
      <c r="F113" s="459"/>
      <c r="G113" s="458"/>
      <c r="H113" s="459"/>
      <c r="I113" s="458"/>
      <c r="J113" s="459"/>
      <c r="K113" s="458"/>
      <c r="L113" s="459"/>
      <c r="M113" s="458"/>
      <c r="N113" s="459"/>
      <c r="O113" s="458"/>
      <c r="P113" s="459"/>
    </row>
    <row r="114" spans="1:30" ht="16.95" customHeight="1">
      <c r="A114" s="404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60"/>
      <c r="F114" s="461"/>
      <c r="G114" s="460"/>
      <c r="H114" s="461"/>
      <c r="I114" s="460"/>
      <c r="J114" s="461"/>
      <c r="K114" s="460"/>
      <c r="L114" s="461"/>
      <c r="M114" s="460"/>
      <c r="N114" s="461"/>
      <c r="O114" s="460"/>
      <c r="P114" s="461"/>
    </row>
    <row r="115" spans="1:30" ht="16.95" customHeight="1" thickBot="1">
      <c r="A115" s="405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62"/>
      <c r="F115" s="463"/>
      <c r="G115" s="462"/>
      <c r="H115" s="463"/>
      <c r="I115" s="462"/>
      <c r="J115" s="463"/>
      <c r="K115" s="462"/>
      <c r="L115" s="463"/>
      <c r="M115" s="462"/>
      <c r="N115" s="463"/>
      <c r="O115" s="462"/>
      <c r="P115" s="463"/>
    </row>
    <row r="116" spans="1:30" ht="27.75" customHeight="1" thickBot="1">
      <c r="B116" s="11"/>
      <c r="C116" s="25"/>
      <c r="D116" s="204"/>
      <c r="E116" s="456"/>
      <c r="F116" s="457"/>
      <c r="G116" s="456"/>
      <c r="H116" s="457"/>
      <c r="I116" s="456"/>
      <c r="J116" s="457"/>
      <c r="K116" s="456"/>
      <c r="L116" s="457"/>
      <c r="M116" s="456"/>
      <c r="N116" s="457"/>
      <c r="O116" s="456"/>
      <c r="P116" s="457"/>
    </row>
    <row r="117" spans="1:30" ht="24" customHeight="1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>
      <c r="B119" s="211" t="s">
        <v>1790</v>
      </c>
      <c r="C119" s="42" t="s">
        <v>1791</v>
      </c>
      <c r="D119" s="42"/>
      <c r="E119" s="398">
        <f>VLOOKUP(B102,Schlüssel!$A$5:$DZ$12,63)</f>
        <v>1</v>
      </c>
      <c r="F119" s="398"/>
      <c r="G119" s="398">
        <f>VLOOKUP(B102,Schlüssel!$A$5:$DZ$12,64)</f>
        <v>2</v>
      </c>
      <c r="H119" s="398"/>
      <c r="I119" s="398">
        <f>VLOOKUP(B102,Schlüssel!$A$5:$DZ$12,65)</f>
        <v>8</v>
      </c>
      <c r="J119" s="398"/>
      <c r="K119" s="398">
        <f>VLOOKUP(B102,Schlüssel!$A$5:$DZ$12,66)</f>
        <v>3</v>
      </c>
      <c r="L119" s="398"/>
      <c r="M119" s="398">
        <f>VLOOKUP(B102,Schlüssel!$A$5:$DZ$12,67)</f>
        <v>6</v>
      </c>
      <c r="N119" s="398"/>
      <c r="O119" s="399"/>
      <c r="P119" s="399"/>
    </row>
    <row r="120" spans="1:30" ht="28.5" customHeight="1">
      <c r="B120" s="4"/>
      <c r="C120" s="1"/>
      <c r="D120" s="1"/>
      <c r="E120" s="395" t="str">
        <f>VLOOKUP(E119,Schlüssel!$A$5:$K$12,2)</f>
        <v>Bad Tölz 1</v>
      </c>
      <c r="F120" s="396"/>
      <c r="G120" s="395" t="str">
        <f>VLOOKUP(G119,Schlüssel!$A$5:$K$12,2)</f>
        <v>Highroller Rosenheim 1</v>
      </c>
      <c r="H120" s="396"/>
      <c r="I120" s="395" t="str">
        <f>VLOOKUP(I119,Schlüssel!$A$5:$K$12,2)</f>
        <v>EMAX 1</v>
      </c>
      <c r="J120" s="396"/>
      <c r="K120" s="395" t="str">
        <f>VLOOKUP(K119,Schlüssel!$A$5:$K$12,2)</f>
        <v>Highroller Rosenheim 2</v>
      </c>
      <c r="L120" s="396"/>
      <c r="M120" s="395" t="str">
        <f>VLOOKUP(M119,Schlüssel!$A$5:$K$12,2)</f>
        <v>Bowling Jugend Bayern 1</v>
      </c>
      <c r="N120" s="396"/>
      <c r="O120" s="397"/>
      <c r="P120" s="397"/>
    </row>
    <row r="121" spans="1:30" ht="12" customHeight="1">
      <c r="B121" s="4"/>
      <c r="C121" s="1"/>
      <c r="D121" s="1"/>
      <c r="E121" s="394"/>
      <c r="F121" s="394"/>
      <c r="G121" s="394"/>
      <c r="H121" s="394"/>
      <c r="I121" s="394"/>
      <c r="J121" s="394"/>
      <c r="K121" s="394"/>
      <c r="L121" s="394"/>
      <c r="M121" s="394"/>
      <c r="N121" s="394"/>
      <c r="O121" s="353"/>
      <c r="P121" s="353"/>
    </row>
    <row r="122" spans="1:30" ht="16.2" customHeight="1">
      <c r="B122" s="39" t="s">
        <v>0</v>
      </c>
      <c r="C122" s="40"/>
      <c r="D122" s="40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3"/>
      <c r="P122" s="393"/>
    </row>
    <row r="123" spans="1:30" ht="16.2" customHeight="1">
      <c r="B123" s="39" t="s">
        <v>2</v>
      </c>
      <c r="C123" s="40"/>
      <c r="D123" s="40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3"/>
      <c r="P123" s="393"/>
    </row>
    <row r="124" spans="1:30" ht="16.2" customHeight="1">
      <c r="B124" s="39" t="s">
        <v>3</v>
      </c>
      <c r="C124" s="40"/>
      <c r="D124" s="40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3"/>
      <c r="P124" s="393"/>
    </row>
    <row r="125" spans="1:30" ht="15.75" customHeight="1">
      <c r="B125" s="41" t="s">
        <v>1792</v>
      </c>
      <c r="C125" s="42"/>
      <c r="D125" s="42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41"/>
      <c r="P125" s="341"/>
    </row>
    <row r="126" spans="1:30" ht="21" customHeight="1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6">
        <f>Schlüssel!$BU$1</f>
        <v>45787</v>
      </c>
      <c r="N126" s="406"/>
      <c r="O126" s="406"/>
      <c r="AD126" s="76"/>
    </row>
    <row r="127" spans="1:30" ht="17.25" customHeight="1" thickBot="1">
      <c r="A127" s="53"/>
      <c r="B127" s="54">
        <f>+B102+1</f>
        <v>6</v>
      </c>
      <c r="C127" s="35" t="s">
        <v>1787</v>
      </c>
      <c r="D127" s="35"/>
      <c r="E127" s="72" t="str">
        <f>Schlüssel!$BK$2</f>
        <v>Bad Tölz Flint Bowling</v>
      </c>
      <c r="G127" s="66"/>
      <c r="H127" s="66"/>
      <c r="I127" s="66"/>
      <c r="J127" s="66"/>
      <c r="L127" s="66"/>
      <c r="M127" s="34" t="s">
        <v>1785</v>
      </c>
      <c r="N127" s="38">
        <v>4</v>
      </c>
      <c r="O127" s="33"/>
      <c r="AD127" s="77"/>
    </row>
    <row r="128" spans="1:30" ht="15.75" customHeight="1" thickBot="1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3.8" thickBot="1">
      <c r="A129" s="6"/>
      <c r="B129" s="7"/>
      <c r="C129" s="43"/>
      <c r="D129" s="43"/>
      <c r="E129" s="47" t="s">
        <v>10</v>
      </c>
      <c r="F129" s="7">
        <f>VLOOKUP(B127,Schlüssel!$A$5:$DZ$12,73)</f>
        <v>3</v>
      </c>
      <c r="G129" s="51" t="s">
        <v>10</v>
      </c>
      <c r="H129" s="7">
        <f>VLOOKUP(B127,Schlüssel!$A$5:$DZ$12,74)</f>
        <v>1</v>
      </c>
      <c r="I129" s="51" t="s">
        <v>10</v>
      </c>
      <c r="J129" s="7">
        <f>VLOOKUP(B127,Schlüssel!$A$5:$DZ$12,75)</f>
        <v>6</v>
      </c>
      <c r="K129" s="51" t="s">
        <v>10</v>
      </c>
      <c r="L129" s="7">
        <f>VLOOKUP(B127,Schlüssel!$A$5:$DZ$12,76)</f>
        <v>2</v>
      </c>
      <c r="M129" s="51" t="s">
        <v>10</v>
      </c>
      <c r="N129" s="57">
        <f>VLOOKUP(B127,Schlüssel!$A$5:$DZ$12,77)</f>
        <v>7</v>
      </c>
    </row>
    <row r="130" spans="1:16" ht="20.25" customHeight="1">
      <c r="B130" s="44" t="s">
        <v>1</v>
      </c>
      <c r="C130" s="45"/>
      <c r="D130" s="45"/>
      <c r="E130" s="407" t="s">
        <v>1793</v>
      </c>
      <c r="F130" s="408"/>
      <c r="G130" s="407" t="s">
        <v>1794</v>
      </c>
      <c r="H130" s="408"/>
      <c r="I130" s="407" t="s">
        <v>1795</v>
      </c>
      <c r="J130" s="408"/>
      <c r="K130" s="407" t="s">
        <v>1796</v>
      </c>
      <c r="L130" s="408"/>
      <c r="M130" s="407" t="s">
        <v>1797</v>
      </c>
      <c r="N130" s="408"/>
      <c r="O130" s="409" t="s">
        <v>1792</v>
      </c>
      <c r="P130" s="410"/>
    </row>
    <row r="131" spans="1:16" ht="15" customHeight="1" thickBot="1">
      <c r="B131" s="9" t="s">
        <v>1798</v>
      </c>
      <c r="C131" s="48" t="s">
        <v>1799</v>
      </c>
      <c r="D131" s="48" t="s">
        <v>2264</v>
      </c>
      <c r="E131" s="464" t="s">
        <v>1800</v>
      </c>
      <c r="F131" s="465" t="s">
        <v>1801</v>
      </c>
      <c r="G131" s="464" t="s">
        <v>1800</v>
      </c>
      <c r="H131" s="465" t="s">
        <v>1801</v>
      </c>
      <c r="I131" s="464" t="s">
        <v>1800</v>
      </c>
      <c r="J131" s="465" t="s">
        <v>1801</v>
      </c>
      <c r="K131" s="464" t="s">
        <v>1800</v>
      </c>
      <c r="L131" s="465" t="s">
        <v>1801</v>
      </c>
      <c r="M131" s="464" t="s">
        <v>1800</v>
      </c>
      <c r="N131" s="465" t="s">
        <v>1801</v>
      </c>
      <c r="O131" s="464" t="s">
        <v>1800</v>
      </c>
      <c r="P131" s="465" t="s">
        <v>1801</v>
      </c>
    </row>
    <row r="132" spans="1:16" ht="16.95" customHeight="1">
      <c r="A132" s="403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58"/>
      <c r="F132" s="459"/>
      <c r="G132" s="458"/>
      <c r="H132" s="459"/>
      <c r="I132" s="458"/>
      <c r="J132" s="459"/>
      <c r="K132" s="458"/>
      <c r="L132" s="459"/>
      <c r="M132" s="458"/>
      <c r="N132" s="459"/>
      <c r="O132" s="458"/>
      <c r="P132" s="459"/>
    </row>
    <row r="133" spans="1:16" ht="16.95" customHeight="1">
      <c r="A133" s="404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60"/>
      <c r="F133" s="461"/>
      <c r="G133" s="460"/>
      <c r="H133" s="461"/>
      <c r="I133" s="460"/>
      <c r="J133" s="461"/>
      <c r="K133" s="460"/>
      <c r="L133" s="461"/>
      <c r="M133" s="460"/>
      <c r="N133" s="461"/>
      <c r="O133" s="460"/>
      <c r="P133" s="461"/>
    </row>
    <row r="134" spans="1:16" ht="16.95" customHeight="1" thickBot="1">
      <c r="A134" s="405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62"/>
      <c r="F134" s="463"/>
      <c r="G134" s="462"/>
      <c r="H134" s="463"/>
      <c r="I134" s="462"/>
      <c r="J134" s="463"/>
      <c r="K134" s="462"/>
      <c r="L134" s="463"/>
      <c r="M134" s="462"/>
      <c r="N134" s="463"/>
      <c r="O134" s="462"/>
      <c r="P134" s="463"/>
    </row>
    <row r="135" spans="1:16" ht="16.95" customHeight="1">
      <c r="A135" s="403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58"/>
      <c r="F135" s="459"/>
      <c r="G135" s="458"/>
      <c r="H135" s="459"/>
      <c r="I135" s="458"/>
      <c r="J135" s="459"/>
      <c r="K135" s="458"/>
      <c r="L135" s="459"/>
      <c r="M135" s="458"/>
      <c r="N135" s="459"/>
      <c r="O135" s="458"/>
      <c r="P135" s="459"/>
    </row>
    <row r="136" spans="1:16" ht="16.95" customHeight="1">
      <c r="A136" s="404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60"/>
      <c r="F136" s="461"/>
      <c r="G136" s="460"/>
      <c r="H136" s="461"/>
      <c r="I136" s="460"/>
      <c r="J136" s="461"/>
      <c r="K136" s="460"/>
      <c r="L136" s="461"/>
      <c r="M136" s="460"/>
      <c r="N136" s="461"/>
      <c r="O136" s="460"/>
      <c r="P136" s="461"/>
    </row>
    <row r="137" spans="1:16" ht="16.95" customHeight="1" thickBot="1">
      <c r="A137" s="405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62"/>
      <c r="F137" s="463"/>
      <c r="G137" s="462"/>
      <c r="H137" s="463"/>
      <c r="I137" s="462"/>
      <c r="J137" s="463"/>
      <c r="K137" s="462"/>
      <c r="L137" s="463"/>
      <c r="M137" s="462"/>
      <c r="N137" s="463"/>
      <c r="O137" s="462"/>
      <c r="P137" s="463"/>
    </row>
    <row r="138" spans="1:16" ht="16.95" customHeight="1">
      <c r="A138" s="403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58"/>
      <c r="F138" s="459"/>
      <c r="G138" s="458"/>
      <c r="H138" s="459"/>
      <c r="I138" s="458"/>
      <c r="J138" s="459"/>
      <c r="K138" s="458"/>
      <c r="L138" s="459"/>
      <c r="M138" s="458"/>
      <c r="N138" s="459"/>
      <c r="O138" s="458"/>
      <c r="P138" s="459"/>
    </row>
    <row r="139" spans="1:16" ht="16.95" customHeight="1">
      <c r="A139" s="404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60"/>
      <c r="F139" s="461"/>
      <c r="G139" s="460"/>
      <c r="H139" s="461"/>
      <c r="I139" s="460"/>
      <c r="J139" s="461"/>
      <c r="K139" s="460"/>
      <c r="L139" s="461"/>
      <c r="M139" s="460"/>
      <c r="N139" s="461"/>
      <c r="O139" s="460"/>
      <c r="P139" s="461"/>
    </row>
    <row r="140" spans="1:16" ht="16.95" customHeight="1" thickBot="1">
      <c r="A140" s="405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62"/>
      <c r="F140" s="463"/>
      <c r="G140" s="462"/>
      <c r="H140" s="463"/>
      <c r="I140" s="462"/>
      <c r="J140" s="463"/>
      <c r="K140" s="462"/>
      <c r="L140" s="463"/>
      <c r="M140" s="462"/>
      <c r="N140" s="463"/>
      <c r="O140" s="462"/>
      <c r="P140" s="463"/>
    </row>
    <row r="141" spans="1:16" ht="27.75" customHeight="1" thickBot="1">
      <c r="B141" s="11"/>
      <c r="C141" s="25"/>
      <c r="D141" s="204"/>
      <c r="E141" s="456"/>
      <c r="F141" s="457"/>
      <c r="G141" s="456"/>
      <c r="H141" s="457"/>
      <c r="I141" s="456"/>
      <c r="J141" s="457"/>
      <c r="K141" s="456"/>
      <c r="L141" s="457"/>
      <c r="M141" s="456"/>
      <c r="N141" s="457"/>
      <c r="O141" s="456"/>
      <c r="P141" s="457"/>
    </row>
    <row r="142" spans="1:16" ht="24" customHeight="1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>
      <c r="B144" s="211" t="s">
        <v>1790</v>
      </c>
      <c r="C144" s="42" t="s">
        <v>1791</v>
      </c>
      <c r="D144" s="42"/>
      <c r="E144" s="398">
        <f>VLOOKUP(B127,Schlüssel!$A$5:$DZ$12,63)</f>
        <v>3</v>
      </c>
      <c r="F144" s="398"/>
      <c r="G144" s="398">
        <f>VLOOKUP(B127,Schlüssel!$A$5:$DZ$12,64)</f>
        <v>4</v>
      </c>
      <c r="H144" s="398"/>
      <c r="I144" s="398">
        <f>VLOOKUP(B127,Schlüssel!$A$5:$DZ$12,65)</f>
        <v>7</v>
      </c>
      <c r="J144" s="398"/>
      <c r="K144" s="398">
        <f>VLOOKUP(B127,Schlüssel!$A$5:$DZ$12,66)</f>
        <v>1</v>
      </c>
      <c r="L144" s="398"/>
      <c r="M144" s="398">
        <f>VLOOKUP(B127,Schlüssel!$A$5:$DZ$12,67)</f>
        <v>5</v>
      </c>
      <c r="N144" s="398"/>
      <c r="O144" s="399"/>
      <c r="P144" s="399"/>
    </row>
    <row r="145" spans="1:30" ht="28.5" customHeight="1">
      <c r="B145" s="4"/>
      <c r="C145" s="1"/>
      <c r="D145" s="1"/>
      <c r="E145" s="395" t="str">
        <f>VLOOKUP(E144,Schlüssel!$A$5:$K$12,2)</f>
        <v>Highroller Rosenheim 2</v>
      </c>
      <c r="F145" s="396"/>
      <c r="G145" s="395" t="str">
        <f>VLOOKUP(G144,Schlüssel!$A$5:$K$12,2)</f>
        <v>Highroller Rosenheim 3</v>
      </c>
      <c r="H145" s="396"/>
      <c r="I145" s="395" t="str">
        <f>VLOOKUP(I144,Schlüssel!$A$5:$K$12,2)</f>
        <v>BK München 1</v>
      </c>
      <c r="J145" s="396"/>
      <c r="K145" s="395" t="str">
        <f>VLOOKUP(K144,Schlüssel!$A$5:$K$12,2)</f>
        <v>Bad Tölz 1</v>
      </c>
      <c r="L145" s="396"/>
      <c r="M145" s="395" t="str">
        <f>VLOOKUP(M144,Schlüssel!$A$5:$K$12,2)</f>
        <v>Berchtesgaden 1</v>
      </c>
      <c r="N145" s="396"/>
      <c r="O145" s="397"/>
      <c r="P145" s="397"/>
    </row>
    <row r="146" spans="1:30" ht="12" customHeight="1">
      <c r="B146" s="4"/>
      <c r="C146" s="1"/>
      <c r="D146" s="1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53"/>
      <c r="P146" s="353"/>
    </row>
    <row r="147" spans="1:30" ht="16.2" customHeight="1">
      <c r="B147" s="39" t="s">
        <v>0</v>
      </c>
      <c r="C147" s="40"/>
      <c r="D147" s="40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3"/>
      <c r="P147" s="393"/>
    </row>
    <row r="148" spans="1:30" ht="16.2" customHeight="1">
      <c r="B148" s="39" t="s">
        <v>2</v>
      </c>
      <c r="C148" s="40"/>
      <c r="D148" s="40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3"/>
      <c r="P148" s="393"/>
    </row>
    <row r="149" spans="1:30" ht="16.2" customHeight="1">
      <c r="B149" s="39" t="s">
        <v>3</v>
      </c>
      <c r="C149" s="40"/>
      <c r="D149" s="40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3"/>
      <c r="P149" s="393"/>
    </row>
    <row r="150" spans="1:30" ht="15.75" customHeight="1">
      <c r="B150" s="41" t="s">
        <v>1792</v>
      </c>
      <c r="C150" s="42"/>
      <c r="D150" s="42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41"/>
      <c r="P150" s="341"/>
    </row>
    <row r="151" spans="1:30" ht="21" customHeight="1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6">
        <f>Schlüssel!$BU$1</f>
        <v>45787</v>
      </c>
      <c r="N151" s="406"/>
      <c r="O151" s="406"/>
      <c r="AD151" s="76"/>
    </row>
    <row r="152" spans="1:30" ht="17.25" customHeight="1" thickBot="1">
      <c r="A152" s="53"/>
      <c r="B152" s="54">
        <f>+B127+1</f>
        <v>7</v>
      </c>
      <c r="C152" s="35" t="s">
        <v>1787</v>
      </c>
      <c r="D152" s="35"/>
      <c r="E152" s="72" t="str">
        <f>Schlüssel!$BK$2</f>
        <v>Bad Tölz Flint Bowling</v>
      </c>
      <c r="G152" s="66"/>
      <c r="H152" s="66"/>
      <c r="I152" s="66"/>
      <c r="J152" s="66"/>
      <c r="L152" s="66"/>
      <c r="M152" s="34" t="s">
        <v>1785</v>
      </c>
      <c r="N152" s="38">
        <v>4</v>
      </c>
      <c r="O152" s="33"/>
      <c r="AD152" s="77"/>
    </row>
    <row r="153" spans="1:30" ht="15.75" customHeight="1" thickBot="1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3.8" thickBot="1">
      <c r="A154" s="6"/>
      <c r="B154" s="7"/>
      <c r="C154" s="43"/>
      <c r="D154" s="43"/>
      <c r="E154" s="47" t="s">
        <v>10</v>
      </c>
      <c r="F154" s="7">
        <f>VLOOKUP(B152,Schlüssel!$A$5:$DZ$12,73)</f>
        <v>2</v>
      </c>
      <c r="G154" s="51" t="s">
        <v>10</v>
      </c>
      <c r="H154" s="7">
        <f>VLOOKUP(B152,Schlüssel!$A$5:$DZ$12,74)</f>
        <v>4</v>
      </c>
      <c r="I154" s="51" t="s">
        <v>10</v>
      </c>
      <c r="J154" s="7">
        <f>VLOOKUP(B152,Schlüssel!$A$5:$DZ$12,75)</f>
        <v>5</v>
      </c>
      <c r="K154" s="51" t="s">
        <v>10</v>
      </c>
      <c r="L154" s="7">
        <f>VLOOKUP(B152,Schlüssel!$A$5:$DZ$12,76)</f>
        <v>3</v>
      </c>
      <c r="M154" s="51" t="s">
        <v>10</v>
      </c>
      <c r="N154" s="57">
        <f>VLOOKUP(B152,Schlüssel!$A$5:$DZ$12,77)</f>
        <v>6</v>
      </c>
    </row>
    <row r="155" spans="1:30" ht="20.25" customHeight="1">
      <c r="B155" s="44" t="s">
        <v>1</v>
      </c>
      <c r="C155" s="45"/>
      <c r="D155" s="45"/>
      <c r="E155" s="407" t="s">
        <v>1793</v>
      </c>
      <c r="F155" s="408"/>
      <c r="G155" s="407" t="s">
        <v>1794</v>
      </c>
      <c r="H155" s="408"/>
      <c r="I155" s="407" t="s">
        <v>1795</v>
      </c>
      <c r="J155" s="408"/>
      <c r="K155" s="407" t="s">
        <v>1796</v>
      </c>
      <c r="L155" s="408"/>
      <c r="M155" s="407" t="s">
        <v>1797</v>
      </c>
      <c r="N155" s="408"/>
      <c r="O155" s="409" t="s">
        <v>1792</v>
      </c>
      <c r="P155" s="410"/>
    </row>
    <row r="156" spans="1:30" ht="15" customHeight="1" thickBot="1">
      <c r="B156" s="9" t="s">
        <v>1798</v>
      </c>
      <c r="C156" s="48" t="s">
        <v>1799</v>
      </c>
      <c r="D156" s="48" t="s">
        <v>2264</v>
      </c>
      <c r="E156" s="464" t="s">
        <v>1800</v>
      </c>
      <c r="F156" s="465" t="s">
        <v>1801</v>
      </c>
      <c r="G156" s="464" t="s">
        <v>1800</v>
      </c>
      <c r="H156" s="465" t="s">
        <v>1801</v>
      </c>
      <c r="I156" s="464" t="s">
        <v>1800</v>
      </c>
      <c r="J156" s="465" t="s">
        <v>1801</v>
      </c>
      <c r="K156" s="464" t="s">
        <v>1800</v>
      </c>
      <c r="L156" s="465" t="s">
        <v>1801</v>
      </c>
      <c r="M156" s="464" t="s">
        <v>1800</v>
      </c>
      <c r="N156" s="465" t="s">
        <v>1801</v>
      </c>
      <c r="O156" s="464" t="s">
        <v>1800</v>
      </c>
      <c r="P156" s="465" t="s">
        <v>1801</v>
      </c>
    </row>
    <row r="157" spans="1:30" ht="16.95" customHeight="1">
      <c r="A157" s="403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58"/>
      <c r="F157" s="459"/>
      <c r="G157" s="458"/>
      <c r="H157" s="459"/>
      <c r="I157" s="458"/>
      <c r="J157" s="459"/>
      <c r="K157" s="458"/>
      <c r="L157" s="459"/>
      <c r="M157" s="458"/>
      <c r="N157" s="459"/>
      <c r="O157" s="458"/>
      <c r="P157" s="459"/>
    </row>
    <row r="158" spans="1:30" ht="16.95" customHeight="1">
      <c r="A158" s="404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60"/>
      <c r="F158" s="461"/>
      <c r="G158" s="460"/>
      <c r="H158" s="461"/>
      <c r="I158" s="460"/>
      <c r="J158" s="461"/>
      <c r="K158" s="460"/>
      <c r="L158" s="461"/>
      <c r="M158" s="460"/>
      <c r="N158" s="461"/>
      <c r="O158" s="460"/>
      <c r="P158" s="461"/>
    </row>
    <row r="159" spans="1:30" ht="16.95" customHeight="1" thickBot="1">
      <c r="A159" s="405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62"/>
      <c r="F159" s="463"/>
      <c r="G159" s="462"/>
      <c r="H159" s="463"/>
      <c r="I159" s="462"/>
      <c r="J159" s="463"/>
      <c r="K159" s="462"/>
      <c r="L159" s="463"/>
      <c r="M159" s="462"/>
      <c r="N159" s="463"/>
      <c r="O159" s="462"/>
      <c r="P159" s="463"/>
    </row>
    <row r="160" spans="1:30" ht="16.95" customHeight="1">
      <c r="A160" s="403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58"/>
      <c r="F160" s="459"/>
      <c r="G160" s="458"/>
      <c r="H160" s="459"/>
      <c r="I160" s="458"/>
      <c r="J160" s="459"/>
      <c r="K160" s="458"/>
      <c r="L160" s="459"/>
      <c r="M160" s="458"/>
      <c r="N160" s="459"/>
      <c r="O160" s="458"/>
      <c r="P160" s="459"/>
    </row>
    <row r="161" spans="1:30" ht="16.95" customHeight="1">
      <c r="A161" s="404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60"/>
      <c r="F161" s="461"/>
      <c r="G161" s="460"/>
      <c r="H161" s="461"/>
      <c r="I161" s="460"/>
      <c r="J161" s="461"/>
      <c r="K161" s="460"/>
      <c r="L161" s="461"/>
      <c r="M161" s="460"/>
      <c r="N161" s="461"/>
      <c r="O161" s="460"/>
      <c r="P161" s="461"/>
    </row>
    <row r="162" spans="1:30" ht="16.95" customHeight="1" thickBot="1">
      <c r="A162" s="405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62"/>
      <c r="F162" s="463"/>
      <c r="G162" s="462"/>
      <c r="H162" s="463"/>
      <c r="I162" s="462"/>
      <c r="J162" s="463"/>
      <c r="K162" s="462"/>
      <c r="L162" s="463"/>
      <c r="M162" s="462"/>
      <c r="N162" s="463"/>
      <c r="O162" s="462"/>
      <c r="P162" s="463"/>
    </row>
    <row r="163" spans="1:30" ht="16.95" customHeight="1">
      <c r="A163" s="403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58"/>
      <c r="F163" s="459"/>
      <c r="G163" s="458"/>
      <c r="H163" s="459"/>
      <c r="I163" s="458"/>
      <c r="J163" s="459"/>
      <c r="K163" s="458"/>
      <c r="L163" s="459"/>
      <c r="M163" s="458"/>
      <c r="N163" s="459"/>
      <c r="O163" s="458"/>
      <c r="P163" s="459"/>
    </row>
    <row r="164" spans="1:30" ht="16.95" customHeight="1">
      <c r="A164" s="404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60"/>
      <c r="F164" s="461"/>
      <c r="G164" s="460"/>
      <c r="H164" s="461"/>
      <c r="I164" s="460"/>
      <c r="J164" s="461"/>
      <c r="K164" s="460"/>
      <c r="L164" s="461"/>
      <c r="M164" s="460"/>
      <c r="N164" s="461"/>
      <c r="O164" s="460"/>
      <c r="P164" s="461"/>
    </row>
    <row r="165" spans="1:30" ht="16.95" customHeight="1" thickBot="1">
      <c r="A165" s="405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62"/>
      <c r="F165" s="463"/>
      <c r="G165" s="462"/>
      <c r="H165" s="463"/>
      <c r="I165" s="462"/>
      <c r="J165" s="463"/>
      <c r="K165" s="462"/>
      <c r="L165" s="463"/>
      <c r="M165" s="462"/>
      <c r="N165" s="463"/>
      <c r="O165" s="462"/>
      <c r="P165" s="463"/>
    </row>
    <row r="166" spans="1:30" ht="27.75" customHeight="1" thickBot="1">
      <c r="B166" s="11"/>
      <c r="C166" s="25"/>
      <c r="D166" s="204"/>
      <c r="E166" s="456"/>
      <c r="F166" s="457"/>
      <c r="G166" s="456"/>
      <c r="H166" s="457"/>
      <c r="I166" s="456"/>
      <c r="J166" s="457"/>
      <c r="K166" s="456"/>
      <c r="L166" s="457"/>
      <c r="M166" s="456"/>
      <c r="N166" s="457"/>
      <c r="O166" s="456"/>
      <c r="P166" s="457"/>
    </row>
    <row r="167" spans="1:30" ht="24" customHeight="1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>
      <c r="B169" s="211" t="s">
        <v>1790</v>
      </c>
      <c r="C169" s="42" t="s">
        <v>1791</v>
      </c>
      <c r="D169" s="42"/>
      <c r="E169" s="398">
        <f>VLOOKUP(B152,Schlüssel!$A$5:$DZ$12,63)</f>
        <v>2</v>
      </c>
      <c r="F169" s="398"/>
      <c r="G169" s="398">
        <f>VLOOKUP(B152,Schlüssel!$A$5:$DZ$12,64)</f>
        <v>1</v>
      </c>
      <c r="H169" s="398"/>
      <c r="I169" s="398">
        <f>VLOOKUP(B152,Schlüssel!$A$5:$DZ$12,65)</f>
        <v>6</v>
      </c>
      <c r="J169" s="398"/>
      <c r="K169" s="398">
        <f>VLOOKUP(B152,Schlüssel!$A$5:$DZ$12,66)</f>
        <v>4</v>
      </c>
      <c r="L169" s="398"/>
      <c r="M169" s="398">
        <f>VLOOKUP(B152,Schlüssel!$A$5:$DZ$12,67)</f>
        <v>8</v>
      </c>
      <c r="N169" s="398"/>
      <c r="O169" s="399"/>
      <c r="P169" s="399"/>
    </row>
    <row r="170" spans="1:30" ht="28.5" customHeight="1">
      <c r="B170" s="4"/>
      <c r="C170" s="1"/>
      <c r="D170" s="1"/>
      <c r="E170" s="395" t="str">
        <f>VLOOKUP(E169,Schlüssel!$A$5:$K$12,2)</f>
        <v>Highroller Rosenheim 1</v>
      </c>
      <c r="F170" s="396"/>
      <c r="G170" s="395" t="str">
        <f>VLOOKUP(G169,Schlüssel!$A$5:$K$12,2)</f>
        <v>Bad Tölz 1</v>
      </c>
      <c r="H170" s="396"/>
      <c r="I170" s="395" t="str">
        <f>VLOOKUP(I169,Schlüssel!$A$5:$K$12,2)</f>
        <v>Bowling Jugend Bayern 1</v>
      </c>
      <c r="J170" s="396"/>
      <c r="K170" s="395" t="str">
        <f>VLOOKUP(K169,Schlüssel!$A$5:$K$12,2)</f>
        <v>Highroller Rosenheim 3</v>
      </c>
      <c r="L170" s="396"/>
      <c r="M170" s="395" t="str">
        <f>VLOOKUP(M169,Schlüssel!$A$5:$K$12,2)</f>
        <v>EMAX 1</v>
      </c>
      <c r="N170" s="396"/>
      <c r="O170" s="397"/>
      <c r="P170" s="397"/>
    </row>
    <row r="171" spans="1:30" ht="12" customHeight="1">
      <c r="B171" s="4"/>
      <c r="C171" s="1"/>
      <c r="D171" s="1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53"/>
      <c r="P171" s="353"/>
    </row>
    <row r="172" spans="1:30" ht="16.2" customHeight="1">
      <c r="B172" s="39" t="s">
        <v>0</v>
      </c>
      <c r="C172" s="40"/>
      <c r="D172" s="40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/>
      <c r="O172" s="393"/>
      <c r="P172" s="393"/>
    </row>
    <row r="173" spans="1:30" ht="16.2" customHeight="1">
      <c r="B173" s="39" t="s">
        <v>2</v>
      </c>
      <c r="C173" s="40"/>
      <c r="D173" s="40"/>
      <c r="E173" s="392"/>
      <c r="F173" s="392"/>
      <c r="G173" s="392"/>
      <c r="H173" s="392"/>
      <c r="I173" s="392"/>
      <c r="J173" s="392"/>
      <c r="K173" s="392"/>
      <c r="L173" s="392"/>
      <c r="M173" s="392"/>
      <c r="N173" s="392"/>
      <c r="O173" s="393"/>
      <c r="P173" s="393"/>
    </row>
    <row r="174" spans="1:30" ht="16.2" customHeight="1">
      <c r="B174" s="39" t="s">
        <v>3</v>
      </c>
      <c r="C174" s="40"/>
      <c r="D174" s="40"/>
      <c r="E174" s="392"/>
      <c r="F174" s="392"/>
      <c r="G174" s="392"/>
      <c r="H174" s="392"/>
      <c r="I174" s="392"/>
      <c r="J174" s="392"/>
      <c r="K174" s="392"/>
      <c r="L174" s="392"/>
      <c r="M174" s="392"/>
      <c r="N174" s="392"/>
      <c r="O174" s="393"/>
      <c r="P174" s="393"/>
    </row>
    <row r="175" spans="1:30" ht="15.75" customHeight="1">
      <c r="B175" s="41" t="s">
        <v>1792</v>
      </c>
      <c r="C175" s="42"/>
      <c r="D175" s="42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41"/>
      <c r="P175" s="341"/>
    </row>
    <row r="176" spans="1:30" ht="21" customHeight="1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6">
        <f>Schlüssel!$BU$1</f>
        <v>45787</v>
      </c>
      <c r="N176" s="406"/>
      <c r="O176" s="406"/>
      <c r="AD176" s="76"/>
    </row>
    <row r="177" spans="1:30" ht="17.25" customHeight="1" thickBot="1">
      <c r="A177" s="53"/>
      <c r="B177" s="54">
        <f>+B152+1</f>
        <v>8</v>
      </c>
      <c r="C177" s="35" t="s">
        <v>1787</v>
      </c>
      <c r="D177" s="35"/>
      <c r="E177" s="72" t="str">
        <f>Schlüssel!$BK$2</f>
        <v>Bad Tölz Flint Bowling</v>
      </c>
      <c r="G177" s="66"/>
      <c r="H177" s="66"/>
      <c r="I177" s="66"/>
      <c r="J177" s="66"/>
      <c r="L177" s="66"/>
      <c r="M177" s="34" t="s">
        <v>1785</v>
      </c>
      <c r="N177" s="38">
        <v>4</v>
      </c>
      <c r="O177" s="33"/>
      <c r="AD177" s="77"/>
    </row>
    <row r="178" spans="1:30" ht="15.75" customHeight="1" thickBot="1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3.8" thickBot="1">
      <c r="A179" s="6"/>
      <c r="B179" s="7"/>
      <c r="C179" s="43"/>
      <c r="D179" s="43"/>
      <c r="E179" s="47" t="s">
        <v>10</v>
      </c>
      <c r="F179" s="7">
        <f>VLOOKUP(B177,Schlüssel!$A$5:$DZ$12,73)</f>
        <v>6</v>
      </c>
      <c r="G179" s="51" t="s">
        <v>10</v>
      </c>
      <c r="H179" s="7">
        <f>VLOOKUP(B177,Schlüssel!$A$5:$DZ$12,74)</f>
        <v>7</v>
      </c>
      <c r="I179" s="51" t="s">
        <v>10</v>
      </c>
      <c r="J179" s="7">
        <f>VLOOKUP(B177,Schlüssel!$A$5:$DZ$12,75)</f>
        <v>2</v>
      </c>
      <c r="K179" s="51" t="s">
        <v>10</v>
      </c>
      <c r="L179" s="7">
        <f>VLOOKUP(B177,Schlüssel!$A$5:$DZ$12,76)</f>
        <v>8</v>
      </c>
      <c r="M179" s="51" t="s">
        <v>10</v>
      </c>
      <c r="N179" s="57">
        <f>VLOOKUP(B177,Schlüssel!$A$5:$DZ$12,77)</f>
        <v>5</v>
      </c>
    </row>
    <row r="180" spans="1:30" ht="20.25" customHeight="1">
      <c r="B180" s="44" t="s">
        <v>1</v>
      </c>
      <c r="C180" s="45"/>
      <c r="D180" s="45"/>
      <c r="E180" s="407" t="s">
        <v>1793</v>
      </c>
      <c r="F180" s="408"/>
      <c r="G180" s="407" t="s">
        <v>1794</v>
      </c>
      <c r="H180" s="408"/>
      <c r="I180" s="407" t="s">
        <v>1795</v>
      </c>
      <c r="J180" s="408"/>
      <c r="K180" s="407" t="s">
        <v>1796</v>
      </c>
      <c r="L180" s="408"/>
      <c r="M180" s="407" t="s">
        <v>1797</v>
      </c>
      <c r="N180" s="408"/>
      <c r="O180" s="409" t="s">
        <v>1792</v>
      </c>
      <c r="P180" s="410"/>
    </row>
    <row r="181" spans="1:30" ht="15" customHeight="1" thickBot="1">
      <c r="B181" s="9" t="s">
        <v>1798</v>
      </c>
      <c r="C181" s="48" t="s">
        <v>1799</v>
      </c>
      <c r="D181" s="48" t="s">
        <v>2264</v>
      </c>
      <c r="E181" s="464" t="s">
        <v>1800</v>
      </c>
      <c r="F181" s="465" t="s">
        <v>1801</v>
      </c>
      <c r="G181" s="464" t="s">
        <v>1800</v>
      </c>
      <c r="H181" s="465" t="s">
        <v>1801</v>
      </c>
      <c r="I181" s="464" t="s">
        <v>1800</v>
      </c>
      <c r="J181" s="465" t="s">
        <v>1801</v>
      </c>
      <c r="K181" s="464" t="s">
        <v>1800</v>
      </c>
      <c r="L181" s="465" t="s">
        <v>1801</v>
      </c>
      <c r="M181" s="464" t="s">
        <v>1800</v>
      </c>
      <c r="N181" s="465" t="s">
        <v>1801</v>
      </c>
      <c r="O181" s="464" t="s">
        <v>1800</v>
      </c>
      <c r="P181" s="465" t="s">
        <v>1801</v>
      </c>
    </row>
    <row r="182" spans="1:30" ht="16.95" customHeight="1">
      <c r="A182" s="403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58"/>
      <c r="F182" s="459"/>
      <c r="G182" s="458"/>
      <c r="H182" s="459"/>
      <c r="I182" s="458"/>
      <c r="J182" s="459"/>
      <c r="K182" s="458"/>
      <c r="L182" s="459"/>
      <c r="M182" s="458"/>
      <c r="N182" s="459"/>
      <c r="O182" s="458"/>
      <c r="P182" s="459"/>
    </row>
    <row r="183" spans="1:30" ht="16.95" customHeight="1">
      <c r="A183" s="404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60"/>
      <c r="F183" s="461"/>
      <c r="G183" s="460"/>
      <c r="H183" s="461"/>
      <c r="I183" s="460"/>
      <c r="J183" s="461"/>
      <c r="K183" s="460"/>
      <c r="L183" s="461"/>
      <c r="M183" s="460"/>
      <c r="N183" s="461"/>
      <c r="O183" s="460"/>
      <c r="P183" s="461"/>
    </row>
    <row r="184" spans="1:30" ht="16.95" customHeight="1" thickBot="1">
      <c r="A184" s="405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62"/>
      <c r="F184" s="463"/>
      <c r="G184" s="462"/>
      <c r="H184" s="463"/>
      <c r="I184" s="462"/>
      <c r="J184" s="463"/>
      <c r="K184" s="462"/>
      <c r="L184" s="463"/>
      <c r="M184" s="462"/>
      <c r="N184" s="463"/>
      <c r="O184" s="462"/>
      <c r="P184" s="463"/>
    </row>
    <row r="185" spans="1:30" ht="16.95" customHeight="1">
      <c r="A185" s="403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58"/>
      <c r="F185" s="459"/>
      <c r="G185" s="458"/>
      <c r="H185" s="459"/>
      <c r="I185" s="458"/>
      <c r="J185" s="459"/>
      <c r="K185" s="458"/>
      <c r="L185" s="459"/>
      <c r="M185" s="458"/>
      <c r="N185" s="459"/>
      <c r="O185" s="458"/>
      <c r="P185" s="459"/>
    </row>
    <row r="186" spans="1:30" ht="16.95" customHeight="1">
      <c r="A186" s="404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60"/>
      <c r="F186" s="461"/>
      <c r="G186" s="460"/>
      <c r="H186" s="461"/>
      <c r="I186" s="460"/>
      <c r="J186" s="461"/>
      <c r="K186" s="460"/>
      <c r="L186" s="461"/>
      <c r="M186" s="460"/>
      <c r="N186" s="461"/>
      <c r="O186" s="460"/>
      <c r="P186" s="461"/>
    </row>
    <row r="187" spans="1:30" ht="16.95" customHeight="1" thickBot="1">
      <c r="A187" s="405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62"/>
      <c r="F187" s="463"/>
      <c r="G187" s="462"/>
      <c r="H187" s="463"/>
      <c r="I187" s="462"/>
      <c r="J187" s="463"/>
      <c r="K187" s="462"/>
      <c r="L187" s="463"/>
      <c r="M187" s="462"/>
      <c r="N187" s="463"/>
      <c r="O187" s="462"/>
      <c r="P187" s="463"/>
    </row>
    <row r="188" spans="1:30" ht="16.95" customHeight="1">
      <c r="A188" s="403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58"/>
      <c r="F188" s="459"/>
      <c r="G188" s="458"/>
      <c r="H188" s="459"/>
      <c r="I188" s="458"/>
      <c r="J188" s="459"/>
      <c r="K188" s="458"/>
      <c r="L188" s="459"/>
      <c r="M188" s="458"/>
      <c r="N188" s="459"/>
      <c r="O188" s="458"/>
      <c r="P188" s="459"/>
    </row>
    <row r="189" spans="1:30" ht="16.95" customHeight="1">
      <c r="A189" s="404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60"/>
      <c r="F189" s="461"/>
      <c r="G189" s="460"/>
      <c r="H189" s="461"/>
      <c r="I189" s="460"/>
      <c r="J189" s="461"/>
      <c r="K189" s="460"/>
      <c r="L189" s="461"/>
      <c r="M189" s="460"/>
      <c r="N189" s="461"/>
      <c r="O189" s="460"/>
      <c r="P189" s="461"/>
    </row>
    <row r="190" spans="1:30" ht="16.95" customHeight="1" thickBot="1">
      <c r="A190" s="405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62"/>
      <c r="F190" s="463"/>
      <c r="G190" s="462"/>
      <c r="H190" s="463"/>
      <c r="I190" s="462"/>
      <c r="J190" s="463"/>
      <c r="K190" s="462"/>
      <c r="L190" s="463"/>
      <c r="M190" s="462"/>
      <c r="N190" s="463"/>
      <c r="O190" s="462"/>
      <c r="P190" s="463"/>
    </row>
    <row r="191" spans="1:30" ht="27.75" customHeight="1" thickBot="1">
      <c r="B191" s="11"/>
      <c r="C191" s="25"/>
      <c r="D191" s="204"/>
      <c r="E191" s="456"/>
      <c r="F191" s="457"/>
      <c r="G191" s="456"/>
      <c r="H191" s="457"/>
      <c r="I191" s="456"/>
      <c r="J191" s="457"/>
      <c r="K191" s="456"/>
      <c r="L191" s="457"/>
      <c r="M191" s="456"/>
      <c r="N191" s="457"/>
      <c r="O191" s="456"/>
      <c r="P191" s="457"/>
    </row>
    <row r="192" spans="1:30" ht="24" customHeight="1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>
      <c r="B194" s="211" t="s">
        <v>1790</v>
      </c>
      <c r="C194" s="42" t="s">
        <v>1791</v>
      </c>
      <c r="D194" s="42"/>
      <c r="E194" s="398">
        <f>VLOOKUP(B177,Schlüssel!$A$5:$DZ$12,63)</f>
        <v>4</v>
      </c>
      <c r="F194" s="398"/>
      <c r="G194" s="398">
        <f>VLOOKUP(B177,Schlüssel!$A$5:$DZ$12,64)</f>
        <v>3</v>
      </c>
      <c r="H194" s="398"/>
      <c r="I194" s="398">
        <f>VLOOKUP(B177,Schlüssel!$A$5:$DZ$12,65)</f>
        <v>5</v>
      </c>
      <c r="J194" s="398"/>
      <c r="K194" s="398">
        <f>VLOOKUP(B177,Schlüssel!$A$5:$DZ$12,66)</f>
        <v>2</v>
      </c>
      <c r="L194" s="398"/>
      <c r="M194" s="398">
        <f>VLOOKUP(B177,Schlüssel!$A$5:$DZ$12,67)</f>
        <v>7</v>
      </c>
      <c r="N194" s="398"/>
      <c r="O194" s="399"/>
      <c r="P194" s="399"/>
    </row>
    <row r="195" spans="2:16" ht="28.5" customHeight="1">
      <c r="B195" s="4"/>
      <c r="C195" s="1"/>
      <c r="D195" s="1"/>
      <c r="E195" s="395" t="str">
        <f>VLOOKUP(E194,Schlüssel!$A$5:$K$12,2)</f>
        <v>Highroller Rosenheim 3</v>
      </c>
      <c r="F195" s="396"/>
      <c r="G195" s="395" t="str">
        <f>VLOOKUP(G194,Schlüssel!$A$5:$K$12,2)</f>
        <v>Highroller Rosenheim 2</v>
      </c>
      <c r="H195" s="396"/>
      <c r="I195" s="395" t="str">
        <f>VLOOKUP(I194,Schlüssel!$A$5:$K$12,2)</f>
        <v>Berchtesgaden 1</v>
      </c>
      <c r="J195" s="396"/>
      <c r="K195" s="395" t="str">
        <f>VLOOKUP(K194,Schlüssel!$A$5:$K$12,2)</f>
        <v>Highroller Rosenheim 1</v>
      </c>
      <c r="L195" s="396"/>
      <c r="M195" s="395" t="str">
        <f>VLOOKUP(M194,Schlüssel!$A$5:$K$12,2)</f>
        <v>BK München 1</v>
      </c>
      <c r="N195" s="396"/>
      <c r="O195" s="397"/>
      <c r="P195" s="397"/>
    </row>
    <row r="196" spans="2:16" ht="12" customHeight="1">
      <c r="B196" s="4"/>
      <c r="C196" s="1"/>
      <c r="D196" s="1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53"/>
      <c r="P196" s="353"/>
    </row>
    <row r="197" spans="2:16" ht="16.2" customHeight="1">
      <c r="B197" s="39" t="s">
        <v>0</v>
      </c>
      <c r="C197" s="40"/>
      <c r="D197" s="40"/>
      <c r="E197" s="392"/>
      <c r="F197" s="392"/>
      <c r="G197" s="392"/>
      <c r="H197" s="392"/>
      <c r="I197" s="392"/>
      <c r="J197" s="392"/>
      <c r="K197" s="392"/>
      <c r="L197" s="392"/>
      <c r="M197" s="392"/>
      <c r="N197" s="392"/>
      <c r="O197" s="393"/>
      <c r="P197" s="393"/>
    </row>
    <row r="198" spans="2:16" ht="16.2" customHeight="1">
      <c r="B198" s="39" t="s">
        <v>2</v>
      </c>
      <c r="C198" s="40"/>
      <c r="D198" s="40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/>
      <c r="O198" s="393"/>
      <c r="P198" s="393"/>
    </row>
    <row r="199" spans="2:16" ht="16.2" customHeight="1">
      <c r="B199" s="39" t="s">
        <v>3</v>
      </c>
      <c r="C199" s="40"/>
      <c r="D199" s="40"/>
      <c r="E199" s="392"/>
      <c r="F199" s="392"/>
      <c r="G199" s="392"/>
      <c r="H199" s="392"/>
      <c r="I199" s="392"/>
      <c r="J199" s="392"/>
      <c r="K199" s="392"/>
      <c r="L199" s="392"/>
      <c r="M199" s="392"/>
      <c r="N199" s="392"/>
      <c r="O199" s="393"/>
      <c r="P199" s="393"/>
    </row>
    <row r="200" spans="2:16" ht="15.75" customHeight="1">
      <c r="B200" s="41" t="s">
        <v>1792</v>
      </c>
      <c r="C200" s="42"/>
      <c r="D200" s="42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41"/>
      <c r="P200" s="341"/>
    </row>
  </sheetData>
  <sheetProtection password="D19C" sheet="1" objects="1" scenarios="1"/>
  <mergeCells count="944">
    <mergeCell ref="I6:J6"/>
    <mergeCell ref="E8:F8"/>
    <mergeCell ref="G8:H8"/>
    <mergeCell ref="I8:J8"/>
    <mergeCell ref="K8:L8"/>
    <mergeCell ref="M8:N8"/>
    <mergeCell ref="O20:P20"/>
    <mergeCell ref="E19:F19"/>
    <mergeCell ref="G19:H19"/>
    <mergeCell ref="I19:J19"/>
    <mergeCell ref="K19:L19"/>
    <mergeCell ref="M19:N19"/>
    <mergeCell ref="O11:P11"/>
    <mergeCell ref="E10:F10"/>
    <mergeCell ref="G10:H10"/>
    <mergeCell ref="I10:J10"/>
    <mergeCell ref="K10:L10"/>
    <mergeCell ref="M10:N10"/>
    <mergeCell ref="O10:P10"/>
    <mergeCell ref="O12:P12"/>
    <mergeCell ref="E13:F13"/>
    <mergeCell ref="G13:H13"/>
    <mergeCell ref="I13:J13"/>
    <mergeCell ref="K13:L13"/>
    <mergeCell ref="A7:A9"/>
    <mergeCell ref="A13:A15"/>
    <mergeCell ref="O5:P5"/>
    <mergeCell ref="A10:A12"/>
    <mergeCell ref="K6:L6"/>
    <mergeCell ref="M6:N6"/>
    <mergeCell ref="O6:P6"/>
    <mergeCell ref="E7:F7"/>
    <mergeCell ref="G7:H7"/>
    <mergeCell ref="I7:J7"/>
    <mergeCell ref="E15:F15"/>
    <mergeCell ref="G15:H15"/>
    <mergeCell ref="I15:J15"/>
    <mergeCell ref="K7:L7"/>
    <mergeCell ref="M7:N7"/>
    <mergeCell ref="O7:P7"/>
    <mergeCell ref="E6:F6"/>
    <mergeCell ref="G6:H6"/>
    <mergeCell ref="O8:P8"/>
    <mergeCell ref="E11:F11"/>
    <mergeCell ref="G11:H11"/>
    <mergeCell ref="I11:J11"/>
    <mergeCell ref="K11:L11"/>
    <mergeCell ref="M11:N11"/>
    <mergeCell ref="E22:F22"/>
    <mergeCell ref="G22:H22"/>
    <mergeCell ref="I22:J22"/>
    <mergeCell ref="K22:L22"/>
    <mergeCell ref="M22:N22"/>
    <mergeCell ref="O22:P22"/>
    <mergeCell ref="M1:O1"/>
    <mergeCell ref="E5:F5"/>
    <mergeCell ref="G5:H5"/>
    <mergeCell ref="I5:J5"/>
    <mergeCell ref="K5:L5"/>
    <mergeCell ref="M5:N5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A38:A40"/>
    <mergeCell ref="E38:F38"/>
    <mergeCell ref="G38:H38"/>
    <mergeCell ref="I38:J38"/>
    <mergeCell ref="A35:A37"/>
    <mergeCell ref="A32:A34"/>
    <mergeCell ref="E32:F32"/>
    <mergeCell ref="G32:H32"/>
    <mergeCell ref="I32:J32"/>
    <mergeCell ref="E34:F34"/>
    <mergeCell ref="E33:F33"/>
    <mergeCell ref="G33:H33"/>
    <mergeCell ref="I33:J33"/>
    <mergeCell ref="E37:F37"/>
    <mergeCell ref="G37:H37"/>
    <mergeCell ref="I37:J37"/>
    <mergeCell ref="E40:F40"/>
    <mergeCell ref="G40:H40"/>
    <mergeCell ref="I40:J40"/>
    <mergeCell ref="G34:H34"/>
    <mergeCell ref="I34:J34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A63:A65"/>
    <mergeCell ref="E63:F63"/>
    <mergeCell ref="G63:H63"/>
    <mergeCell ref="I63:J63"/>
    <mergeCell ref="A60:A62"/>
    <mergeCell ref="A57:A59"/>
    <mergeCell ref="E57:F57"/>
    <mergeCell ref="G57:H57"/>
    <mergeCell ref="I57:J57"/>
    <mergeCell ref="E59:F59"/>
    <mergeCell ref="G59:H59"/>
    <mergeCell ref="I59:J59"/>
    <mergeCell ref="E65:F65"/>
    <mergeCell ref="G65:H65"/>
    <mergeCell ref="I65:J65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A88:A90"/>
    <mergeCell ref="E88:F88"/>
    <mergeCell ref="G88:H88"/>
    <mergeCell ref="I88:J88"/>
    <mergeCell ref="A85:A87"/>
    <mergeCell ref="A82:A84"/>
    <mergeCell ref="E82:F82"/>
    <mergeCell ref="G82:H82"/>
    <mergeCell ref="I82:J82"/>
    <mergeCell ref="E84:F84"/>
    <mergeCell ref="G84:H84"/>
    <mergeCell ref="I84:J84"/>
    <mergeCell ref="E90:F90"/>
    <mergeCell ref="G90:H90"/>
    <mergeCell ref="I90:J90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A113:A115"/>
    <mergeCell ref="E113:F113"/>
    <mergeCell ref="G113:H113"/>
    <mergeCell ref="I113:J113"/>
    <mergeCell ref="A110:A112"/>
    <mergeCell ref="A107:A109"/>
    <mergeCell ref="E107:F107"/>
    <mergeCell ref="G107:H107"/>
    <mergeCell ref="I107:J107"/>
    <mergeCell ref="E109:F109"/>
    <mergeCell ref="G109:H109"/>
    <mergeCell ref="I109:J109"/>
    <mergeCell ref="E115:F115"/>
    <mergeCell ref="G115:H115"/>
    <mergeCell ref="I115:J115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A138:A140"/>
    <mergeCell ref="E138:F138"/>
    <mergeCell ref="G138:H138"/>
    <mergeCell ref="I138:J138"/>
    <mergeCell ref="A135:A137"/>
    <mergeCell ref="A132:A134"/>
    <mergeCell ref="E132:F132"/>
    <mergeCell ref="G132:H132"/>
    <mergeCell ref="I132:J132"/>
    <mergeCell ref="E134:F134"/>
    <mergeCell ref="G134:H134"/>
    <mergeCell ref="I134:J134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9:F9"/>
    <mergeCell ref="G9:H9"/>
    <mergeCell ref="I9:J9"/>
    <mergeCell ref="K9:L9"/>
    <mergeCell ref="M9:N9"/>
    <mergeCell ref="O9:P9"/>
    <mergeCell ref="O13:P13"/>
    <mergeCell ref="E14:F14"/>
    <mergeCell ref="G14:H14"/>
    <mergeCell ref="I14:J14"/>
    <mergeCell ref="K14:L14"/>
    <mergeCell ref="M14:N14"/>
    <mergeCell ref="O14:P14"/>
    <mergeCell ref="E12:F12"/>
    <mergeCell ref="G12:H12"/>
    <mergeCell ref="I12:J12"/>
    <mergeCell ref="K12:L12"/>
    <mergeCell ref="M12:N12"/>
    <mergeCell ref="M13:N13"/>
    <mergeCell ref="E31:F31"/>
    <mergeCell ref="G31:H31"/>
    <mergeCell ref="I31:J31"/>
    <mergeCell ref="K31:L31"/>
    <mergeCell ref="M31:N31"/>
    <mergeCell ref="O31:P31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M26:O26"/>
    <mergeCell ref="E30:F30"/>
    <mergeCell ref="G30:H30"/>
    <mergeCell ref="I30:J30"/>
    <mergeCell ref="K30:L30"/>
    <mergeCell ref="M30:N30"/>
    <mergeCell ref="O30:P30"/>
    <mergeCell ref="E25:F25"/>
    <mergeCell ref="G25:H25"/>
    <mergeCell ref="K32:L32"/>
    <mergeCell ref="M32:N32"/>
    <mergeCell ref="O32:P32"/>
    <mergeCell ref="I25:J25"/>
    <mergeCell ref="K25:L25"/>
    <mergeCell ref="M25:N25"/>
    <mergeCell ref="O25:P25"/>
    <mergeCell ref="K33:L33"/>
    <mergeCell ref="M33:N33"/>
    <mergeCell ref="O33:P33"/>
    <mergeCell ref="K34:L34"/>
    <mergeCell ref="M34:N34"/>
    <mergeCell ref="O34:P34"/>
    <mergeCell ref="E35:F35"/>
    <mergeCell ref="G35:H35"/>
    <mergeCell ref="I35:J35"/>
    <mergeCell ref="K35:L35"/>
    <mergeCell ref="M35:N35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1:F141"/>
    <mergeCell ref="G141:H141"/>
    <mergeCell ref="I141:J141"/>
    <mergeCell ref="K141:L141"/>
    <mergeCell ref="M141:N141"/>
    <mergeCell ref="O141:P141"/>
    <mergeCell ref="E140:F140"/>
    <mergeCell ref="G140:H140"/>
    <mergeCell ref="I140:J140"/>
    <mergeCell ref="K140:L140"/>
    <mergeCell ref="M140:N140"/>
    <mergeCell ref="O140:P140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264" priority="22" stopIfTrue="1" operator="equal">
      <formula>0</formula>
    </cfRule>
  </conditionalFormatting>
  <conditionalFormatting sqref="D32:D40">
    <cfRule type="cellIs" dxfId="263" priority="19" stopIfTrue="1" operator="equal">
      <formula>0</formula>
    </cfRule>
  </conditionalFormatting>
  <conditionalFormatting sqref="D57:D65">
    <cfRule type="cellIs" dxfId="262" priority="16" stopIfTrue="1" operator="equal">
      <formula>0</formula>
    </cfRule>
  </conditionalFormatting>
  <conditionalFormatting sqref="D82:D90">
    <cfRule type="cellIs" dxfId="261" priority="13" stopIfTrue="1" operator="equal">
      <formula>0</formula>
    </cfRule>
  </conditionalFormatting>
  <conditionalFormatting sqref="D107:D115">
    <cfRule type="cellIs" dxfId="260" priority="10" stopIfTrue="1" operator="equal">
      <formula>0</formula>
    </cfRule>
  </conditionalFormatting>
  <conditionalFormatting sqref="D132:D140">
    <cfRule type="cellIs" dxfId="259" priority="7" stopIfTrue="1" operator="equal">
      <formula>0</formula>
    </cfRule>
  </conditionalFormatting>
  <conditionalFormatting sqref="D157:D165">
    <cfRule type="cellIs" dxfId="258" priority="4" stopIfTrue="1" operator="equal">
      <formula>0</formula>
    </cfRule>
  </conditionalFormatting>
  <conditionalFormatting sqref="D182:D190">
    <cfRule type="cellIs" dxfId="257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  <pageSetUpPr fitToPage="1"/>
  </sheetPr>
  <dimension ref="A1:BN208"/>
  <sheetViews>
    <sheetView view="pageBreakPreview" zoomScaleNormal="100" zoomScaleSheetLayoutView="100" workbookViewId="0">
      <selection activeCell="V24" sqref="V24"/>
    </sheetView>
  </sheetViews>
  <sheetFormatPr baseColWidth="10" defaultRowHeight="13.2"/>
  <cols>
    <col min="1" max="1" width="4.44140625" customWidth="1"/>
    <col min="2" max="2" width="15.6640625" bestFit="1" customWidth="1"/>
    <col min="3" max="3" width="6.44140625" bestFit="1" customWidth="1"/>
    <col min="4" max="4" width="7.44140625" bestFit="1" customWidth="1"/>
    <col min="5" max="5" width="6.33203125" bestFit="1" customWidth="1"/>
    <col min="6" max="6" width="8.33203125" bestFit="1" customWidth="1"/>
    <col min="7" max="7" width="4.44140625" bestFit="1" customWidth="1"/>
    <col min="8" max="8" width="5.6640625" customWidth="1"/>
    <col min="9" max="9" width="8.33203125" bestFit="1" customWidth="1"/>
    <col min="10" max="10" width="4.44140625" bestFit="1" customWidth="1"/>
    <col min="11" max="11" width="5.6640625" customWidth="1"/>
    <col min="12" max="12" width="8.33203125" bestFit="1" customWidth="1"/>
    <col min="13" max="13" width="4.44140625" bestFit="1" customWidth="1"/>
    <col min="14" max="14" width="5.6640625" customWidth="1"/>
    <col min="15" max="15" width="8.33203125" bestFit="1" customWidth="1"/>
    <col min="16" max="16" width="4.44140625" bestFit="1" customWidth="1"/>
    <col min="17" max="17" width="5.6640625" bestFit="1" customWidth="1"/>
    <col min="18" max="18" width="8.33203125" bestFit="1" customWidth="1"/>
    <col min="19" max="19" width="4.44140625" bestFit="1" customWidth="1"/>
    <col min="20" max="20" width="6.33203125" customWidth="1"/>
    <col min="21" max="21" width="8.33203125" bestFit="1" customWidth="1"/>
    <col min="22" max="22" width="4.4414062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6" width="6" style="169" customWidth="1"/>
    <col min="37" max="37" width="6" style="169" hidden="1" customWidth="1"/>
    <col min="38" max="38" width="7" style="169" hidden="1" customWidth="1"/>
    <col min="39" max="39" width="7" hidden="1" customWidth="1"/>
    <col min="40" max="40" width="8" hidden="1" customWidth="1"/>
    <col min="41" max="41" width="8.33203125" hidden="1" customWidth="1"/>
    <col min="42" max="42" width="3.44140625" hidden="1" customWidth="1"/>
    <col min="43" max="43" width="5" style="169" hidden="1" customWidth="1"/>
    <col min="44" max="44" width="3.6640625" style="169" hidden="1" customWidth="1"/>
    <col min="45" max="45" width="6.21875" style="169" hidden="1" customWidth="1"/>
    <col min="46" max="46" width="4.44140625" style="169" hidden="1" customWidth="1"/>
    <col min="47" max="47" width="4.77734375" style="169" hidden="1" customWidth="1"/>
    <col min="48" max="48" width="3.6640625" style="169" hidden="1" customWidth="1"/>
    <col min="49" max="49" width="4.6640625" style="169" hidden="1" customWidth="1"/>
    <col min="50" max="50" width="6.6640625" style="169" hidden="1" customWidth="1"/>
    <col min="51" max="55" width="3.33203125" style="169" hidden="1" customWidth="1"/>
    <col min="56" max="56" width="11.44140625" style="169" hidden="1" customWidth="1"/>
    <col min="57" max="57" width="4.21875" style="169" hidden="1" customWidth="1"/>
    <col min="58" max="58" width="7.33203125" style="169" hidden="1" customWidth="1"/>
    <col min="59" max="59" width="5" style="169" hidden="1" customWidth="1"/>
    <col min="60" max="60" width="15.33203125" style="169" hidden="1" customWidth="1"/>
    <col min="61" max="62" width="4.21875" style="169" hidden="1" customWidth="1"/>
    <col min="63" max="63" width="6.21875" style="169" hidden="1" customWidth="1"/>
    <col min="64" max="64" width="9" style="169" hidden="1" customWidth="1"/>
    <col min="65" max="65" width="4.21875" style="169" hidden="1" customWidth="1"/>
    <col min="66" max="66" width="11.44140625" hidden="1" customWidth="1"/>
    <col min="67" max="79" width="11.44140625" customWidth="1"/>
  </cols>
  <sheetData>
    <row r="1" spans="1:65" ht="21" customHeight="1">
      <c r="A1" s="255"/>
      <c r="B1" s="7" t="s">
        <v>1802</v>
      </c>
      <c r="C1" s="24"/>
      <c r="D1" s="24"/>
      <c r="E1" s="35" t="s">
        <v>1786</v>
      </c>
      <c r="F1" s="35"/>
      <c r="G1" s="427" t="str">
        <f>Schlüssel!$C$1</f>
        <v>Landesliga Jugend</v>
      </c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06">
        <f>Schlüssel!$BU$1</f>
        <v>45787</v>
      </c>
      <c r="T1" s="406"/>
      <c r="U1" s="406"/>
      <c r="V1" s="406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>
      <c r="A2" s="53"/>
      <c r="B2" s="54">
        <v>1</v>
      </c>
      <c r="E2" s="35" t="s">
        <v>1787</v>
      </c>
      <c r="F2" s="35"/>
      <c r="G2" s="413" t="str">
        <f>Schlüssel!$BK$2</f>
        <v>Bad Tölz Flint Bowling</v>
      </c>
      <c r="H2" s="413"/>
      <c r="I2" s="413"/>
      <c r="J2" s="413"/>
      <c r="K2" s="413"/>
      <c r="L2" s="413"/>
      <c r="M2" s="413"/>
      <c r="N2" s="413"/>
      <c r="O2" s="413"/>
      <c r="P2" s="66"/>
      <c r="Q2" s="411" t="s">
        <v>1785</v>
      </c>
      <c r="R2" s="412"/>
      <c r="S2" s="38">
        <v>4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>
      <c r="B3" s="414" t="str">
        <f>VLOOKUP(B2,Schlüssel!$A$5:$B$12,2)</f>
        <v>Bad Tölz 1</v>
      </c>
      <c r="C3" s="415"/>
      <c r="D3" s="415"/>
      <c r="E3" s="415"/>
      <c r="F3" s="415"/>
      <c r="G3" s="416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3.8" hidden="1" thickBot="1">
      <c r="A4" s="6"/>
      <c r="B4" s="7"/>
      <c r="C4" s="43"/>
      <c r="D4" s="43"/>
      <c r="E4" s="162" t="s">
        <v>10</v>
      </c>
      <c r="F4" s="220"/>
      <c r="G4" s="159">
        <f>VLOOKUP(B2,Schlüssel!$A$5:$EK$12,73)</f>
        <v>8</v>
      </c>
      <c r="H4" s="161" t="s">
        <v>10</v>
      </c>
      <c r="I4" s="220"/>
      <c r="J4" s="159">
        <f>VLOOKUP(B2,Schlüssel!$A$5:$EK$12,74)</f>
        <v>3</v>
      </c>
      <c r="K4" s="161" t="s">
        <v>10</v>
      </c>
      <c r="L4" s="220"/>
      <c r="M4" s="159">
        <f>VLOOKUP(B2,Schlüssel!$A$5:$EK$12,75)</f>
        <v>7</v>
      </c>
      <c r="N4" s="161" t="s">
        <v>10</v>
      </c>
      <c r="O4" s="220"/>
      <c r="P4" s="159">
        <f>VLOOKUP(B2,Schlüssel!$A$5:$EK$12,76)</f>
        <v>1</v>
      </c>
      <c r="Q4" s="161" t="s">
        <v>10</v>
      </c>
      <c r="R4" s="220"/>
      <c r="S4" s="160">
        <f>VLOOKUP(B2,Schlüssel!$A$5:$EK$12,77)</f>
        <v>4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>
      <c r="B5" s="44" t="s">
        <v>1</v>
      </c>
      <c r="C5" s="208"/>
      <c r="D5" s="217"/>
      <c r="E5" s="423" t="s">
        <v>1793</v>
      </c>
      <c r="F5" s="423"/>
      <c r="G5" s="408"/>
      <c r="H5" s="407" t="s">
        <v>1794</v>
      </c>
      <c r="I5" s="423"/>
      <c r="J5" s="408"/>
      <c r="K5" s="407" t="s">
        <v>1795</v>
      </c>
      <c r="L5" s="423"/>
      <c r="M5" s="408"/>
      <c r="N5" s="407" t="s">
        <v>1796</v>
      </c>
      <c r="O5" s="423"/>
      <c r="P5" s="408"/>
      <c r="Q5" s="407" t="s">
        <v>1797</v>
      </c>
      <c r="R5" s="423"/>
      <c r="S5" s="437"/>
      <c r="T5" s="439" t="s">
        <v>1792</v>
      </c>
      <c r="U5" s="440"/>
      <c r="V5" s="410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6.95" customHeight="1">
      <c r="A7" s="403" t="s">
        <v>0</v>
      </c>
      <c r="B7" s="58" t="str">
        <f>IF(C7=0,"",VLOOKUP(C7,Starter!$A$1:$D$196,2,FALSE))</f>
        <v>Kugler, Laurin</v>
      </c>
      <c r="C7" s="232">
        <v>38845</v>
      </c>
      <c r="D7" s="238">
        <f t="shared" ref="D7:D15" si="0">+AP7</f>
        <v>0</v>
      </c>
      <c r="E7" s="221">
        <v>137</v>
      </c>
      <c r="F7" s="240">
        <f t="shared" ref="F7:F15" si="1">IF(E7&gt;0,E7+$D7,0)</f>
        <v>137</v>
      </c>
      <c r="G7" s="428">
        <f>IF(SUM(F7:F9)+E22=0,0,IF(ABS(SUM(F7:F9))=E22,Spielorte!$A$30/2,IF(ABS(SUM(F7:F9))&gt;E22,Spielorte!$A$30,0)))</f>
        <v>1</v>
      </c>
      <c r="H7" s="221">
        <v>175</v>
      </c>
      <c r="I7" s="240">
        <f t="shared" ref="I7:I15" si="2">IF(H7&gt;0,H7+$D7,0)</f>
        <v>175</v>
      </c>
      <c r="J7" s="428">
        <f>IF(SUM(I7:I9)+H22=0,0,IF(ABS(SUM(I7:I9))=H22,Spielorte!$A$30/2,IF(ABS(SUM(I7:I9))&gt;H22,Spielorte!$A$30,0)))</f>
        <v>1</v>
      </c>
      <c r="K7" s="221">
        <v>160</v>
      </c>
      <c r="L7" s="240">
        <f t="shared" ref="L7:L15" si="3">IF(K7&gt;0,K7+$D7,0)</f>
        <v>160</v>
      </c>
      <c r="M7" s="428">
        <f>IF(SUM(L7:L9)+K22=0,0,IF(ABS(SUM(L7:L9))=K22,Spielorte!$A$30/2,IF(ABS(SUM(L7:L9))&gt;K22,Spielorte!$A$30,0)))</f>
        <v>1</v>
      </c>
      <c r="N7" s="221">
        <v>156</v>
      </c>
      <c r="O7" s="240">
        <f t="shared" ref="O7:O15" si="4">IF(N7&gt;0,N7+$D7,0)</f>
        <v>156</v>
      </c>
      <c r="P7" s="428">
        <f>IF(SUM(O7:O9)+N22=0,0,IF(ABS(SUM(O7:O9))=N22,Spielorte!$A$30/2,IF(ABS(SUM(O7:O9))&gt;N22,Spielorte!$A$30,0)))</f>
        <v>1</v>
      </c>
      <c r="Q7" s="221">
        <v>180</v>
      </c>
      <c r="R7" s="240">
        <f t="shared" ref="R7:R15" si="5">IF(Q7&gt;0,Q7+$D7,0)</f>
        <v>180</v>
      </c>
      <c r="S7" s="428">
        <f>IF(SUM(R7:R9)+Q22=0,0,IF(ABS(SUM(R7:R9))=Q22,Spielorte!$A$30/2,IF(ABS(SUM(R7:R9))&gt;Q22,Spielorte!$A$30,0)))</f>
        <v>1</v>
      </c>
      <c r="T7" s="221">
        <f t="shared" ref="T7:U15" si="6">ABS(SUM(E7:E7))+ABS(SUM(H7:H7))+ABS(SUM(K7:K7))+ABS(SUM(N7:N7))+ABS(SUM(Q7:Q7))</f>
        <v>808</v>
      </c>
      <c r="U7" s="240">
        <f t="shared" si="6"/>
        <v>808</v>
      </c>
      <c r="V7" s="400">
        <f>SUM(G7+J7+M7+P7+S7)</f>
        <v>5</v>
      </c>
      <c r="W7" s="79"/>
      <c r="X7" s="79"/>
      <c r="Y7" s="79"/>
      <c r="Z7" s="79"/>
      <c r="AA7" s="79"/>
      <c r="AB7" s="79"/>
      <c r="AL7" s="169">
        <f>IF(AU7=0,0,IFERROR(INDEX(RanglisteST4!K:K,MATCH(AU7,RanglisteST4!A:A,0)),0))</f>
        <v>182.59</v>
      </c>
      <c r="AM7" s="169">
        <f>IF(AU7=0,0,SUMIF(AU7:AU15,AU7,AV7:AV15))</f>
        <v>808</v>
      </c>
      <c r="AN7" s="169">
        <f>IF(AU7=0,0,SUMIF(AU7:AU15,AU7,AW7:AW15))</f>
        <v>5</v>
      </c>
      <c r="AO7" s="169">
        <f t="shared" ref="AO7:AO15" si="7">IFERROR(AM7/AN7,0)</f>
        <v>161.6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38845</v>
      </c>
      <c r="AV7" s="167">
        <f t="shared" ref="AV7:AV15" si="9">T7</f>
        <v>808</v>
      </c>
      <c r="AW7" s="169">
        <f t="shared" ref="AW7:AW15" si="10">COUNT(AY7:BC7)</f>
        <v>5</v>
      </c>
      <c r="AX7" s="169">
        <f t="shared" ref="AX7:AX15" si="11">COUNTIF(AY7:BC7,"&gt;0")</f>
        <v>5</v>
      </c>
      <c r="AY7" s="169">
        <f t="shared" ref="AY7:AY15" si="12">IF(E7=0,"",E7)</f>
        <v>137</v>
      </c>
      <c r="AZ7" s="169">
        <f t="shared" ref="AZ7:AZ15" si="13">IF(H7=0,"",H7)</f>
        <v>175</v>
      </c>
      <c r="BA7" s="169">
        <f t="shared" ref="BA7:BA15" si="14">IF(K7=0,"",K7)</f>
        <v>160</v>
      </c>
      <c r="BB7" s="169">
        <f t="shared" ref="BB7:BB15" si="15">IF(N7=0,"",N7)</f>
        <v>156</v>
      </c>
      <c r="BC7" s="169">
        <f t="shared" ref="BC7:BC15" si="16">IF(Q7=0,"",Q7)</f>
        <v>180</v>
      </c>
      <c r="BD7" s="170"/>
      <c r="BE7" s="168"/>
      <c r="BF7" s="169">
        <f t="shared" ref="BF7:BF15" si="17">MAX(AY7:BC7)</f>
        <v>180</v>
      </c>
      <c r="BG7" s="169">
        <f t="shared" ref="BG7:BG15" si="18">IF(BF7&lt;MAX(BF:BF),0,BF7+ROW()/1000000000)</f>
        <v>0</v>
      </c>
      <c r="BH7" s="169" t="str">
        <f>+B3</f>
        <v>Bad Tölz 1</v>
      </c>
      <c r="BI7" s="168">
        <f t="shared" ref="BI7:BI15" si="19">RANK(BG7,BG:BG)</f>
        <v>2</v>
      </c>
      <c r="BJ7" s="169">
        <f t="shared" ref="BJ7:BJ15" si="20">SUMIF(AY7:BC7,"&gt;0")</f>
        <v>808</v>
      </c>
      <c r="BK7" s="169">
        <f>IF(COUNTIF(AY7:BC7,"&gt;0")&lt;Spielorte!$A$23,0,AV7/Spielorte!$A$23)</f>
        <v>161.6</v>
      </c>
      <c r="BL7" s="169">
        <f t="shared" ref="BL7:BL15" si="21">IF(BK7&lt;MAX(BK:BK),0,BK7+ROW()/1000000000)</f>
        <v>0</v>
      </c>
      <c r="BM7" s="168">
        <f t="shared" ref="BM7:BM15" si="22">IF(BL7=0,0,RANK(BL7,BL:BL))</f>
        <v>0</v>
      </c>
    </row>
    <row r="8" spans="1:65" ht="16.95" customHeight="1">
      <c r="A8" s="404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9"/>
      <c r="H8" s="222"/>
      <c r="I8" s="241">
        <f t="shared" si="2"/>
        <v>0</v>
      </c>
      <c r="J8" s="429"/>
      <c r="K8" s="222"/>
      <c r="L8" s="241">
        <f t="shared" si="3"/>
        <v>0</v>
      </c>
      <c r="M8" s="429"/>
      <c r="N8" s="222"/>
      <c r="O8" s="241">
        <f t="shared" si="4"/>
        <v>0</v>
      </c>
      <c r="P8" s="429"/>
      <c r="Q8" s="222"/>
      <c r="R8" s="241">
        <f t="shared" si="5"/>
        <v>0</v>
      </c>
      <c r="S8" s="429"/>
      <c r="T8" s="222">
        <f t="shared" si="6"/>
        <v>0</v>
      </c>
      <c r="U8" s="241">
        <f t="shared" si="6"/>
        <v>0</v>
      </c>
      <c r="V8" s="401"/>
      <c r="W8" s="79"/>
      <c r="X8" s="79"/>
      <c r="Y8" s="79"/>
      <c r="Z8" s="79"/>
      <c r="AA8" s="79"/>
      <c r="AB8" s="79"/>
      <c r="AL8" s="169">
        <f>IF(AU8=0,0,IFERROR(INDEX(RanglisteST4!K:K,MATCH(AU8,RanglisteST4!A:A,0)),0))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0</v>
      </c>
      <c r="BH8" s="169" t="str">
        <f t="shared" ref="BH8:BH15" si="23">+BH7</f>
        <v>Bad Tölz 1</v>
      </c>
      <c r="BI8" s="168">
        <f t="shared" si="19"/>
        <v>2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0</v>
      </c>
      <c r="BM8" s="168">
        <f t="shared" si="22"/>
        <v>0</v>
      </c>
    </row>
    <row r="9" spans="1:65" ht="16.95" customHeight="1" thickBot="1">
      <c r="A9" s="405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30"/>
      <c r="H9" s="224"/>
      <c r="I9" s="242">
        <f t="shared" si="2"/>
        <v>0</v>
      </c>
      <c r="J9" s="430"/>
      <c r="K9" s="224"/>
      <c r="L9" s="242">
        <f t="shared" si="3"/>
        <v>0</v>
      </c>
      <c r="M9" s="430"/>
      <c r="N9" s="224"/>
      <c r="O9" s="242">
        <f t="shared" si="4"/>
        <v>0</v>
      </c>
      <c r="P9" s="430"/>
      <c r="Q9" s="224"/>
      <c r="R9" s="242">
        <f t="shared" si="5"/>
        <v>0</v>
      </c>
      <c r="S9" s="430"/>
      <c r="T9" s="224">
        <f t="shared" si="6"/>
        <v>0</v>
      </c>
      <c r="U9" s="242">
        <f t="shared" si="6"/>
        <v>0</v>
      </c>
      <c r="V9" s="402"/>
      <c r="W9" s="79"/>
      <c r="X9" s="79"/>
      <c r="Y9" s="79"/>
      <c r="Z9" s="79"/>
      <c r="AA9" s="79"/>
      <c r="AB9" s="79"/>
      <c r="AL9" s="169">
        <f>IF(AU9=0,0,IFERROR(INDEX(RanglisteST4!K:K,MATCH(AU9,RanglisteST4!A:A,0)),0))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0</v>
      </c>
      <c r="BH9" s="169" t="str">
        <f t="shared" si="23"/>
        <v>Bad Tölz 1</v>
      </c>
      <c r="BI9" s="168">
        <f t="shared" si="19"/>
        <v>2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0</v>
      </c>
      <c r="BM9" s="168">
        <f t="shared" si="22"/>
        <v>0</v>
      </c>
    </row>
    <row r="10" spans="1:65" ht="16.95" customHeight="1">
      <c r="A10" s="403" t="s">
        <v>2</v>
      </c>
      <c r="B10" s="58" t="str">
        <f>IF(C10=0,"",VLOOKUP(C10,Starter!$A$1:$D$196,2,FALSE))</f>
        <v>Sturm, Sebastian</v>
      </c>
      <c r="C10" s="235">
        <v>38772</v>
      </c>
      <c r="D10" s="238">
        <f t="shared" si="0"/>
        <v>8</v>
      </c>
      <c r="E10" s="221">
        <v>151</v>
      </c>
      <c r="F10" s="240">
        <f t="shared" si="1"/>
        <v>159</v>
      </c>
      <c r="G10" s="428">
        <f>IF(SUM(F10:F12)+E23=0,0,IF(ABS(SUM(F10:F12))=E23,Spielorte!$A$30/2,IF(ABS(SUM(F10:F12))&gt;E23,Spielorte!$A$30,0)))</f>
        <v>0</v>
      </c>
      <c r="H10" s="221">
        <v>121</v>
      </c>
      <c r="I10" s="240">
        <f t="shared" si="2"/>
        <v>129</v>
      </c>
      <c r="J10" s="428">
        <f>IF(SUM(I10:I12)+H23=0,0,IF(ABS(SUM(I10:I12))=H23,Spielorte!$A$30/2,IF(ABS(SUM(I10:I12))&gt;H23,Spielorte!$A$30,0)))</f>
        <v>0</v>
      </c>
      <c r="K10" s="221">
        <v>117</v>
      </c>
      <c r="L10" s="240">
        <f t="shared" si="3"/>
        <v>125</v>
      </c>
      <c r="M10" s="428">
        <f>IF(SUM(L10:L12)+K23=0,0,IF(ABS(SUM(L10:L12))=K23,Spielorte!$A$30/2,IF(ABS(SUM(L10:L12))&gt;K23,Spielorte!$A$30,0)))</f>
        <v>0</v>
      </c>
      <c r="N10" s="221">
        <v>130</v>
      </c>
      <c r="O10" s="240">
        <f t="shared" si="4"/>
        <v>138</v>
      </c>
      <c r="P10" s="428">
        <f>IF(SUM(O10:O12)+N23=0,0,IF(ABS(SUM(O10:O12))=N23,Spielorte!$A$30/2,IF(ABS(SUM(O10:O12))&gt;N23,Spielorte!$A$30,0)))</f>
        <v>1</v>
      </c>
      <c r="Q10" s="221">
        <v>156</v>
      </c>
      <c r="R10" s="240">
        <f t="shared" si="5"/>
        <v>164</v>
      </c>
      <c r="S10" s="428">
        <f>IF(SUM(R10:R12)+Q23=0,0,IF(ABS(SUM(R10:R12))=Q23,Spielorte!$A$30/2,IF(ABS(SUM(R10:R12))&gt;Q23,Spielorte!$A$30,0)))</f>
        <v>1</v>
      </c>
      <c r="T10" s="221">
        <f t="shared" si="6"/>
        <v>675</v>
      </c>
      <c r="U10" s="240">
        <f t="shared" si="6"/>
        <v>715</v>
      </c>
      <c r="V10" s="400">
        <f>SUM(G10+J10+M10+P10+S10)</f>
        <v>2</v>
      </c>
      <c r="W10" s="79"/>
      <c r="X10" s="79"/>
      <c r="Y10" s="79"/>
      <c r="Z10" s="79"/>
      <c r="AA10" s="79"/>
      <c r="AB10" s="79"/>
      <c r="AL10" s="169">
        <f>IF(AU10=0,0,IFERROR(INDEX(RanglisteST4!K:K,MATCH(AU10,RanglisteST4!A:A,0)),0))</f>
        <v>149.91</v>
      </c>
      <c r="AM10" s="169">
        <f>IF(AU10=0,0,SUMIF(AU7:AU15,AU10,AV7:AV15))</f>
        <v>675</v>
      </c>
      <c r="AN10" s="169">
        <f>IF(AU10=0,0,SUMIF(AU7:AU15,AU10,AW7:AW15))</f>
        <v>5</v>
      </c>
      <c r="AO10" s="169">
        <f t="shared" si="7"/>
        <v>135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8</v>
      </c>
      <c r="AQ10" s="166"/>
      <c r="AR10" s="167"/>
      <c r="AS10" s="167"/>
      <c r="AT10" s="168"/>
      <c r="AU10" s="171">
        <f t="shared" si="8"/>
        <v>38772</v>
      </c>
      <c r="AV10" s="167">
        <f t="shared" si="9"/>
        <v>675</v>
      </c>
      <c r="AW10" s="169">
        <f t="shared" si="10"/>
        <v>5</v>
      </c>
      <c r="AX10" s="169">
        <f t="shared" si="11"/>
        <v>5</v>
      </c>
      <c r="AY10" s="169">
        <f t="shared" si="12"/>
        <v>151</v>
      </c>
      <c r="AZ10" s="169">
        <f t="shared" si="13"/>
        <v>121</v>
      </c>
      <c r="BA10" s="169">
        <f t="shared" si="14"/>
        <v>117</v>
      </c>
      <c r="BB10" s="169">
        <f t="shared" si="15"/>
        <v>130</v>
      </c>
      <c r="BC10" s="169">
        <f t="shared" si="16"/>
        <v>156</v>
      </c>
      <c r="BD10" s="170"/>
      <c r="BE10" s="168"/>
      <c r="BF10" s="169">
        <f t="shared" si="17"/>
        <v>156</v>
      </c>
      <c r="BG10" s="169">
        <f t="shared" si="18"/>
        <v>0</v>
      </c>
      <c r="BH10" s="169" t="str">
        <f t="shared" si="23"/>
        <v>Bad Tölz 1</v>
      </c>
      <c r="BI10" s="168">
        <f t="shared" si="19"/>
        <v>2</v>
      </c>
      <c r="BJ10" s="169">
        <f t="shared" si="20"/>
        <v>675</v>
      </c>
      <c r="BK10" s="169">
        <f>IF(COUNTIF(AY10:BC10,"&gt;0")&lt;Spielorte!$A$23,0,AV10/Spielorte!$A$23)</f>
        <v>135</v>
      </c>
      <c r="BL10" s="169">
        <f t="shared" si="21"/>
        <v>0</v>
      </c>
      <c r="BM10" s="168">
        <f t="shared" si="22"/>
        <v>0</v>
      </c>
    </row>
    <row r="11" spans="1:65" ht="16.95" customHeight="1">
      <c r="A11" s="404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9"/>
      <c r="H11" s="222"/>
      <c r="I11" s="241">
        <f t="shared" si="2"/>
        <v>0</v>
      </c>
      <c r="J11" s="429"/>
      <c r="K11" s="222"/>
      <c r="L11" s="241">
        <f t="shared" si="3"/>
        <v>0</v>
      </c>
      <c r="M11" s="429"/>
      <c r="N11" s="222"/>
      <c r="O11" s="241">
        <f t="shared" si="4"/>
        <v>0</v>
      </c>
      <c r="P11" s="429"/>
      <c r="Q11" s="222"/>
      <c r="R11" s="241">
        <f t="shared" si="5"/>
        <v>0</v>
      </c>
      <c r="S11" s="429"/>
      <c r="T11" s="222">
        <f t="shared" si="6"/>
        <v>0</v>
      </c>
      <c r="U11" s="241">
        <f t="shared" si="6"/>
        <v>0</v>
      </c>
      <c r="V11" s="401"/>
      <c r="W11" s="79"/>
      <c r="X11" s="79"/>
      <c r="Y11" s="79"/>
      <c r="Z11" s="79"/>
      <c r="AA11" s="79"/>
      <c r="AB11" s="79"/>
      <c r="AL11" s="169">
        <f>IF(AU11=0,0,IFERROR(INDEX(RanglisteST4!K:K,MATCH(AU11,RanglisteST4!A:A,0)),0))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0</v>
      </c>
      <c r="BH11" s="169" t="str">
        <f t="shared" si="23"/>
        <v>Bad Tölz 1</v>
      </c>
      <c r="BI11" s="168">
        <f t="shared" si="19"/>
        <v>2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0</v>
      </c>
      <c r="BM11" s="168">
        <f t="shared" si="22"/>
        <v>0</v>
      </c>
    </row>
    <row r="12" spans="1:65" ht="16.95" customHeight="1" thickBot="1">
      <c r="A12" s="405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30"/>
      <c r="H12" s="224"/>
      <c r="I12" s="242">
        <f t="shared" si="2"/>
        <v>0</v>
      </c>
      <c r="J12" s="430"/>
      <c r="K12" s="224"/>
      <c r="L12" s="242">
        <f t="shared" si="3"/>
        <v>0</v>
      </c>
      <c r="M12" s="430"/>
      <c r="N12" s="224"/>
      <c r="O12" s="242">
        <f t="shared" si="4"/>
        <v>0</v>
      </c>
      <c r="P12" s="430"/>
      <c r="Q12" s="224"/>
      <c r="R12" s="242">
        <f t="shared" si="5"/>
        <v>0</v>
      </c>
      <c r="S12" s="430"/>
      <c r="T12" s="224">
        <f t="shared" si="6"/>
        <v>0</v>
      </c>
      <c r="U12" s="242">
        <f t="shared" si="6"/>
        <v>0</v>
      </c>
      <c r="V12" s="402"/>
      <c r="W12" s="79"/>
      <c r="X12" s="79"/>
      <c r="Y12" s="79"/>
      <c r="Z12" s="79"/>
      <c r="AA12" s="79"/>
      <c r="AB12" s="79"/>
      <c r="AL12" s="169">
        <f>IF(AU12=0,0,IFERROR(INDEX(RanglisteST4!K:K,MATCH(AU12,RanglisteST4!A:A,0)),0))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0</v>
      </c>
      <c r="BH12" s="169" t="str">
        <f t="shared" si="23"/>
        <v>Bad Tölz 1</v>
      </c>
      <c r="BI12" s="168">
        <f t="shared" si="19"/>
        <v>2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0</v>
      </c>
      <c r="BM12" s="168">
        <f t="shared" si="22"/>
        <v>0</v>
      </c>
    </row>
    <row r="13" spans="1:65" ht="16.95" customHeight="1">
      <c r="A13" s="403" t="s">
        <v>3</v>
      </c>
      <c r="B13" s="58" t="str">
        <f>IF(C13=0,"",VLOOKUP(C13,Starter!$A$1:$D$196,2,FALSE))</f>
        <v>Mengel, Marina</v>
      </c>
      <c r="C13" s="235">
        <v>38940</v>
      </c>
      <c r="D13" s="238">
        <f t="shared" si="0"/>
        <v>27</v>
      </c>
      <c r="E13" s="221">
        <v>155</v>
      </c>
      <c r="F13" s="240">
        <f t="shared" si="1"/>
        <v>182</v>
      </c>
      <c r="G13" s="428">
        <f>IF(SUM(F13:F15)+E24=0,0,IF(ABS(SUM(F13:F15))=E24,Spielorte!$A$30/2,IF(ABS(SUM(F13:F15))&gt;E24,Spielorte!$A$30,0)))</f>
        <v>1</v>
      </c>
      <c r="H13" s="221">
        <v>116</v>
      </c>
      <c r="I13" s="240">
        <f t="shared" si="2"/>
        <v>143</v>
      </c>
      <c r="J13" s="428">
        <f>IF(SUM(I13:I15)+H24=0,0,IF(ABS(SUM(I13:I15))=H24,Spielorte!$A$30/2,IF(ABS(SUM(I13:I15))&gt;H24,Spielorte!$A$30,0)))</f>
        <v>0</v>
      </c>
      <c r="K13" s="221">
        <v>93</v>
      </c>
      <c r="L13" s="240">
        <f t="shared" si="3"/>
        <v>120</v>
      </c>
      <c r="M13" s="428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8">
        <f>IF(SUM(O13:O15)+N24=0,0,IF(ABS(SUM(O13:O15))=N24,Spielorte!$A$30/2,IF(ABS(SUM(O13:O15))&gt;N24,Spielorte!$A$30,0)))</f>
        <v>1</v>
      </c>
      <c r="Q13" s="221"/>
      <c r="R13" s="240">
        <f t="shared" si="5"/>
        <v>0</v>
      </c>
      <c r="S13" s="428">
        <f>IF(SUM(R13:R15)+Q24=0,0,IF(ABS(SUM(R13:R15))=Q24,Spielorte!$A$30/2,IF(ABS(SUM(R13:R15))&gt;Q24,Spielorte!$A$30,0)))</f>
        <v>1</v>
      </c>
      <c r="T13" s="221">
        <f t="shared" si="6"/>
        <v>364</v>
      </c>
      <c r="U13" s="240">
        <f t="shared" si="6"/>
        <v>445</v>
      </c>
      <c r="V13" s="400">
        <f>SUM(G13+J13+M13+P13+S13)</f>
        <v>3</v>
      </c>
      <c r="W13" s="79"/>
      <c r="X13" s="79"/>
      <c r="Y13" s="79"/>
      <c r="Z13" s="79"/>
      <c r="AA13" s="79"/>
      <c r="AB13" s="79"/>
      <c r="AL13" s="169">
        <f>IF(AU13=0,0,IFERROR(INDEX(RanglisteST4!K:K,MATCH(AU13,RanglisteST4!A:A,0)),0))</f>
        <v>126</v>
      </c>
      <c r="AM13" s="169">
        <f>IF(AU13=0,0,SUMIF(AU7:AU15,AU13,AV7:AV15))</f>
        <v>364</v>
      </c>
      <c r="AN13" s="169">
        <f>IF(AU13=0,0,SUMIF(AU7:AU15,AU13,AW7:AW15))</f>
        <v>3</v>
      </c>
      <c r="AO13" s="169">
        <f t="shared" si="7"/>
        <v>121.33333333333333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27</v>
      </c>
      <c r="AQ13" s="166"/>
      <c r="AR13" s="167"/>
      <c r="AS13" s="167"/>
      <c r="AT13" s="168"/>
      <c r="AU13" s="171">
        <f t="shared" si="8"/>
        <v>38940</v>
      </c>
      <c r="AV13" s="167">
        <f t="shared" si="9"/>
        <v>364</v>
      </c>
      <c r="AW13" s="169">
        <f t="shared" si="10"/>
        <v>3</v>
      </c>
      <c r="AX13" s="169">
        <f t="shared" si="11"/>
        <v>3</v>
      </c>
      <c r="AY13" s="169">
        <f t="shared" si="12"/>
        <v>155</v>
      </c>
      <c r="AZ13" s="169">
        <f t="shared" si="13"/>
        <v>116</v>
      </c>
      <c r="BA13" s="169">
        <f t="shared" si="14"/>
        <v>93</v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155</v>
      </c>
      <c r="BG13" s="169">
        <f t="shared" si="18"/>
        <v>0</v>
      </c>
      <c r="BH13" s="169" t="str">
        <f t="shared" si="23"/>
        <v>Bad Tölz 1</v>
      </c>
      <c r="BI13" s="168">
        <f t="shared" si="19"/>
        <v>2</v>
      </c>
      <c r="BJ13" s="169">
        <f t="shared" si="20"/>
        <v>364</v>
      </c>
      <c r="BK13" s="169">
        <f>IF(COUNTIF(AY13:BC13,"&gt;0")&lt;Spielorte!$A$23,0,AV13/Spielorte!$A$23)</f>
        <v>0</v>
      </c>
      <c r="BL13" s="169">
        <f t="shared" si="21"/>
        <v>0</v>
      </c>
      <c r="BM13" s="168">
        <f t="shared" si="22"/>
        <v>0</v>
      </c>
    </row>
    <row r="14" spans="1:65" ht="16.95" customHeight="1">
      <c r="A14" s="404"/>
      <c r="B14" s="58" t="str">
        <f>IF(C14=0,"",VLOOKUP(C14,Starter!$A$1:$D$196,2,FALSE))</f>
        <v>Rothemund, Louis</v>
      </c>
      <c r="C14" s="233">
        <v>38893</v>
      </c>
      <c r="D14" s="239">
        <f t="shared" si="0"/>
        <v>59</v>
      </c>
      <c r="E14" s="222"/>
      <c r="F14" s="241">
        <f t="shared" si="1"/>
        <v>0</v>
      </c>
      <c r="G14" s="429"/>
      <c r="H14" s="222"/>
      <c r="I14" s="241">
        <f t="shared" si="2"/>
        <v>0</v>
      </c>
      <c r="J14" s="429"/>
      <c r="K14" s="222"/>
      <c r="L14" s="241">
        <f t="shared" si="3"/>
        <v>0</v>
      </c>
      <c r="M14" s="429"/>
      <c r="N14" s="222">
        <v>74</v>
      </c>
      <c r="O14" s="241">
        <f t="shared" si="4"/>
        <v>133</v>
      </c>
      <c r="P14" s="429"/>
      <c r="Q14" s="222">
        <v>106</v>
      </c>
      <c r="R14" s="241">
        <f t="shared" si="5"/>
        <v>165</v>
      </c>
      <c r="S14" s="429"/>
      <c r="T14" s="222">
        <f t="shared" si="6"/>
        <v>180</v>
      </c>
      <c r="U14" s="241">
        <f t="shared" si="6"/>
        <v>298</v>
      </c>
      <c r="V14" s="401"/>
      <c r="W14" s="79"/>
      <c r="X14" s="79"/>
      <c r="Y14" s="79"/>
      <c r="Z14" s="79"/>
      <c r="AA14" s="79"/>
      <c r="AB14" s="79"/>
      <c r="AL14" s="169">
        <f>IF(AU14=0,0,IFERROR(INDEX(RanglisteST4!K:K,MATCH(AU14,RanglisteST4!A:A,0)),0))</f>
        <v>86.61</v>
      </c>
      <c r="AM14" s="169">
        <f>IF(AU14=0,0,SUMIF(AU7:AU15,AU14,AV7:AV15))</f>
        <v>180</v>
      </c>
      <c r="AN14" s="169">
        <f>IF(AU14=0,0,SUMIF(AU7:AU15,AU14,AW7:AW15))</f>
        <v>2</v>
      </c>
      <c r="AO14" s="169">
        <f t="shared" si="7"/>
        <v>90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59</v>
      </c>
      <c r="AQ14" s="166"/>
      <c r="AR14" s="167"/>
      <c r="AS14" s="167"/>
      <c r="AT14" s="168"/>
      <c r="AU14" s="171">
        <f t="shared" si="8"/>
        <v>38893</v>
      </c>
      <c r="AV14" s="167">
        <f t="shared" si="9"/>
        <v>180</v>
      </c>
      <c r="AW14" s="169">
        <f t="shared" si="10"/>
        <v>2</v>
      </c>
      <c r="AX14" s="169">
        <f t="shared" si="11"/>
        <v>2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>
        <f t="shared" si="15"/>
        <v>74</v>
      </c>
      <c r="BC14" s="169">
        <f t="shared" si="16"/>
        <v>106</v>
      </c>
      <c r="BD14" s="170"/>
      <c r="BE14" s="168"/>
      <c r="BF14" s="169">
        <f t="shared" si="17"/>
        <v>106</v>
      </c>
      <c r="BG14" s="169">
        <f t="shared" si="18"/>
        <v>0</v>
      </c>
      <c r="BH14" s="169" t="str">
        <f t="shared" si="23"/>
        <v>Bad Tölz 1</v>
      </c>
      <c r="BI14" s="168">
        <f t="shared" si="19"/>
        <v>2</v>
      </c>
      <c r="BJ14" s="169">
        <f t="shared" si="20"/>
        <v>180</v>
      </c>
      <c r="BK14" s="169">
        <f>IF(COUNTIF(AY14:BC14,"&gt;0")&lt;Spielorte!$A$23,0,AV14/Spielorte!$A$23)</f>
        <v>0</v>
      </c>
      <c r="BL14" s="169">
        <f t="shared" si="21"/>
        <v>0</v>
      </c>
      <c r="BM14" s="168">
        <f t="shared" si="22"/>
        <v>0</v>
      </c>
    </row>
    <row r="15" spans="1:65" ht="16.95" customHeight="1" thickBot="1">
      <c r="A15" s="405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30"/>
      <c r="H15" s="224"/>
      <c r="I15" s="242">
        <f t="shared" si="2"/>
        <v>0</v>
      </c>
      <c r="J15" s="430"/>
      <c r="K15" s="224"/>
      <c r="L15" s="242">
        <f t="shared" si="3"/>
        <v>0</v>
      </c>
      <c r="M15" s="430"/>
      <c r="N15" s="224"/>
      <c r="O15" s="242">
        <f t="shared" si="4"/>
        <v>0</v>
      </c>
      <c r="P15" s="430"/>
      <c r="Q15" s="224"/>
      <c r="R15" s="242">
        <f t="shared" si="5"/>
        <v>0</v>
      </c>
      <c r="S15" s="430"/>
      <c r="T15" s="224">
        <f t="shared" si="6"/>
        <v>0</v>
      </c>
      <c r="U15" s="242">
        <f t="shared" si="6"/>
        <v>0</v>
      </c>
      <c r="V15" s="402"/>
      <c r="W15" s="79"/>
      <c r="X15" s="79"/>
      <c r="Y15" s="79"/>
      <c r="Z15" s="79"/>
      <c r="AA15" s="79"/>
      <c r="AB15" s="79"/>
      <c r="AL15" s="169">
        <f>IF(AU15=0,0,IFERROR(INDEX(RanglisteST4!K:K,MATCH(AU15,RanglisteST4!A:A,0)),0))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0</v>
      </c>
      <c r="BH15" s="169" t="str">
        <f t="shared" si="23"/>
        <v>Bad Tölz 1</v>
      </c>
      <c r="BI15" s="168">
        <f t="shared" si="19"/>
        <v>2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0</v>
      </c>
      <c r="BM15" s="168">
        <f t="shared" si="22"/>
        <v>0</v>
      </c>
    </row>
    <row r="16" spans="1:65" ht="27.75" customHeight="1" thickBot="1">
      <c r="B16" s="218" t="s">
        <v>1792</v>
      </c>
      <c r="C16" s="204"/>
      <c r="D16" s="219"/>
      <c r="E16" s="226">
        <f>ABS(SUM(E7:E9))+ABS(SUM(E10:E12))+ABS(SUM(E13:E15))</f>
        <v>443</v>
      </c>
      <c r="F16" s="225">
        <f>ABS(SUM(F7:F9))+ABS(SUM(F10:F12))+ABS(SUM(F13:F15))</f>
        <v>478</v>
      </c>
      <c r="G16" s="81">
        <f>IF(F16+E25=0,0,IF(F16=E25,Spielorte!$A$31/2,IF(F16&gt;E25,Spielorte!$A$31,0)))</f>
        <v>2</v>
      </c>
      <c r="H16" s="226">
        <f>ABS(SUM(H7:H9))+ABS(SUM(H10:H12))+ABS(SUM(H13:H15))</f>
        <v>412</v>
      </c>
      <c r="I16" s="225">
        <f>ABS(SUM(I7:I9))+ABS(SUM(I10:I12))+ABS(SUM(I13:I15))</f>
        <v>447</v>
      </c>
      <c r="J16" s="81">
        <f>IF(I16+H25=0,0,IF(I16=H25,Spielorte!$A$31/2,IF(I16&gt;H25,Spielorte!$A$31,0)))</f>
        <v>0</v>
      </c>
      <c r="K16" s="226">
        <f>ABS(SUM(K7:K9))+ABS(SUM(K10:K12))+ABS(SUM(K13:K15))</f>
        <v>370</v>
      </c>
      <c r="L16" s="225">
        <f>ABS(SUM(L7:L9))+ABS(SUM(L10:L12))+ABS(SUM(L13:L15))</f>
        <v>405</v>
      </c>
      <c r="M16" s="81">
        <f>IF(L16+K25=0,0,IF(L16=K25,Spielorte!$A$31/2,IF(L16&gt;K25,Spielorte!$A$31,0)))</f>
        <v>0</v>
      </c>
      <c r="N16" s="226">
        <f>ABS(SUM(N7:N9))+ABS(SUM(N10:N12))+ABS(SUM(N13:N15))</f>
        <v>360</v>
      </c>
      <c r="O16" s="225">
        <f>ABS(SUM(O7:O9))+ABS(SUM(O10:O12))+ABS(SUM(O13:O15))</f>
        <v>427</v>
      </c>
      <c r="P16" s="81">
        <f>IF(O16+N25=0,0,IF(O16=N25,Spielorte!$A$31/2,IF(O16&gt;N25,Spielorte!$A$31,0)))</f>
        <v>2</v>
      </c>
      <c r="Q16" s="226">
        <f>ABS(SUM(Q7:Q9))+ABS(SUM(Q10:Q12))+ABS(SUM(Q13:Q15))</f>
        <v>442</v>
      </c>
      <c r="R16" s="225">
        <f>ABS(SUM(R7:R9))+ABS(SUM(R10:R12))+ABS(SUM(R13:R15))</f>
        <v>509</v>
      </c>
      <c r="S16" s="81">
        <f>IF(R16+Q25=0,0,IF(R16=Q25,Spielorte!$A$31/2,IF(R16&gt;Q25,Spielorte!$A$31,0)))</f>
        <v>2</v>
      </c>
      <c r="T16" s="228">
        <f>SUM(E16+H16+K16+N16+Q16)</f>
        <v>2027</v>
      </c>
      <c r="U16" s="229">
        <f>SUM(F16+I16+L16+O16+R16)</f>
        <v>2266</v>
      </c>
      <c r="V16" s="12">
        <f>SUM(G16+J16+M16+P16+S16)</f>
        <v>6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>
      <c r="B17" s="230" t="s">
        <v>1803</v>
      </c>
      <c r="C17" s="1"/>
      <c r="D17" s="1"/>
      <c r="E17" s="1"/>
      <c r="F17" s="1"/>
      <c r="G17" s="61">
        <f>SUM(G7:G16)</f>
        <v>4</v>
      </c>
      <c r="H17" s="1"/>
      <c r="I17" s="1"/>
      <c r="J17" s="61">
        <f>SUM(J7:J16)</f>
        <v>1</v>
      </c>
      <c r="K17" s="1"/>
      <c r="L17" s="1"/>
      <c r="M17" s="61">
        <f>SUM(M7:M16)</f>
        <v>1</v>
      </c>
      <c r="N17" s="1"/>
      <c r="O17" s="1"/>
      <c r="P17" s="61">
        <f>SUM(P7:P16)</f>
        <v>5</v>
      </c>
      <c r="Q17" s="1"/>
      <c r="R17" s="1"/>
      <c r="S17" s="61">
        <f>SUM(S7:S16)</f>
        <v>5</v>
      </c>
      <c r="T17" s="1"/>
      <c r="U17" s="1"/>
      <c r="V17" s="61">
        <f>SUM(V7:V16)</f>
        <v>16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16</v>
      </c>
      <c r="AR17" s="167">
        <f>+T16</f>
        <v>2027</v>
      </c>
      <c r="AS17" s="167">
        <f>+U16</f>
        <v>2266</v>
      </c>
      <c r="AT17" s="168">
        <f>+B2</f>
        <v>1</v>
      </c>
      <c r="AW17" s="169">
        <f>SUM(AW1:AW16)</f>
        <v>15</v>
      </c>
      <c r="BD17" s="166">
        <f>+AS17/1000000+AQ17+AR17/1000000000000</f>
        <v>16.002266002027</v>
      </c>
      <c r="BE17" s="168">
        <f>RANK(BD17,BD:BD)</f>
        <v>2</v>
      </c>
      <c r="BI17" s="168"/>
      <c r="BM17" s="168"/>
    </row>
    <row r="18" spans="1:65" ht="11.25" customHeight="1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>
      <c r="B19" s="231" t="s">
        <v>1790</v>
      </c>
      <c r="C19" s="210"/>
      <c r="D19" s="42"/>
      <c r="E19" s="434">
        <f>VLOOKUP($B2,Schlüssel!$A$5:$EK$12,63)</f>
        <v>5</v>
      </c>
      <c r="F19" s="435"/>
      <c r="G19" s="436"/>
      <c r="H19" s="434">
        <f>VLOOKUP($B2,Schlüssel!$A$5:$EK$12,64)</f>
        <v>7</v>
      </c>
      <c r="I19" s="435"/>
      <c r="J19" s="436"/>
      <c r="K19" s="434">
        <f>VLOOKUP($B2,Schlüssel!$A$5:$EK$12,65)</f>
        <v>4</v>
      </c>
      <c r="L19" s="435"/>
      <c r="M19" s="436"/>
      <c r="N19" s="434">
        <f>VLOOKUP($B2,Schlüssel!$A$5:$EK$12,66)</f>
        <v>6</v>
      </c>
      <c r="O19" s="435"/>
      <c r="P19" s="436"/>
      <c r="Q19" s="434">
        <f>VLOOKUP($B2,Schlüssel!$A$5:$EK$12,67)</f>
        <v>2</v>
      </c>
      <c r="R19" s="435"/>
      <c r="S19" s="436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>
      <c r="B20" s="3" t="s">
        <v>9</v>
      </c>
      <c r="C20" s="1"/>
      <c r="D20" s="1"/>
      <c r="E20" s="395" t="str">
        <f>VLOOKUP(E19,Schlüssel!$A$5:$K$12,2)</f>
        <v>Berchtesgaden 1</v>
      </c>
      <c r="F20" s="438"/>
      <c r="G20" s="396"/>
      <c r="H20" s="395" t="str">
        <f>VLOOKUP(H19,Schlüssel!$A$5:$K$12,2)</f>
        <v>BK München 1</v>
      </c>
      <c r="I20" s="438"/>
      <c r="J20" s="396"/>
      <c r="K20" s="395" t="str">
        <f>VLOOKUP(K19,Schlüssel!$A$5:$K$12,2)</f>
        <v>Highroller Rosenheim 3</v>
      </c>
      <c r="L20" s="438"/>
      <c r="M20" s="396"/>
      <c r="N20" s="395" t="str">
        <f>VLOOKUP(N19,Schlüssel!$A$5:$K$12,2)</f>
        <v>Bowling Jugend Bayern 1</v>
      </c>
      <c r="O20" s="438"/>
      <c r="P20" s="396"/>
      <c r="Q20" s="395" t="str">
        <f>VLOOKUP(Q19,Schlüssel!$A$5:$K$12,2)</f>
        <v>Highroller Rosenheim 1</v>
      </c>
      <c r="R20" s="438"/>
      <c r="S20" s="396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" customHeight="1">
      <c r="B22" s="417" t="s">
        <v>2275</v>
      </c>
      <c r="C22" s="418"/>
      <c r="D22" s="419"/>
      <c r="E22" s="431">
        <f>ABS(INDEX(F:F,MATCH(E19,$B:$B,0)+5)+INDEX(F:F,MATCH(E19,$B:$B,0)+6)+INDEX(F:F,MATCH(E19,$B:$B,0)+7))</f>
        <v>136</v>
      </c>
      <c r="F22" s="432"/>
      <c r="G22" s="433"/>
      <c r="H22" s="431">
        <f>ABS(INDEX(I:I,MATCH(H19,$B:$B,0)+5)+INDEX(I:I,MATCH(H19,$B:$B,0)+6)+INDEX(I:I,MATCH(H19,$B:$B,0)+7))</f>
        <v>116</v>
      </c>
      <c r="I22" s="432"/>
      <c r="J22" s="433"/>
      <c r="K22" s="431">
        <f>ABS(INDEX(L:L,MATCH(K19,$B:$B,0)+5)+INDEX(L:L,MATCH(K19,$B:$B,0)+6)+INDEX(L:L,MATCH(K19,$B:$B,0)+7))</f>
        <v>141</v>
      </c>
      <c r="L22" s="432"/>
      <c r="M22" s="433"/>
      <c r="N22" s="431">
        <f>ABS(INDEX(O:O,MATCH(N19,$B:$B,0)+5)+INDEX(O:O,MATCH(N19,$B:$B,0)+6)+INDEX(O:O,MATCH(N19,$B:$B,0)+7))</f>
        <v>154</v>
      </c>
      <c r="O22" s="432"/>
      <c r="P22" s="433"/>
      <c r="Q22" s="431">
        <f>ABS(INDEX(R:R,MATCH(Q19,$B:$B,0)+5)+INDEX(R:R,MATCH(Q19,$B:$B,0)+6)+INDEX(R:R,MATCH(Q19,$B:$B,0)+7))</f>
        <v>163</v>
      </c>
      <c r="R22" s="432"/>
      <c r="S22" s="433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" customHeight="1">
      <c r="B23" s="417" t="s">
        <v>2276</v>
      </c>
      <c r="C23" s="418"/>
      <c r="D23" s="419"/>
      <c r="E23" s="424">
        <f>ABS(INDEX(F:F,MATCH(E19,$B:$B,0)+8)+INDEX(F:F,MATCH(E19,$B:$B,0)+9)+INDEX(F:F,MATCH(E19,$B:$B,0)+10))</f>
        <v>192</v>
      </c>
      <c r="F23" s="425"/>
      <c r="G23" s="426"/>
      <c r="H23" s="424">
        <f>ABS(INDEX(I:I,MATCH(H19,$B:$B,0)+8)+INDEX(I:I,MATCH(H19,$B:$B,0)+9)+INDEX(I:I,MATCH(H19,$B:$B,0)+10))</f>
        <v>160</v>
      </c>
      <c r="I23" s="425"/>
      <c r="J23" s="426"/>
      <c r="K23" s="424">
        <f>ABS(INDEX(L:L,MATCH(K19,$B:$B,0)+8)+INDEX(L:L,MATCH(K19,$B:$B,0)+9)+INDEX(L:L,MATCH(K19,$B:$B,0)+10))</f>
        <v>171</v>
      </c>
      <c r="L23" s="425"/>
      <c r="M23" s="426"/>
      <c r="N23" s="424">
        <f>ABS(INDEX(O:O,MATCH(N19,$B:$B,0)+8)+INDEX(O:O,MATCH(N19,$B:$B,0)+9)+INDEX(O:O,MATCH(N19,$B:$B,0)+10))</f>
        <v>127</v>
      </c>
      <c r="O23" s="425"/>
      <c r="P23" s="426"/>
      <c r="Q23" s="424">
        <f>ABS(INDEX(R:R,MATCH(Q19,$B:$B,0)+8)+INDEX(R:R,MATCH(Q19,$B:$B,0)+9)+INDEX(R:R,MATCH(Q19,$B:$B,0)+10))</f>
        <v>127</v>
      </c>
      <c r="R23" s="425"/>
      <c r="S23" s="426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" customHeight="1">
      <c r="B24" s="417" t="s">
        <v>2277</v>
      </c>
      <c r="C24" s="418"/>
      <c r="D24" s="419"/>
      <c r="E24" s="424">
        <f>ABS(INDEX(F:F,MATCH(E19,$B:$B,0)+11)+INDEX(F:F,MATCH(E19,$B:$B,0)+12)+INDEX(F:F,MATCH(E19,$B:$B,0)+13))</f>
        <v>129</v>
      </c>
      <c r="F24" s="425"/>
      <c r="G24" s="426"/>
      <c r="H24" s="424">
        <f>ABS(INDEX(I:I,MATCH(H19,$B:$B,0)+11)+INDEX(I:I,MATCH(H19,$B:$B,0)+12)+INDEX(I:I,MATCH(H19,$B:$B,0)+13))</f>
        <v>176</v>
      </c>
      <c r="I24" s="425"/>
      <c r="J24" s="426"/>
      <c r="K24" s="424">
        <f>ABS(INDEX(L:L,MATCH(K19,$B:$B,0)+11)+INDEX(L:L,MATCH(K19,$B:$B,0)+12)+INDEX(L:L,MATCH(K19,$B:$B,0)+13))</f>
        <v>168</v>
      </c>
      <c r="L24" s="425"/>
      <c r="M24" s="426"/>
      <c r="N24" s="424">
        <f>ABS(INDEX(O:O,MATCH(N19,$B:$B,0)+11)+INDEX(O:O,MATCH(N19,$B:$B,0)+12)+INDEX(O:O,MATCH(N19,$B:$B,0)+13))</f>
        <v>98</v>
      </c>
      <c r="O24" s="425"/>
      <c r="P24" s="426"/>
      <c r="Q24" s="424">
        <f>ABS(INDEX(R:R,MATCH(Q19,$B:$B,0)+11)+INDEX(R:R,MATCH(Q19,$B:$B,0)+12)+INDEX(R:R,MATCH(Q19,$B:$B,0)+13))</f>
        <v>138</v>
      </c>
      <c r="R24" s="425"/>
      <c r="S24" s="426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" customHeight="1">
      <c r="B25" s="420" t="s">
        <v>2278</v>
      </c>
      <c r="C25" s="421"/>
      <c r="D25" s="422"/>
      <c r="E25" s="407">
        <f>SUM(E22:E24)</f>
        <v>457</v>
      </c>
      <c r="F25" s="423"/>
      <c r="G25" s="408"/>
      <c r="H25" s="407">
        <f>SUM(H22:H24)</f>
        <v>452</v>
      </c>
      <c r="I25" s="423"/>
      <c r="J25" s="408"/>
      <c r="K25" s="407">
        <f>SUM(K22:K24)</f>
        <v>480</v>
      </c>
      <c r="L25" s="423"/>
      <c r="M25" s="408"/>
      <c r="N25" s="407">
        <f>SUM(N22:N24)</f>
        <v>379</v>
      </c>
      <c r="O25" s="423"/>
      <c r="P25" s="408"/>
      <c r="Q25" s="407">
        <f>SUM(Q22:Q24)</f>
        <v>428</v>
      </c>
      <c r="R25" s="423"/>
      <c r="S25" s="408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>
      <c r="A27" s="255"/>
      <c r="B27" s="7" t="s">
        <v>1802</v>
      </c>
      <c r="C27" s="24"/>
      <c r="D27" s="24"/>
      <c r="E27" s="35" t="s">
        <v>1786</v>
      </c>
      <c r="F27" s="35"/>
      <c r="G27" s="427" t="str">
        <f>Schlüssel!$C$1</f>
        <v>Landesliga Jugend</v>
      </c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06">
        <f>Schlüssel!$BU$1</f>
        <v>45787</v>
      </c>
      <c r="T27" s="406"/>
      <c r="U27" s="406"/>
      <c r="V27" s="406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>
      <c r="A28" s="53"/>
      <c r="B28" s="54">
        <v>2</v>
      </c>
      <c r="E28" s="35" t="s">
        <v>1787</v>
      </c>
      <c r="F28" s="35"/>
      <c r="G28" s="413" t="str">
        <f>Schlüssel!$BK$2</f>
        <v>Bad Tölz Flint Bowling</v>
      </c>
      <c r="H28" s="413"/>
      <c r="I28" s="413"/>
      <c r="J28" s="413"/>
      <c r="K28" s="413"/>
      <c r="L28" s="413"/>
      <c r="M28" s="413"/>
      <c r="N28" s="413"/>
      <c r="O28" s="413"/>
      <c r="P28" s="66"/>
      <c r="Q28" s="411" t="s">
        <v>1785</v>
      </c>
      <c r="R28" s="412"/>
      <c r="S28" s="38">
        <v>4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>
      <c r="B29" s="414" t="str">
        <f>VLOOKUP(B28,Schlüssel!$A$5:$B$12,2)</f>
        <v>Highroller Rosenheim 1</v>
      </c>
      <c r="C29" s="415"/>
      <c r="D29" s="415"/>
      <c r="E29" s="415"/>
      <c r="F29" s="415"/>
      <c r="G29" s="416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3.8" hidden="1" thickBot="1">
      <c r="A30" s="6"/>
      <c r="B30" s="7"/>
      <c r="C30" s="43"/>
      <c r="D30" s="43"/>
      <c r="E30" s="162" t="s">
        <v>10</v>
      </c>
      <c r="F30" s="220"/>
      <c r="G30" s="159">
        <f>VLOOKUP(B28,Schlüssel!$A$5:$EK$12,73)</f>
        <v>1</v>
      </c>
      <c r="H30" s="161" t="s">
        <v>10</v>
      </c>
      <c r="I30" s="220"/>
      <c r="J30" s="159">
        <f>VLOOKUP(B28,Schlüssel!$A$5:$EK$12,74)</f>
        <v>5</v>
      </c>
      <c r="K30" s="161" t="s">
        <v>10</v>
      </c>
      <c r="L30" s="220"/>
      <c r="M30" s="159">
        <f>VLOOKUP(B28,Schlüssel!$A$5:$EK$12,75)</f>
        <v>4</v>
      </c>
      <c r="N30" s="161" t="s">
        <v>10</v>
      </c>
      <c r="O30" s="220"/>
      <c r="P30" s="159">
        <f>VLOOKUP(B28,Schlüssel!$A$5:$EK$12,76)</f>
        <v>7</v>
      </c>
      <c r="Q30" s="161" t="s">
        <v>10</v>
      </c>
      <c r="R30" s="220"/>
      <c r="S30" s="160">
        <f>VLOOKUP(B28,Schlüssel!$A$5:$EK$12,77)</f>
        <v>3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>
      <c r="B31" s="44" t="s">
        <v>1</v>
      </c>
      <c r="C31" s="208"/>
      <c r="D31" s="217"/>
      <c r="E31" s="423" t="s">
        <v>1793</v>
      </c>
      <c r="F31" s="423"/>
      <c r="G31" s="408"/>
      <c r="H31" s="407" t="s">
        <v>1794</v>
      </c>
      <c r="I31" s="423"/>
      <c r="J31" s="408"/>
      <c r="K31" s="407" t="s">
        <v>1795</v>
      </c>
      <c r="L31" s="423"/>
      <c r="M31" s="408"/>
      <c r="N31" s="407" t="s">
        <v>1796</v>
      </c>
      <c r="O31" s="423"/>
      <c r="P31" s="408"/>
      <c r="Q31" s="407" t="s">
        <v>1797</v>
      </c>
      <c r="R31" s="423"/>
      <c r="S31" s="437"/>
      <c r="T31" s="439" t="s">
        <v>1792</v>
      </c>
      <c r="U31" s="440"/>
      <c r="V31" s="410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6.95" customHeight="1">
      <c r="A33" s="403" t="s">
        <v>0</v>
      </c>
      <c r="B33" s="58" t="str">
        <f>IF(C33=0,"",VLOOKUP(C33,Starter!$A$1:$D$196,2,FALSE))</f>
        <v>Stölzel, Celia</v>
      </c>
      <c r="C33" s="232">
        <v>38759</v>
      </c>
      <c r="D33" s="238">
        <f t="shared" ref="D33:D41" si="24">+AP33</f>
        <v>5</v>
      </c>
      <c r="E33" s="221">
        <v>148</v>
      </c>
      <c r="F33" s="240">
        <f t="shared" ref="F33:F41" si="25">IF(E33&gt;0,E33+$D33,0)</f>
        <v>153</v>
      </c>
      <c r="G33" s="428">
        <f>IF(SUM(F33:F35)+E48=0,0,IF(ABS(SUM(F33:F35))=E48,Spielorte!$A$30/2,IF(ABS(SUM(F33:F35))&gt;E48,Spielorte!$A$30,0)))</f>
        <v>1</v>
      </c>
      <c r="H33" s="221">
        <v>130</v>
      </c>
      <c r="I33" s="240">
        <f t="shared" ref="I33:I41" si="26">IF(H33&gt;0,H33+$D33,0)</f>
        <v>135</v>
      </c>
      <c r="J33" s="428">
        <f>IF(SUM(I33:I35)+H48=0,0,IF(ABS(SUM(I33:I35))=H48,Spielorte!$A$30/2,IF(ABS(SUM(I33:I35))&gt;H48,Spielorte!$A$30,0)))</f>
        <v>0</v>
      </c>
      <c r="K33" s="221">
        <v>105</v>
      </c>
      <c r="L33" s="240">
        <f t="shared" ref="L33:L41" si="27">IF(K33&gt;0,K33+$D33,0)</f>
        <v>110</v>
      </c>
      <c r="M33" s="428">
        <f>IF(SUM(L33:L35)+K48=0,0,IF(ABS(SUM(L33:L35))=K48,Spielorte!$A$30/2,IF(ABS(SUM(L33:L35))&gt;K48,Spielorte!$A$30,0)))</f>
        <v>0</v>
      </c>
      <c r="N33" s="221">
        <v>161</v>
      </c>
      <c r="O33" s="240">
        <f t="shared" ref="O33:O41" si="28">IF(N33&gt;0,N33+$D33,0)</f>
        <v>166</v>
      </c>
      <c r="P33" s="428">
        <f>IF(SUM(O33:O35)+N48=0,0,IF(ABS(SUM(O33:O35))=N48,Spielorte!$A$30/2,IF(ABS(SUM(O33:O35))&gt;N48,Spielorte!$A$30,0)))</f>
        <v>0</v>
      </c>
      <c r="Q33" s="221">
        <v>158</v>
      </c>
      <c r="R33" s="240">
        <f t="shared" ref="R33:R41" si="29">IF(Q33&gt;0,Q33+$D33,0)</f>
        <v>163</v>
      </c>
      <c r="S33" s="428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702</v>
      </c>
      <c r="U33" s="240">
        <f t="shared" si="30"/>
        <v>727</v>
      </c>
      <c r="V33" s="400">
        <f>SUM(G33+J33+M33+P33+S33)</f>
        <v>1</v>
      </c>
      <c r="W33" s="79"/>
      <c r="X33" s="79"/>
      <c r="Y33" s="79"/>
      <c r="Z33" s="79"/>
      <c r="AA33" s="79"/>
      <c r="AB33" s="79"/>
      <c r="AL33" s="169">
        <f>IF(AU33=0,0,IFERROR(INDEX(RanglisteST4!K:K,MATCH(AU33,RanglisteST4!A:A,0)),0))</f>
        <v>153.61000000000001</v>
      </c>
      <c r="AM33" s="169">
        <f>IF(AU33=0,0,SUMIF(AU33:AU41,AU33,AV33:AV41))</f>
        <v>702</v>
      </c>
      <c r="AN33" s="169">
        <f>IF(AU33=0,0,SUMIF(AU33:AU41,AU33,AW33:AW41))</f>
        <v>5</v>
      </c>
      <c r="AO33" s="169">
        <f t="shared" ref="AO33:AO41" si="31">IFERROR(AM33/AN33,0)</f>
        <v>140.4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5</v>
      </c>
      <c r="AQ33" s="166"/>
      <c r="AR33" s="167"/>
      <c r="AS33" s="167"/>
      <c r="AT33" s="168"/>
      <c r="AU33" s="171">
        <f t="shared" ref="AU33:AU41" si="32">C33</f>
        <v>38759</v>
      </c>
      <c r="AV33" s="167">
        <f t="shared" ref="AV33:AV41" si="33">T33</f>
        <v>702</v>
      </c>
      <c r="AW33" s="169">
        <f t="shared" ref="AW33:AW41" si="34">COUNT(AY33:BC33)</f>
        <v>5</v>
      </c>
      <c r="AX33" s="169">
        <f t="shared" ref="AX33:AX41" si="35">COUNTIF(AY33:BC33,"&gt;0")</f>
        <v>5</v>
      </c>
      <c r="AY33" s="169">
        <f t="shared" ref="AY33:AY41" si="36">IF(E33=0,"",E33)</f>
        <v>148</v>
      </c>
      <c r="AZ33" s="169">
        <f t="shared" ref="AZ33:AZ41" si="37">IF(H33=0,"",H33)</f>
        <v>130</v>
      </c>
      <c r="BA33" s="169">
        <f t="shared" ref="BA33:BA41" si="38">IF(K33=0,"",K33)</f>
        <v>105</v>
      </c>
      <c r="BB33" s="169">
        <f t="shared" ref="BB33:BB41" si="39">IF(N33=0,"",N33)</f>
        <v>161</v>
      </c>
      <c r="BC33" s="169">
        <f t="shared" ref="BC33:BC41" si="40">IF(Q33=0,"",Q33)</f>
        <v>158</v>
      </c>
      <c r="BD33" s="170"/>
      <c r="BE33" s="168"/>
      <c r="BF33" s="169">
        <f t="shared" ref="BF33:BF41" si="41">MAX(AY33:BC33)</f>
        <v>161</v>
      </c>
      <c r="BG33" s="169">
        <f t="shared" ref="BG33:BG41" si="42">IF(BF33&lt;MAX(BF:BF),0,BF33+ROW()/1000000000)</f>
        <v>0</v>
      </c>
      <c r="BH33" s="169" t="str">
        <f>+B29</f>
        <v>Highroller Rosenheim 1</v>
      </c>
      <c r="BI33" s="168">
        <f t="shared" ref="BI33:BI41" si="43">RANK(BG33,BG:BG)</f>
        <v>2</v>
      </c>
      <c r="BJ33" s="169">
        <f t="shared" ref="BJ33:BJ41" si="44">SUMIF(AY33:BC33,"&gt;0")</f>
        <v>702</v>
      </c>
      <c r="BK33" s="169">
        <f>IF(COUNTIF(AY33:BC33,"&gt;0")&lt;Spielorte!$A$23,0,AV33/Spielorte!$A$23)</f>
        <v>140.4</v>
      </c>
      <c r="BL33" s="169">
        <f t="shared" ref="BL33:BL41" si="45">IF(BK33&lt;MAX(BK:BK),0,BK33+ROW()/1000000000)</f>
        <v>0</v>
      </c>
      <c r="BM33" s="168">
        <f t="shared" ref="BM33:BM41" si="46">IF(BL33=0,0,RANK(BL33,BL:BL))</f>
        <v>0</v>
      </c>
    </row>
    <row r="34" spans="1:65" ht="16.95" customHeight="1">
      <c r="A34" s="404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9"/>
      <c r="H34" s="222"/>
      <c r="I34" s="241">
        <f t="shared" si="26"/>
        <v>0</v>
      </c>
      <c r="J34" s="429"/>
      <c r="K34" s="222"/>
      <c r="L34" s="241">
        <f t="shared" si="27"/>
        <v>0</v>
      </c>
      <c r="M34" s="429"/>
      <c r="N34" s="222"/>
      <c r="O34" s="241">
        <f t="shared" si="28"/>
        <v>0</v>
      </c>
      <c r="P34" s="429"/>
      <c r="Q34" s="222"/>
      <c r="R34" s="241">
        <f t="shared" si="29"/>
        <v>0</v>
      </c>
      <c r="S34" s="429"/>
      <c r="T34" s="222">
        <f t="shared" si="30"/>
        <v>0</v>
      </c>
      <c r="U34" s="241">
        <f t="shared" si="30"/>
        <v>0</v>
      </c>
      <c r="V34" s="401"/>
      <c r="W34" s="79"/>
      <c r="X34" s="79"/>
      <c r="Y34" s="79"/>
      <c r="Z34" s="79"/>
      <c r="AA34" s="79"/>
      <c r="AB34" s="79"/>
      <c r="AL34" s="169">
        <f>IF(AU34=0,0,IFERROR(INDEX(RanglisteST4!K:K,MATCH(AU34,RanglisteST4!A:A,0)),0))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0</v>
      </c>
      <c r="BH34" s="169" t="str">
        <f t="shared" ref="BH34:BH41" si="47">+BH33</f>
        <v>Highroller Rosenheim 1</v>
      </c>
      <c r="BI34" s="168">
        <f t="shared" si="43"/>
        <v>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0</v>
      </c>
      <c r="BM34" s="168">
        <f t="shared" si="46"/>
        <v>0</v>
      </c>
    </row>
    <row r="35" spans="1:65" ht="16.95" customHeight="1" thickBot="1">
      <c r="A35" s="405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30"/>
      <c r="H35" s="224"/>
      <c r="I35" s="242">
        <f t="shared" si="26"/>
        <v>0</v>
      </c>
      <c r="J35" s="430"/>
      <c r="K35" s="224"/>
      <c r="L35" s="242">
        <f t="shared" si="27"/>
        <v>0</v>
      </c>
      <c r="M35" s="430"/>
      <c r="N35" s="224"/>
      <c r="O35" s="242">
        <f t="shared" si="28"/>
        <v>0</v>
      </c>
      <c r="P35" s="430"/>
      <c r="Q35" s="224"/>
      <c r="R35" s="242">
        <f t="shared" si="29"/>
        <v>0</v>
      </c>
      <c r="S35" s="430"/>
      <c r="T35" s="224">
        <f t="shared" si="30"/>
        <v>0</v>
      </c>
      <c r="U35" s="242">
        <f t="shared" si="30"/>
        <v>0</v>
      </c>
      <c r="V35" s="402"/>
      <c r="W35" s="79"/>
      <c r="X35" s="79"/>
      <c r="Y35" s="79"/>
      <c r="Z35" s="79"/>
      <c r="AA35" s="79"/>
      <c r="AB35" s="79"/>
      <c r="AL35" s="169">
        <f>IF(AU35=0,0,IFERROR(INDEX(RanglisteST4!K:K,MATCH(AU35,RanglisteST4!A:A,0)),0))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0</v>
      </c>
      <c r="BH35" s="169" t="str">
        <f t="shared" si="47"/>
        <v>Highroller Rosenheim 1</v>
      </c>
      <c r="BI35" s="168">
        <f t="shared" si="43"/>
        <v>2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0</v>
      </c>
      <c r="BM35" s="168">
        <f t="shared" si="46"/>
        <v>0</v>
      </c>
    </row>
    <row r="36" spans="1:65" ht="16.95" customHeight="1">
      <c r="A36" s="403" t="s">
        <v>2</v>
      </c>
      <c r="B36" s="58" t="str">
        <f>IF(C36=0,"",VLOOKUP(C36,Starter!$A$1:$D$196,2,FALSE))</f>
        <v>Weiss, Luisa Samira</v>
      </c>
      <c r="C36" s="235">
        <v>38773</v>
      </c>
      <c r="D36" s="238">
        <f t="shared" si="24"/>
        <v>6</v>
      </c>
      <c r="E36" s="221">
        <v>109</v>
      </c>
      <c r="F36" s="240">
        <f t="shared" si="25"/>
        <v>115</v>
      </c>
      <c r="G36" s="428">
        <f>IF(SUM(F36:F38)+E49=0,0,IF(ABS(SUM(F36:F38))=E49,Spielorte!$A$30/2,IF(ABS(SUM(F36:F38))&gt;E49,Spielorte!$A$30,0)))</f>
        <v>0</v>
      </c>
      <c r="H36" s="221">
        <v>117</v>
      </c>
      <c r="I36" s="240">
        <f t="shared" si="26"/>
        <v>123</v>
      </c>
      <c r="J36" s="428">
        <f>IF(SUM(I36:I38)+H49=0,0,IF(ABS(SUM(I36:I38))=H49,Spielorte!$A$30/2,IF(ABS(SUM(I36:I38))&gt;H49,Spielorte!$A$30,0)))</f>
        <v>0</v>
      </c>
      <c r="K36" s="221">
        <v>114</v>
      </c>
      <c r="L36" s="240">
        <f t="shared" si="27"/>
        <v>120</v>
      </c>
      <c r="M36" s="428">
        <f>IF(SUM(L36:L38)+K49=0,0,IF(ABS(SUM(L36:L38))=K49,Spielorte!$A$30/2,IF(ABS(SUM(L36:L38))&gt;K49,Spielorte!$A$30,0)))</f>
        <v>0</v>
      </c>
      <c r="N36" s="221">
        <v>167</v>
      </c>
      <c r="O36" s="240">
        <f t="shared" si="28"/>
        <v>173</v>
      </c>
      <c r="P36" s="428">
        <f>IF(SUM(O36:O38)+N49=0,0,IF(ABS(SUM(O36:O38))=N49,Spielorte!$A$30/2,IF(ABS(SUM(O36:O38))&gt;N49,Spielorte!$A$30,0)))</f>
        <v>1</v>
      </c>
      <c r="Q36" s="221">
        <v>121</v>
      </c>
      <c r="R36" s="240">
        <f t="shared" si="29"/>
        <v>127</v>
      </c>
      <c r="S36" s="428">
        <f>IF(SUM(R36:R38)+Q49=0,0,IF(ABS(SUM(R36:R38))=Q49,Spielorte!$A$30/2,IF(ABS(SUM(R36:R38))&gt;Q49,Spielorte!$A$30,0)))</f>
        <v>0</v>
      </c>
      <c r="T36" s="221">
        <f t="shared" si="30"/>
        <v>628</v>
      </c>
      <c r="U36" s="240">
        <f t="shared" si="30"/>
        <v>658</v>
      </c>
      <c r="V36" s="400">
        <f>SUM(G36+J36+M36+P36+S36)</f>
        <v>1</v>
      </c>
      <c r="W36" s="79"/>
      <c r="X36" s="79"/>
      <c r="Y36" s="79"/>
      <c r="Z36" s="79"/>
      <c r="AA36" s="79"/>
      <c r="AB36" s="79"/>
      <c r="AL36" s="169">
        <f>IF(AU36=0,0,IFERROR(INDEX(RanglisteST4!K:K,MATCH(AU36,RanglisteST4!A:A,0)),0))</f>
        <v>152.76</v>
      </c>
      <c r="AM36" s="169">
        <f>IF(AU36=0,0,SUMIF(AU33:AU41,AU36,AV33:AV41))</f>
        <v>628</v>
      </c>
      <c r="AN36" s="169">
        <f>IF(AU36=0,0,SUMIF(AU33:AU41,AU36,AW33:AW41))</f>
        <v>5</v>
      </c>
      <c r="AO36" s="169">
        <f t="shared" si="31"/>
        <v>125.6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6</v>
      </c>
      <c r="AQ36" s="166"/>
      <c r="AR36" s="167"/>
      <c r="AS36" s="167"/>
      <c r="AT36" s="168"/>
      <c r="AU36" s="171">
        <f t="shared" si="32"/>
        <v>38773</v>
      </c>
      <c r="AV36" s="167">
        <f t="shared" si="33"/>
        <v>628</v>
      </c>
      <c r="AW36" s="169">
        <f t="shared" si="34"/>
        <v>5</v>
      </c>
      <c r="AX36" s="169">
        <f t="shared" si="35"/>
        <v>5</v>
      </c>
      <c r="AY36" s="169">
        <f t="shared" si="36"/>
        <v>109</v>
      </c>
      <c r="AZ36" s="169">
        <f t="shared" si="37"/>
        <v>117</v>
      </c>
      <c r="BA36" s="169">
        <f t="shared" si="38"/>
        <v>114</v>
      </c>
      <c r="BB36" s="169">
        <f t="shared" si="39"/>
        <v>167</v>
      </c>
      <c r="BC36" s="169">
        <f t="shared" si="40"/>
        <v>121</v>
      </c>
      <c r="BD36" s="170"/>
      <c r="BE36" s="168"/>
      <c r="BF36" s="169">
        <f t="shared" si="41"/>
        <v>167</v>
      </c>
      <c r="BG36" s="169">
        <f t="shared" si="42"/>
        <v>0</v>
      </c>
      <c r="BH36" s="169" t="str">
        <f t="shared" si="47"/>
        <v>Highroller Rosenheim 1</v>
      </c>
      <c r="BI36" s="168">
        <f t="shared" si="43"/>
        <v>2</v>
      </c>
      <c r="BJ36" s="169">
        <f t="shared" si="44"/>
        <v>628</v>
      </c>
      <c r="BK36" s="169">
        <f>IF(COUNTIF(AY36:BC36,"&gt;0")&lt;Spielorte!$A$23,0,AV36/Spielorte!$A$23)</f>
        <v>125.6</v>
      </c>
      <c r="BL36" s="169">
        <f t="shared" si="45"/>
        <v>0</v>
      </c>
      <c r="BM36" s="168">
        <f t="shared" si="46"/>
        <v>0</v>
      </c>
    </row>
    <row r="37" spans="1:65" ht="16.95" customHeight="1">
      <c r="A37" s="404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9"/>
      <c r="H37" s="222"/>
      <c r="I37" s="241">
        <f t="shared" si="26"/>
        <v>0</v>
      </c>
      <c r="J37" s="429"/>
      <c r="K37" s="222"/>
      <c r="L37" s="241">
        <f t="shared" si="27"/>
        <v>0</v>
      </c>
      <c r="M37" s="429"/>
      <c r="N37" s="222"/>
      <c r="O37" s="241">
        <f t="shared" si="28"/>
        <v>0</v>
      </c>
      <c r="P37" s="429"/>
      <c r="Q37" s="222"/>
      <c r="R37" s="241">
        <f t="shared" si="29"/>
        <v>0</v>
      </c>
      <c r="S37" s="429"/>
      <c r="T37" s="222">
        <f t="shared" si="30"/>
        <v>0</v>
      </c>
      <c r="U37" s="241">
        <f t="shared" si="30"/>
        <v>0</v>
      </c>
      <c r="V37" s="401"/>
      <c r="W37" s="79"/>
      <c r="X37" s="79"/>
      <c r="Y37" s="79"/>
      <c r="Z37" s="79"/>
      <c r="AA37" s="79"/>
      <c r="AB37" s="79"/>
      <c r="AL37" s="169">
        <f>IF(AU37=0,0,IFERROR(INDEX(RanglisteST4!K:K,MATCH(AU37,RanglisteST4!A:A,0)),0))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0</v>
      </c>
      <c r="BH37" s="169" t="str">
        <f t="shared" si="47"/>
        <v>Highroller Rosenheim 1</v>
      </c>
      <c r="BI37" s="168">
        <f t="shared" si="43"/>
        <v>2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0</v>
      </c>
      <c r="BM37" s="168">
        <f t="shared" si="46"/>
        <v>0</v>
      </c>
    </row>
    <row r="38" spans="1:65" ht="16.95" customHeight="1" thickBot="1">
      <c r="A38" s="405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30"/>
      <c r="H38" s="224"/>
      <c r="I38" s="242">
        <f t="shared" si="26"/>
        <v>0</v>
      </c>
      <c r="J38" s="430"/>
      <c r="K38" s="224"/>
      <c r="L38" s="242">
        <f t="shared" si="27"/>
        <v>0</v>
      </c>
      <c r="M38" s="430"/>
      <c r="N38" s="224"/>
      <c r="O38" s="242">
        <f t="shared" si="28"/>
        <v>0</v>
      </c>
      <c r="P38" s="430"/>
      <c r="Q38" s="224"/>
      <c r="R38" s="242">
        <f t="shared" si="29"/>
        <v>0</v>
      </c>
      <c r="S38" s="430"/>
      <c r="T38" s="224">
        <f t="shared" si="30"/>
        <v>0</v>
      </c>
      <c r="U38" s="242">
        <f t="shared" si="30"/>
        <v>0</v>
      </c>
      <c r="V38" s="402"/>
      <c r="W38" s="79"/>
      <c r="X38" s="79"/>
      <c r="Y38" s="79"/>
      <c r="Z38" s="79"/>
      <c r="AA38" s="79"/>
      <c r="AB38" s="79"/>
      <c r="AL38" s="169">
        <f>IF(AU38=0,0,IFERROR(INDEX(RanglisteST4!K:K,MATCH(AU38,RanglisteST4!A:A,0)),0))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0</v>
      </c>
      <c r="BH38" s="169" t="str">
        <f t="shared" si="47"/>
        <v>Highroller Rosenheim 1</v>
      </c>
      <c r="BI38" s="168">
        <f t="shared" si="43"/>
        <v>2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0</v>
      </c>
      <c r="BM38" s="168">
        <f t="shared" si="46"/>
        <v>0</v>
      </c>
    </row>
    <row r="39" spans="1:65" ht="16.95" customHeight="1">
      <c r="A39" s="403" t="s">
        <v>3</v>
      </c>
      <c r="B39" s="58" t="str">
        <f>IF(C39=0,"",VLOOKUP(C39,Starter!$A$1:$D$196,2,FALSE))</f>
        <v>Achhammer, Klara</v>
      </c>
      <c r="C39" s="235">
        <v>38760</v>
      </c>
      <c r="D39" s="238">
        <f t="shared" si="24"/>
        <v>6</v>
      </c>
      <c r="E39" s="221">
        <v>122</v>
      </c>
      <c r="F39" s="240">
        <f t="shared" si="25"/>
        <v>128</v>
      </c>
      <c r="G39" s="428">
        <f>IF(SUM(F39:F41)+E50=0,0,IF(ABS(SUM(F39:F41))=E50,Spielorte!$A$30/2,IF(ABS(SUM(F39:F41))&gt;E50,Spielorte!$A$30,0)))</f>
        <v>0</v>
      </c>
      <c r="H39" s="221">
        <v>139</v>
      </c>
      <c r="I39" s="240">
        <f t="shared" si="26"/>
        <v>145</v>
      </c>
      <c r="J39" s="428">
        <f>IF(SUM(I39:I41)+H50=0,0,IF(ABS(SUM(I39:I41))=H50,Spielorte!$A$30/2,IF(ABS(SUM(I39:I41))&gt;H50,Spielorte!$A$30,0)))</f>
        <v>1</v>
      </c>
      <c r="K39" s="221">
        <v>98</v>
      </c>
      <c r="L39" s="240">
        <f t="shared" si="27"/>
        <v>104</v>
      </c>
      <c r="M39" s="428">
        <f>IF(SUM(L39:L41)+K50=0,0,IF(ABS(SUM(L39:L41))=K50,Spielorte!$A$30/2,IF(ABS(SUM(L39:L41))&gt;K50,Spielorte!$A$30,0)))</f>
        <v>0</v>
      </c>
      <c r="N39" s="221">
        <v>120</v>
      </c>
      <c r="O39" s="240">
        <f t="shared" si="28"/>
        <v>126</v>
      </c>
      <c r="P39" s="428">
        <f>IF(SUM(O39:O41)+N50=0,0,IF(ABS(SUM(O39:O41))=N50,Spielorte!$A$30/2,IF(ABS(SUM(O39:O41))&gt;N50,Spielorte!$A$30,0)))</f>
        <v>0</v>
      </c>
      <c r="Q39" s="221">
        <v>132</v>
      </c>
      <c r="R39" s="240">
        <f t="shared" si="29"/>
        <v>138</v>
      </c>
      <c r="S39" s="428">
        <f>IF(SUM(R39:R41)+Q50=0,0,IF(ABS(SUM(R39:R41))=Q50,Spielorte!$A$30/2,IF(ABS(SUM(R39:R41))&gt;Q50,Spielorte!$A$30,0)))</f>
        <v>0</v>
      </c>
      <c r="T39" s="221">
        <f t="shared" si="30"/>
        <v>611</v>
      </c>
      <c r="U39" s="240">
        <f t="shared" si="30"/>
        <v>641</v>
      </c>
      <c r="V39" s="400">
        <f>SUM(G39+J39+M39+P39+S39)</f>
        <v>1</v>
      </c>
      <c r="W39" s="79"/>
      <c r="X39" s="79"/>
      <c r="Y39" s="79"/>
      <c r="Z39" s="79"/>
      <c r="AA39" s="79"/>
      <c r="AB39" s="79"/>
      <c r="AL39" s="169">
        <f>IF(AU39=0,0,IFERROR(INDEX(RanglisteST4!K:K,MATCH(AU39,RanglisteST4!A:A,0)),0))</f>
        <v>152.94999999999999</v>
      </c>
      <c r="AM39" s="169">
        <f>IF(AU39=0,0,SUMIF(AU33:AU41,AU39,AV33:AV41))</f>
        <v>611</v>
      </c>
      <c r="AN39" s="169">
        <f>IF(AU39=0,0,SUMIF(AU33:AU41,AU39,AW33:AW41))</f>
        <v>5</v>
      </c>
      <c r="AO39" s="169">
        <f t="shared" si="31"/>
        <v>122.2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6</v>
      </c>
      <c r="AQ39" s="166"/>
      <c r="AR39" s="167"/>
      <c r="AS39" s="167"/>
      <c r="AT39" s="168"/>
      <c r="AU39" s="171">
        <f t="shared" si="32"/>
        <v>38760</v>
      </c>
      <c r="AV39" s="167">
        <f t="shared" si="33"/>
        <v>611</v>
      </c>
      <c r="AW39" s="169">
        <f t="shared" si="34"/>
        <v>5</v>
      </c>
      <c r="AX39" s="169">
        <f t="shared" si="35"/>
        <v>5</v>
      </c>
      <c r="AY39" s="169">
        <f t="shared" si="36"/>
        <v>122</v>
      </c>
      <c r="AZ39" s="169">
        <f t="shared" si="37"/>
        <v>139</v>
      </c>
      <c r="BA39" s="169">
        <f t="shared" si="38"/>
        <v>98</v>
      </c>
      <c r="BB39" s="169">
        <f t="shared" si="39"/>
        <v>120</v>
      </c>
      <c r="BC39" s="169">
        <f t="shared" si="40"/>
        <v>132</v>
      </c>
      <c r="BD39" s="170"/>
      <c r="BE39" s="168"/>
      <c r="BF39" s="169">
        <f t="shared" si="41"/>
        <v>139</v>
      </c>
      <c r="BG39" s="169">
        <f t="shared" si="42"/>
        <v>0</v>
      </c>
      <c r="BH39" s="169" t="str">
        <f t="shared" si="47"/>
        <v>Highroller Rosenheim 1</v>
      </c>
      <c r="BI39" s="168">
        <f t="shared" si="43"/>
        <v>2</v>
      </c>
      <c r="BJ39" s="169">
        <f t="shared" si="44"/>
        <v>611</v>
      </c>
      <c r="BK39" s="169">
        <f>IF(COUNTIF(AY39:BC39,"&gt;0")&lt;Spielorte!$A$23,0,AV39/Spielorte!$A$23)</f>
        <v>122.2</v>
      </c>
      <c r="BL39" s="169">
        <f t="shared" si="45"/>
        <v>0</v>
      </c>
      <c r="BM39" s="168">
        <f t="shared" si="46"/>
        <v>0</v>
      </c>
    </row>
    <row r="40" spans="1:65" ht="16.95" customHeight="1">
      <c r="A40" s="404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9"/>
      <c r="H40" s="222"/>
      <c r="I40" s="241">
        <f t="shared" si="26"/>
        <v>0</v>
      </c>
      <c r="J40" s="429"/>
      <c r="K40" s="222"/>
      <c r="L40" s="241">
        <f t="shared" si="27"/>
        <v>0</v>
      </c>
      <c r="M40" s="429"/>
      <c r="N40" s="222"/>
      <c r="O40" s="241">
        <f t="shared" si="28"/>
        <v>0</v>
      </c>
      <c r="P40" s="429"/>
      <c r="Q40" s="222"/>
      <c r="R40" s="241">
        <f t="shared" si="29"/>
        <v>0</v>
      </c>
      <c r="S40" s="429"/>
      <c r="T40" s="222">
        <f t="shared" si="30"/>
        <v>0</v>
      </c>
      <c r="U40" s="241">
        <f t="shared" si="30"/>
        <v>0</v>
      </c>
      <c r="V40" s="401"/>
      <c r="W40" s="79"/>
      <c r="X40" s="79"/>
      <c r="Y40" s="79"/>
      <c r="Z40" s="79"/>
      <c r="AA40" s="79"/>
      <c r="AB40" s="79"/>
      <c r="AL40" s="169">
        <f>IF(AU40=0,0,IFERROR(INDEX(RanglisteST4!K:K,MATCH(AU40,RanglisteST4!A:A,0)),0))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0</v>
      </c>
      <c r="BH40" s="169" t="str">
        <f t="shared" si="47"/>
        <v>Highroller Rosenheim 1</v>
      </c>
      <c r="BI40" s="168">
        <f t="shared" si="43"/>
        <v>2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0</v>
      </c>
      <c r="BM40" s="168">
        <f t="shared" si="46"/>
        <v>0</v>
      </c>
    </row>
    <row r="41" spans="1:65" ht="16.95" customHeight="1" thickBot="1">
      <c r="A41" s="405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30"/>
      <c r="H41" s="224"/>
      <c r="I41" s="242">
        <f t="shared" si="26"/>
        <v>0</v>
      </c>
      <c r="J41" s="430"/>
      <c r="K41" s="224"/>
      <c r="L41" s="242">
        <f t="shared" si="27"/>
        <v>0</v>
      </c>
      <c r="M41" s="430"/>
      <c r="N41" s="224"/>
      <c r="O41" s="242">
        <f t="shared" si="28"/>
        <v>0</v>
      </c>
      <c r="P41" s="430"/>
      <c r="Q41" s="224"/>
      <c r="R41" s="242">
        <f t="shared" si="29"/>
        <v>0</v>
      </c>
      <c r="S41" s="430"/>
      <c r="T41" s="224">
        <f t="shared" si="30"/>
        <v>0</v>
      </c>
      <c r="U41" s="242">
        <f t="shared" si="30"/>
        <v>0</v>
      </c>
      <c r="V41" s="402"/>
      <c r="W41" s="79"/>
      <c r="X41" s="79"/>
      <c r="Y41" s="79"/>
      <c r="Z41" s="79"/>
      <c r="AA41" s="79"/>
      <c r="AB41" s="79"/>
      <c r="AL41" s="169">
        <f>IF(AU41=0,0,IFERROR(INDEX(RanglisteST4!K:K,MATCH(AU41,RanglisteST4!A:A,0)),0))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0</v>
      </c>
      <c r="BH41" s="169" t="str">
        <f t="shared" si="47"/>
        <v>Highroller Rosenheim 1</v>
      </c>
      <c r="BI41" s="168">
        <f t="shared" si="43"/>
        <v>2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0</v>
      </c>
      <c r="BM41" s="168">
        <f t="shared" si="46"/>
        <v>0</v>
      </c>
    </row>
    <row r="42" spans="1:65" ht="27.75" customHeight="1" thickBot="1">
      <c r="B42" s="218" t="s">
        <v>1792</v>
      </c>
      <c r="C42" s="204"/>
      <c r="D42" s="219"/>
      <c r="E42" s="226">
        <f>ABS(SUM(E33:E35))+ABS(SUM(E36:E38))+ABS(SUM(E39:E41))</f>
        <v>379</v>
      </c>
      <c r="F42" s="225">
        <f>ABS(SUM(F33:F35))+ABS(SUM(F36:F38))+ABS(SUM(F39:F41))</f>
        <v>396</v>
      </c>
      <c r="G42" s="81">
        <f>IF(F42+E51=0,0,IF(F42=E51,Spielorte!$A$31/2,IF(F42&gt;E51,Spielorte!$A$31,0)))</f>
        <v>0</v>
      </c>
      <c r="H42" s="226">
        <f>ABS(SUM(H33:H35))+ABS(SUM(H36:H38))+ABS(SUM(H39:H41))</f>
        <v>386</v>
      </c>
      <c r="I42" s="225">
        <f>ABS(SUM(I33:I35))+ABS(SUM(I36:I38))+ABS(SUM(I39:I41))</f>
        <v>403</v>
      </c>
      <c r="J42" s="81">
        <f>IF(I42+H51=0,0,IF(I42=H51,Spielorte!$A$31/2,IF(I42&gt;H51,Spielorte!$A$31,0)))</f>
        <v>0</v>
      </c>
      <c r="K42" s="226">
        <f>ABS(SUM(K33:K35))+ABS(SUM(K36:K38))+ABS(SUM(K39:K41))</f>
        <v>317</v>
      </c>
      <c r="L42" s="225">
        <f>ABS(SUM(L33:L35))+ABS(SUM(L36:L38))+ABS(SUM(L39:L41))</f>
        <v>334</v>
      </c>
      <c r="M42" s="81">
        <f>IF(L42+K51=0,0,IF(L42=K51,Spielorte!$A$31/2,IF(L42&gt;K51,Spielorte!$A$31,0)))</f>
        <v>0</v>
      </c>
      <c r="N42" s="226">
        <f>ABS(SUM(N33:N35))+ABS(SUM(N36:N38))+ABS(SUM(N39:N41))</f>
        <v>448</v>
      </c>
      <c r="O42" s="225">
        <f>ABS(SUM(O33:O35))+ABS(SUM(O36:O38))+ABS(SUM(O39:O41))</f>
        <v>465</v>
      </c>
      <c r="P42" s="81">
        <f>IF(O42+N51=0,0,IF(O42=N51,Spielorte!$A$31/2,IF(O42&gt;N51,Spielorte!$A$31,0)))</f>
        <v>0</v>
      </c>
      <c r="Q42" s="226">
        <f>ABS(SUM(Q33:Q35))+ABS(SUM(Q36:Q38))+ABS(SUM(Q39:Q41))</f>
        <v>411</v>
      </c>
      <c r="R42" s="225">
        <f>ABS(SUM(R33:R35))+ABS(SUM(R36:R38))+ABS(SUM(R39:R41))</f>
        <v>428</v>
      </c>
      <c r="S42" s="81">
        <f>IF(R42+Q51=0,0,IF(R42=Q51,Spielorte!$A$31/2,IF(R42&gt;Q51,Spielorte!$A$31,0)))</f>
        <v>0</v>
      </c>
      <c r="T42" s="228">
        <f>SUM(E42+H42+K42+N42+Q42)</f>
        <v>1941</v>
      </c>
      <c r="U42" s="229">
        <f>SUM(F42+I42+L42+O42+R42)</f>
        <v>2026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>
      <c r="B43" s="230" t="s">
        <v>1803</v>
      </c>
      <c r="C43" s="1"/>
      <c r="D43" s="1"/>
      <c r="E43" s="1"/>
      <c r="F43" s="1"/>
      <c r="G43" s="61">
        <f>SUM(G33:G42)</f>
        <v>1</v>
      </c>
      <c r="H43" s="1"/>
      <c r="I43" s="1"/>
      <c r="J43" s="61">
        <f>SUM(J33:J42)</f>
        <v>1</v>
      </c>
      <c r="K43" s="1"/>
      <c r="L43" s="1"/>
      <c r="M43" s="61">
        <f>SUM(M33:M42)</f>
        <v>0</v>
      </c>
      <c r="N43" s="1"/>
      <c r="O43" s="1"/>
      <c r="P43" s="61">
        <f>SUM(P33:P42)</f>
        <v>1</v>
      </c>
      <c r="Q43" s="1"/>
      <c r="R43" s="1"/>
      <c r="S43" s="61">
        <f>SUM(S33:S42)</f>
        <v>0</v>
      </c>
      <c r="T43" s="1"/>
      <c r="U43" s="1"/>
      <c r="V43" s="61">
        <f>SUM(V33:V42)</f>
        <v>3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3</v>
      </c>
      <c r="AR43" s="167">
        <f>+T42</f>
        <v>1941</v>
      </c>
      <c r="AS43" s="167">
        <f>+U42</f>
        <v>2026</v>
      </c>
      <c r="AT43" s="168">
        <f>+B28</f>
        <v>2</v>
      </c>
      <c r="AW43" s="169">
        <f>SUM(AW27:AW42)</f>
        <v>15</v>
      </c>
      <c r="BD43" s="166">
        <f>+AS43/1000000+AQ43+AR43/1000000000000</f>
        <v>3.0020260019409997</v>
      </c>
      <c r="BE43" s="168">
        <f>RANK(BD43,BD:BD)</f>
        <v>8</v>
      </c>
      <c r="BI43" s="168"/>
      <c r="BM43" s="168"/>
    </row>
    <row r="44" spans="1:65" ht="11.25" customHeight="1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>
      <c r="B45" s="231" t="s">
        <v>1790</v>
      </c>
      <c r="C45" s="210"/>
      <c r="D45" s="42"/>
      <c r="E45" s="434">
        <f>VLOOKUP($B28,Schlüssel!$A$5:$EK$12,63)</f>
        <v>7</v>
      </c>
      <c r="F45" s="435"/>
      <c r="G45" s="436"/>
      <c r="H45" s="434">
        <f>VLOOKUP($B28,Schlüssel!$A$5:$EK$12,64)</f>
        <v>5</v>
      </c>
      <c r="I45" s="435"/>
      <c r="J45" s="436"/>
      <c r="K45" s="434">
        <f>VLOOKUP($B28,Schlüssel!$A$5:$EK$12,65)</f>
        <v>3</v>
      </c>
      <c r="L45" s="435"/>
      <c r="M45" s="436"/>
      <c r="N45" s="434">
        <f>VLOOKUP($B28,Schlüssel!$A$5:$EK$12,66)</f>
        <v>8</v>
      </c>
      <c r="O45" s="435"/>
      <c r="P45" s="436"/>
      <c r="Q45" s="434">
        <f>VLOOKUP($B28,Schlüssel!$A$5:$EK$12,67)</f>
        <v>1</v>
      </c>
      <c r="R45" s="435"/>
      <c r="S45" s="436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>
      <c r="B46" s="3" t="s">
        <v>9</v>
      </c>
      <c r="C46" s="1"/>
      <c r="D46" s="1"/>
      <c r="E46" s="395" t="str">
        <f>VLOOKUP(E45,Schlüssel!$A$5:$K$12,2)</f>
        <v>BK München 1</v>
      </c>
      <c r="F46" s="438"/>
      <c r="G46" s="396"/>
      <c r="H46" s="395" t="str">
        <f>VLOOKUP(H45,Schlüssel!$A$5:$K$12,2)</f>
        <v>Berchtesgaden 1</v>
      </c>
      <c r="I46" s="438"/>
      <c r="J46" s="396"/>
      <c r="K46" s="395" t="str">
        <f>VLOOKUP(K45,Schlüssel!$A$5:$K$12,2)</f>
        <v>Highroller Rosenheim 2</v>
      </c>
      <c r="L46" s="438"/>
      <c r="M46" s="396"/>
      <c r="N46" s="395" t="str">
        <f>VLOOKUP(N45,Schlüssel!$A$5:$K$12,2)</f>
        <v>EMAX 1</v>
      </c>
      <c r="O46" s="438"/>
      <c r="P46" s="396"/>
      <c r="Q46" s="395" t="str">
        <f>VLOOKUP(Q45,Schlüssel!$A$5:$K$12,2)</f>
        <v>Bad Tölz 1</v>
      </c>
      <c r="R46" s="438"/>
      <c r="S46" s="396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" customHeight="1">
      <c r="B48" s="417" t="s">
        <v>2275</v>
      </c>
      <c r="C48" s="418"/>
      <c r="D48" s="419"/>
      <c r="E48" s="431">
        <f>ABS(INDEX(F:F,MATCH(E45,$B:$B,0)+5)+INDEX(F:F,MATCH(E45,$B:$B,0)+6)+INDEX(F:F,MATCH(E45,$B:$B,0)+7))</f>
        <v>115</v>
      </c>
      <c r="F48" s="432"/>
      <c r="G48" s="433"/>
      <c r="H48" s="431">
        <f>ABS(INDEX(I:I,MATCH(H45,$B:$B,0)+5)+INDEX(I:I,MATCH(H45,$B:$B,0)+6)+INDEX(I:I,MATCH(H45,$B:$B,0)+7))</f>
        <v>139</v>
      </c>
      <c r="I48" s="432"/>
      <c r="J48" s="433"/>
      <c r="K48" s="431">
        <f>ABS(INDEX(L:L,MATCH(K45,$B:$B,0)+5)+INDEX(L:L,MATCH(K45,$B:$B,0)+6)+INDEX(L:L,MATCH(K45,$B:$B,0)+7))</f>
        <v>159</v>
      </c>
      <c r="L48" s="432"/>
      <c r="M48" s="433"/>
      <c r="N48" s="431">
        <f>ABS(INDEX(O:O,MATCH(N45,$B:$B,0)+5)+INDEX(O:O,MATCH(N45,$B:$B,0)+6)+INDEX(O:O,MATCH(N45,$B:$B,0)+7))</f>
        <v>222</v>
      </c>
      <c r="O48" s="432"/>
      <c r="P48" s="433"/>
      <c r="Q48" s="431">
        <f>ABS(INDEX(R:R,MATCH(Q45,$B:$B,0)+5)+INDEX(R:R,MATCH(Q45,$B:$B,0)+6)+INDEX(R:R,MATCH(Q45,$B:$B,0)+7))</f>
        <v>180</v>
      </c>
      <c r="R48" s="432"/>
      <c r="S48" s="433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" customHeight="1">
      <c r="B49" s="417" t="s">
        <v>2276</v>
      </c>
      <c r="C49" s="418"/>
      <c r="D49" s="419"/>
      <c r="E49" s="424">
        <f>ABS(INDEX(F:F,MATCH(E45,$B:$B,0)+8)+INDEX(F:F,MATCH(E45,$B:$B,0)+9)+INDEX(F:F,MATCH(E45,$B:$B,0)+10))</f>
        <v>138</v>
      </c>
      <c r="F49" s="425"/>
      <c r="G49" s="426"/>
      <c r="H49" s="424">
        <f>ABS(INDEX(I:I,MATCH(H45,$B:$B,0)+8)+INDEX(I:I,MATCH(H45,$B:$B,0)+9)+INDEX(I:I,MATCH(H45,$B:$B,0)+10))</f>
        <v>173</v>
      </c>
      <c r="I49" s="425"/>
      <c r="J49" s="426"/>
      <c r="K49" s="424">
        <f>ABS(INDEX(L:L,MATCH(K45,$B:$B,0)+8)+INDEX(L:L,MATCH(K45,$B:$B,0)+9)+INDEX(L:L,MATCH(K45,$B:$B,0)+10))</f>
        <v>143</v>
      </c>
      <c r="L49" s="425"/>
      <c r="M49" s="426"/>
      <c r="N49" s="424">
        <f>ABS(INDEX(O:O,MATCH(N45,$B:$B,0)+8)+INDEX(O:O,MATCH(N45,$B:$B,0)+9)+INDEX(O:O,MATCH(N45,$B:$B,0)+10))</f>
        <v>131</v>
      </c>
      <c r="O49" s="425"/>
      <c r="P49" s="426"/>
      <c r="Q49" s="424">
        <f>ABS(INDEX(R:R,MATCH(Q45,$B:$B,0)+8)+INDEX(R:R,MATCH(Q45,$B:$B,0)+9)+INDEX(R:R,MATCH(Q45,$B:$B,0)+10))</f>
        <v>164</v>
      </c>
      <c r="R49" s="425"/>
      <c r="S49" s="426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" customHeight="1">
      <c r="B50" s="417" t="s">
        <v>2277</v>
      </c>
      <c r="C50" s="418"/>
      <c r="D50" s="419"/>
      <c r="E50" s="424">
        <f>ABS(INDEX(F:F,MATCH(E45,$B:$B,0)+11)+INDEX(F:F,MATCH(E45,$B:$B,0)+12)+INDEX(F:F,MATCH(E45,$B:$B,0)+13))</f>
        <v>166</v>
      </c>
      <c r="F50" s="425"/>
      <c r="G50" s="426"/>
      <c r="H50" s="424">
        <f>ABS(INDEX(I:I,MATCH(H45,$B:$B,0)+11)+INDEX(I:I,MATCH(H45,$B:$B,0)+12)+INDEX(I:I,MATCH(H45,$B:$B,0)+13))</f>
        <v>105</v>
      </c>
      <c r="I50" s="425"/>
      <c r="J50" s="426"/>
      <c r="K50" s="424">
        <f>ABS(INDEX(L:L,MATCH(K45,$B:$B,0)+11)+INDEX(L:L,MATCH(K45,$B:$B,0)+12)+INDEX(L:L,MATCH(K45,$B:$B,0)+13))</f>
        <v>137</v>
      </c>
      <c r="L50" s="425"/>
      <c r="M50" s="426"/>
      <c r="N50" s="424">
        <f>ABS(INDEX(O:O,MATCH(N45,$B:$B,0)+11)+INDEX(O:O,MATCH(N45,$B:$B,0)+12)+INDEX(O:O,MATCH(N45,$B:$B,0)+13))</f>
        <v>132</v>
      </c>
      <c r="O50" s="425"/>
      <c r="P50" s="426"/>
      <c r="Q50" s="424">
        <f>ABS(INDEX(R:R,MATCH(Q45,$B:$B,0)+11)+INDEX(R:R,MATCH(Q45,$B:$B,0)+12)+INDEX(R:R,MATCH(Q45,$B:$B,0)+13))</f>
        <v>165</v>
      </c>
      <c r="R50" s="425"/>
      <c r="S50" s="426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" customHeight="1">
      <c r="B51" s="420" t="s">
        <v>2278</v>
      </c>
      <c r="C51" s="421"/>
      <c r="D51" s="422"/>
      <c r="E51" s="407">
        <f>SUM(E48:E50)</f>
        <v>419</v>
      </c>
      <c r="F51" s="423"/>
      <c r="G51" s="408"/>
      <c r="H51" s="407">
        <f>SUM(H48:H50)</f>
        <v>417</v>
      </c>
      <c r="I51" s="423"/>
      <c r="J51" s="408"/>
      <c r="K51" s="407">
        <f>SUM(K48:K50)</f>
        <v>439</v>
      </c>
      <c r="L51" s="423"/>
      <c r="M51" s="408"/>
      <c r="N51" s="407">
        <f>SUM(N48:N50)</f>
        <v>485</v>
      </c>
      <c r="O51" s="423"/>
      <c r="P51" s="408"/>
      <c r="Q51" s="407">
        <f>SUM(Q48:Q50)</f>
        <v>509</v>
      </c>
      <c r="R51" s="423"/>
      <c r="S51" s="408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>
      <c r="A53" s="255"/>
      <c r="B53" s="7" t="s">
        <v>1802</v>
      </c>
      <c r="C53" s="24"/>
      <c r="D53" s="24"/>
      <c r="E53" s="35" t="s">
        <v>1786</v>
      </c>
      <c r="F53" s="35"/>
      <c r="G53" s="427" t="str">
        <f>Schlüssel!$C$1</f>
        <v>Landesliga Jugend</v>
      </c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  <c r="S53" s="406">
        <f>Schlüssel!$BU$1</f>
        <v>45787</v>
      </c>
      <c r="T53" s="406"/>
      <c r="U53" s="406"/>
      <c r="V53" s="406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>
      <c r="A54" s="53"/>
      <c r="B54" s="54">
        <v>3</v>
      </c>
      <c r="E54" s="35" t="s">
        <v>1787</v>
      </c>
      <c r="F54" s="35"/>
      <c r="G54" s="413" t="str">
        <f>Schlüssel!$BK$2</f>
        <v>Bad Tölz Flint Bowling</v>
      </c>
      <c r="H54" s="413"/>
      <c r="I54" s="413"/>
      <c r="J54" s="413"/>
      <c r="K54" s="413"/>
      <c r="L54" s="413"/>
      <c r="M54" s="413"/>
      <c r="N54" s="413"/>
      <c r="O54" s="413"/>
      <c r="P54" s="66"/>
      <c r="Q54" s="411" t="s">
        <v>1785</v>
      </c>
      <c r="R54" s="412"/>
      <c r="S54" s="38">
        <v>4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>
      <c r="B55" s="414" t="str">
        <f>VLOOKUP(B54,Schlüssel!$A$5:$B$12,2)</f>
        <v>Highroller Rosenheim 2</v>
      </c>
      <c r="C55" s="415"/>
      <c r="D55" s="415"/>
      <c r="E55" s="415"/>
      <c r="F55" s="415"/>
      <c r="G55" s="416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3.8" hidden="1" thickBot="1">
      <c r="A56" s="6"/>
      <c r="B56" s="7"/>
      <c r="C56" s="43"/>
      <c r="D56" s="43"/>
      <c r="E56" s="162" t="s">
        <v>10</v>
      </c>
      <c r="F56" s="220"/>
      <c r="G56" s="159">
        <f>VLOOKUP(B54,Schlüssel!$A$5:$EK$12,73)</f>
        <v>4</v>
      </c>
      <c r="H56" s="161" t="s">
        <v>10</v>
      </c>
      <c r="I56" s="220"/>
      <c r="J56" s="159">
        <f>VLOOKUP(B54,Schlüssel!$A$5:$EK$12,74)</f>
        <v>8</v>
      </c>
      <c r="K56" s="161" t="s">
        <v>10</v>
      </c>
      <c r="L56" s="220"/>
      <c r="M56" s="159">
        <f>VLOOKUP(B54,Schlüssel!$A$5:$EK$12,75)</f>
        <v>3</v>
      </c>
      <c r="N56" s="161" t="s">
        <v>10</v>
      </c>
      <c r="O56" s="220"/>
      <c r="P56" s="159">
        <f>VLOOKUP(B54,Schlüssel!$A$5:$EK$12,76)</f>
        <v>6</v>
      </c>
      <c r="Q56" s="161" t="s">
        <v>10</v>
      </c>
      <c r="R56" s="220"/>
      <c r="S56" s="160">
        <f>VLOOKUP(B54,Schlüssel!$A$5:$EK$12,77)</f>
        <v>2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>
      <c r="B57" s="44" t="s">
        <v>1</v>
      </c>
      <c r="C57" s="208"/>
      <c r="D57" s="217"/>
      <c r="E57" s="423" t="s">
        <v>1793</v>
      </c>
      <c r="F57" s="423"/>
      <c r="G57" s="408"/>
      <c r="H57" s="407" t="s">
        <v>1794</v>
      </c>
      <c r="I57" s="423"/>
      <c r="J57" s="408"/>
      <c r="K57" s="407" t="s">
        <v>1795</v>
      </c>
      <c r="L57" s="423"/>
      <c r="M57" s="408"/>
      <c r="N57" s="407" t="s">
        <v>1796</v>
      </c>
      <c r="O57" s="423"/>
      <c r="P57" s="408"/>
      <c r="Q57" s="407" t="s">
        <v>1797</v>
      </c>
      <c r="R57" s="423"/>
      <c r="S57" s="437"/>
      <c r="T57" s="439" t="s">
        <v>1792</v>
      </c>
      <c r="U57" s="440"/>
      <c r="V57" s="410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6.95" customHeight="1">
      <c r="A59" s="403" t="s">
        <v>0</v>
      </c>
      <c r="B59" s="58" t="str">
        <f>IF(C59=0,"",VLOOKUP(C59,Starter!$A$1:$D$196,2,FALSE))</f>
        <v>Schwarzfischer, Leon</v>
      </c>
      <c r="C59" s="232">
        <v>38920</v>
      </c>
      <c r="D59" s="238">
        <f t="shared" ref="D59:D67" si="48">+AP59</f>
        <v>45</v>
      </c>
      <c r="E59" s="221">
        <v>77</v>
      </c>
      <c r="F59" s="240">
        <f t="shared" ref="F59:F67" si="49">IF(E59&gt;0,E59+$D59,0)</f>
        <v>122</v>
      </c>
      <c r="G59" s="428">
        <f>IF(SUM(F59:F61)+E74=0,0,IF(ABS(SUM(F59:F61))=E74,Spielorte!$A$30/2,IF(ABS(SUM(F59:F61))&gt;E74,Spielorte!$A$30,0)))</f>
        <v>0</v>
      </c>
      <c r="H59" s="221">
        <v>91</v>
      </c>
      <c r="I59" s="240">
        <f t="shared" ref="I59:I67" si="50">IF(H59&gt;0,H59+$D59,0)</f>
        <v>136</v>
      </c>
      <c r="J59" s="428">
        <f>IF(SUM(I59:I61)+H74=0,0,IF(ABS(SUM(I59:I61))=H74,Spielorte!$A$30/2,IF(ABS(SUM(I59:I61))&gt;H74,Spielorte!$A$30,0)))</f>
        <v>0</v>
      </c>
      <c r="K59" s="221">
        <v>114</v>
      </c>
      <c r="L59" s="240">
        <f t="shared" ref="L59:L67" si="51">IF(K59&gt;0,K59+$D59,0)</f>
        <v>159</v>
      </c>
      <c r="M59" s="428">
        <f>IF(SUM(L59:L61)+K74=0,0,IF(ABS(SUM(L59:L61))=K74,Spielorte!$A$30/2,IF(ABS(SUM(L59:L61))&gt;K74,Spielorte!$A$30,0)))</f>
        <v>1</v>
      </c>
      <c r="N59" s="221">
        <v>135</v>
      </c>
      <c r="O59" s="240">
        <f t="shared" ref="O59:O67" si="52">IF(N59&gt;0,N59+$D59,0)</f>
        <v>180</v>
      </c>
      <c r="P59" s="428">
        <f>IF(SUM(O59:O61)+N74=0,0,IF(ABS(SUM(O59:O61))=N74,Spielorte!$A$30/2,IF(ABS(SUM(O59:O61))&gt;N74,Spielorte!$A$30,0)))</f>
        <v>1</v>
      </c>
      <c r="Q59" s="221">
        <v>108</v>
      </c>
      <c r="R59" s="240">
        <f t="shared" ref="R59:R67" si="53">IF(Q59&gt;0,Q59+$D59,0)</f>
        <v>153</v>
      </c>
      <c r="S59" s="428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525</v>
      </c>
      <c r="U59" s="240">
        <f t="shared" si="54"/>
        <v>750</v>
      </c>
      <c r="V59" s="400">
        <f>SUM(G59+J59+M59+P59+S59)</f>
        <v>2</v>
      </c>
      <c r="W59" s="79"/>
      <c r="X59" s="79"/>
      <c r="Y59" s="79"/>
      <c r="Z59" s="79"/>
      <c r="AA59" s="79"/>
      <c r="AB59" s="79"/>
      <c r="AL59" s="169">
        <f>IF(AU59=0,0,IFERROR(INDEX(RanglisteST4!K:K,MATCH(AU59,RanglisteST4!A:A,0)),0))</f>
        <v>103.87</v>
      </c>
      <c r="AM59" s="169">
        <f>IF(AU59=0,0,SUMIF(AU59:AU67,AU59,AV59:AV67))</f>
        <v>525</v>
      </c>
      <c r="AN59" s="169">
        <f>IF(AU59=0,0,SUMIF(AU59:AU67,AU59,AW59:AW67))</f>
        <v>5</v>
      </c>
      <c r="AO59" s="169">
        <f t="shared" ref="AO59:AO67" si="55">IFERROR(AM59/AN59,0)</f>
        <v>105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45</v>
      </c>
      <c r="AQ59" s="166"/>
      <c r="AR59" s="167"/>
      <c r="AS59" s="167"/>
      <c r="AT59" s="168"/>
      <c r="AU59" s="171">
        <f t="shared" ref="AU59:AU67" si="56">C59</f>
        <v>38920</v>
      </c>
      <c r="AV59" s="167">
        <f t="shared" ref="AV59:AV67" si="57">T59</f>
        <v>525</v>
      </c>
      <c r="AW59" s="169">
        <f t="shared" ref="AW59:AW67" si="58">COUNT(AY59:BC59)</f>
        <v>5</v>
      </c>
      <c r="AX59" s="169">
        <f t="shared" ref="AX59:AX67" si="59">COUNTIF(AY59:BC59,"&gt;0")</f>
        <v>5</v>
      </c>
      <c r="AY59" s="169">
        <f t="shared" ref="AY59:AY67" si="60">IF(E59=0,"",E59)</f>
        <v>77</v>
      </c>
      <c r="AZ59" s="169">
        <f t="shared" ref="AZ59:AZ67" si="61">IF(H59=0,"",H59)</f>
        <v>91</v>
      </c>
      <c r="BA59" s="169">
        <f t="shared" ref="BA59:BA67" si="62">IF(K59=0,"",K59)</f>
        <v>114</v>
      </c>
      <c r="BB59" s="169">
        <f t="shared" ref="BB59:BB67" si="63">IF(N59=0,"",N59)</f>
        <v>135</v>
      </c>
      <c r="BC59" s="169">
        <f t="shared" ref="BC59:BC67" si="64">IF(Q59=0,"",Q59)</f>
        <v>108</v>
      </c>
      <c r="BD59" s="170"/>
      <c r="BE59" s="168"/>
      <c r="BF59" s="169">
        <f t="shared" ref="BF59:BF67" si="65">MAX(AY59:BC59)</f>
        <v>135</v>
      </c>
      <c r="BG59" s="169">
        <f t="shared" ref="BG59:BG67" si="66">IF(BF59&lt;MAX(BF:BF),0,BF59+ROW()/1000000000)</f>
        <v>0</v>
      </c>
      <c r="BH59" s="169" t="str">
        <f>+B55</f>
        <v>Highroller Rosenheim 2</v>
      </c>
      <c r="BI59" s="168">
        <f t="shared" ref="BI59:BI67" si="67">RANK(BG59,BG:BG)</f>
        <v>2</v>
      </c>
      <c r="BJ59" s="169">
        <f t="shared" ref="BJ59:BJ67" si="68">SUMIF(AY59:BC59,"&gt;0")</f>
        <v>525</v>
      </c>
      <c r="BK59" s="169">
        <f>IF(COUNTIF(AY59:BC59,"&gt;0")&lt;Spielorte!$A$23,0,AV59/Spielorte!$A$23)</f>
        <v>105</v>
      </c>
      <c r="BL59" s="169">
        <f t="shared" ref="BL59:BL67" si="69">IF(BK59&lt;MAX(BK:BK),0,BK59+ROW()/1000000000)</f>
        <v>0</v>
      </c>
      <c r="BM59" s="168">
        <f t="shared" ref="BM59:BM67" si="70">IF(BL59=0,0,RANK(BL59,BL:BL))</f>
        <v>0</v>
      </c>
    </row>
    <row r="60" spans="1:65" ht="16.95" customHeight="1">
      <c r="A60" s="404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9"/>
      <c r="H60" s="222"/>
      <c r="I60" s="241">
        <f t="shared" si="50"/>
        <v>0</v>
      </c>
      <c r="J60" s="429"/>
      <c r="K60" s="222"/>
      <c r="L60" s="241">
        <f t="shared" si="51"/>
        <v>0</v>
      </c>
      <c r="M60" s="429"/>
      <c r="N60" s="222"/>
      <c r="O60" s="241">
        <f t="shared" si="52"/>
        <v>0</v>
      </c>
      <c r="P60" s="429"/>
      <c r="Q60" s="222"/>
      <c r="R60" s="241">
        <f t="shared" si="53"/>
        <v>0</v>
      </c>
      <c r="S60" s="429"/>
      <c r="T60" s="222">
        <f t="shared" si="54"/>
        <v>0</v>
      </c>
      <c r="U60" s="241">
        <f t="shared" si="54"/>
        <v>0</v>
      </c>
      <c r="V60" s="401"/>
      <c r="W60" s="79"/>
      <c r="X60" s="79"/>
      <c r="Y60" s="79"/>
      <c r="Z60" s="79"/>
      <c r="AA60" s="79"/>
      <c r="AB60" s="79"/>
      <c r="AL60" s="169">
        <f>IF(AU60=0,0,IFERROR(INDEX(RanglisteST4!K:K,MATCH(AU60,RanglisteST4!A:A,0)),0))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0</v>
      </c>
      <c r="BH60" s="169" t="str">
        <f t="shared" ref="BH60:BH67" si="71">+BH59</f>
        <v>Highroller Rosenheim 2</v>
      </c>
      <c r="BI60" s="168">
        <f t="shared" si="67"/>
        <v>2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0</v>
      </c>
      <c r="BM60" s="168">
        <f t="shared" si="70"/>
        <v>0</v>
      </c>
    </row>
    <row r="61" spans="1:65" ht="16.95" customHeight="1" thickBot="1">
      <c r="A61" s="405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30"/>
      <c r="H61" s="224"/>
      <c r="I61" s="242">
        <f t="shared" si="50"/>
        <v>0</v>
      </c>
      <c r="J61" s="430"/>
      <c r="K61" s="224"/>
      <c r="L61" s="242">
        <f t="shared" si="51"/>
        <v>0</v>
      </c>
      <c r="M61" s="430"/>
      <c r="N61" s="224"/>
      <c r="O61" s="242">
        <f t="shared" si="52"/>
        <v>0</v>
      </c>
      <c r="P61" s="430"/>
      <c r="Q61" s="224"/>
      <c r="R61" s="242">
        <f t="shared" si="53"/>
        <v>0</v>
      </c>
      <c r="S61" s="430"/>
      <c r="T61" s="224">
        <f t="shared" si="54"/>
        <v>0</v>
      </c>
      <c r="U61" s="242">
        <f t="shared" si="54"/>
        <v>0</v>
      </c>
      <c r="V61" s="402"/>
      <c r="W61" s="79"/>
      <c r="X61" s="79"/>
      <c r="Y61" s="79"/>
      <c r="Z61" s="79"/>
      <c r="AA61" s="79"/>
      <c r="AB61" s="79"/>
      <c r="AL61" s="169">
        <f>IF(AU61=0,0,IFERROR(INDEX(RanglisteST4!K:K,MATCH(AU61,RanglisteST4!A:A,0)),0))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0</v>
      </c>
      <c r="BH61" s="169" t="str">
        <f t="shared" si="71"/>
        <v>Highroller Rosenheim 2</v>
      </c>
      <c r="BI61" s="168">
        <f t="shared" si="67"/>
        <v>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0</v>
      </c>
      <c r="BM61" s="168">
        <f t="shared" si="70"/>
        <v>0</v>
      </c>
    </row>
    <row r="62" spans="1:65" ht="16.95" customHeight="1">
      <c r="A62" s="403" t="s">
        <v>2</v>
      </c>
      <c r="B62" s="58" t="str">
        <f>IF(C62=0,"",VLOOKUP(C62,Starter!$A$1:$D$196,2,FALSE))</f>
        <v>Schimanski, Johanna</v>
      </c>
      <c r="C62" s="235">
        <v>38921</v>
      </c>
      <c r="D62" s="238">
        <f t="shared" si="48"/>
        <v>69</v>
      </c>
      <c r="E62" s="221">
        <v>83</v>
      </c>
      <c r="F62" s="240">
        <f t="shared" si="49"/>
        <v>152</v>
      </c>
      <c r="G62" s="428">
        <f>IF(SUM(F62:F64)+E75=0,0,IF(ABS(SUM(F62:F64))=E75,Spielorte!$A$30/2,IF(ABS(SUM(F62:F64))&gt;E75,Spielorte!$A$30,0)))</f>
        <v>1</v>
      </c>
      <c r="H62" s="221">
        <v>77</v>
      </c>
      <c r="I62" s="240">
        <f t="shared" si="50"/>
        <v>146</v>
      </c>
      <c r="J62" s="428">
        <f>IF(SUM(I62:I64)+H75=0,0,IF(ABS(SUM(I62:I64))=H75,Spielorte!$A$30/2,IF(ABS(SUM(I62:I64))&gt;H75,Spielorte!$A$30,0)))</f>
        <v>0</v>
      </c>
      <c r="K62" s="221">
        <v>74</v>
      </c>
      <c r="L62" s="240">
        <f t="shared" si="51"/>
        <v>143</v>
      </c>
      <c r="M62" s="428">
        <f>IF(SUM(L62:L64)+K75=0,0,IF(ABS(SUM(L62:L64))=K75,Spielorte!$A$30/2,IF(ABS(SUM(L62:L64))&gt;K75,Spielorte!$A$30,0)))</f>
        <v>1</v>
      </c>
      <c r="N62" s="221">
        <v>83</v>
      </c>
      <c r="O62" s="240">
        <f t="shared" si="52"/>
        <v>152</v>
      </c>
      <c r="P62" s="428">
        <f>IF(SUM(O62:O64)+N75=0,0,IF(ABS(SUM(O62:O64))=N75,Spielorte!$A$30/2,IF(ABS(SUM(O62:O64))&gt;N75,Spielorte!$A$30,0)))</f>
        <v>0</v>
      </c>
      <c r="Q62" s="221">
        <v>57</v>
      </c>
      <c r="R62" s="240">
        <f t="shared" si="53"/>
        <v>126</v>
      </c>
      <c r="S62" s="428">
        <f>IF(SUM(R62:R64)+Q75=0,0,IF(ABS(SUM(R62:R64))=Q75,Spielorte!$A$30/2,IF(ABS(SUM(R62:R64))&gt;Q75,Spielorte!$A$30,0)))</f>
        <v>0</v>
      </c>
      <c r="T62" s="221">
        <f t="shared" si="54"/>
        <v>374</v>
      </c>
      <c r="U62" s="240">
        <f t="shared" si="54"/>
        <v>719</v>
      </c>
      <c r="V62" s="400">
        <f>SUM(G62+J62+M62+P62+S62)</f>
        <v>2</v>
      </c>
      <c r="W62" s="79"/>
      <c r="X62" s="79"/>
      <c r="Y62" s="79"/>
      <c r="Z62" s="79"/>
      <c r="AA62" s="79"/>
      <c r="AB62" s="79"/>
      <c r="AL62" s="169">
        <f>IF(AU62=0,0,IFERROR(INDEX(RanglisteST4!K:K,MATCH(AU62,RanglisteST4!A:A,0)),0))</f>
        <v>73.5</v>
      </c>
      <c r="AM62" s="169">
        <f>IF(AU62=0,0,SUMIF(AU59:AU67,AU62,AV59:AV67))</f>
        <v>374</v>
      </c>
      <c r="AN62" s="169">
        <f>IF(AU62=0,0,SUMIF(AU59:AU67,AU62,AW59:AW67))</f>
        <v>5</v>
      </c>
      <c r="AO62" s="169">
        <f t="shared" si="55"/>
        <v>74.8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69</v>
      </c>
      <c r="AQ62" s="166"/>
      <c r="AR62" s="167"/>
      <c r="AS62" s="167"/>
      <c r="AT62" s="168"/>
      <c r="AU62" s="171">
        <f t="shared" si="56"/>
        <v>38921</v>
      </c>
      <c r="AV62" s="167">
        <f t="shared" si="57"/>
        <v>374</v>
      </c>
      <c r="AW62" s="169">
        <f t="shared" si="58"/>
        <v>5</v>
      </c>
      <c r="AX62" s="169">
        <f t="shared" si="59"/>
        <v>5</v>
      </c>
      <c r="AY62" s="169">
        <f t="shared" si="60"/>
        <v>83</v>
      </c>
      <c r="AZ62" s="169">
        <f t="shared" si="61"/>
        <v>77</v>
      </c>
      <c r="BA62" s="169">
        <f t="shared" si="62"/>
        <v>74</v>
      </c>
      <c r="BB62" s="169">
        <f t="shared" si="63"/>
        <v>83</v>
      </c>
      <c r="BC62" s="169">
        <f t="shared" si="64"/>
        <v>57</v>
      </c>
      <c r="BD62" s="170"/>
      <c r="BE62" s="168"/>
      <c r="BF62" s="169">
        <f t="shared" si="65"/>
        <v>83</v>
      </c>
      <c r="BG62" s="169">
        <f t="shared" si="66"/>
        <v>0</v>
      </c>
      <c r="BH62" s="169" t="str">
        <f t="shared" si="71"/>
        <v>Highroller Rosenheim 2</v>
      </c>
      <c r="BI62" s="168">
        <f t="shared" si="67"/>
        <v>2</v>
      </c>
      <c r="BJ62" s="169">
        <f t="shared" si="68"/>
        <v>374</v>
      </c>
      <c r="BK62" s="169">
        <f>IF(COUNTIF(AY62:BC62,"&gt;0")&lt;Spielorte!$A$23,0,AV62/Spielorte!$A$23)</f>
        <v>74.8</v>
      </c>
      <c r="BL62" s="169">
        <f t="shared" si="69"/>
        <v>0</v>
      </c>
      <c r="BM62" s="168">
        <f t="shared" si="70"/>
        <v>0</v>
      </c>
    </row>
    <row r="63" spans="1:65" ht="16.95" customHeight="1">
      <c r="A63" s="404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9"/>
      <c r="H63" s="222"/>
      <c r="I63" s="241">
        <f t="shared" si="50"/>
        <v>0</v>
      </c>
      <c r="J63" s="429"/>
      <c r="K63" s="222"/>
      <c r="L63" s="241">
        <f t="shared" si="51"/>
        <v>0</v>
      </c>
      <c r="M63" s="429"/>
      <c r="N63" s="222"/>
      <c r="O63" s="241">
        <f t="shared" si="52"/>
        <v>0</v>
      </c>
      <c r="P63" s="429"/>
      <c r="Q63" s="222"/>
      <c r="R63" s="241">
        <f t="shared" si="53"/>
        <v>0</v>
      </c>
      <c r="S63" s="429"/>
      <c r="T63" s="222">
        <f t="shared" si="54"/>
        <v>0</v>
      </c>
      <c r="U63" s="241">
        <f t="shared" si="54"/>
        <v>0</v>
      </c>
      <c r="V63" s="401"/>
      <c r="W63" s="79"/>
      <c r="X63" s="79"/>
      <c r="Y63" s="79"/>
      <c r="Z63" s="79"/>
      <c r="AA63" s="79"/>
      <c r="AB63" s="79"/>
      <c r="AL63" s="169">
        <f>IF(AU63=0,0,IFERROR(INDEX(RanglisteST4!K:K,MATCH(AU63,RanglisteST4!A:A,0)),0))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0</v>
      </c>
      <c r="BH63" s="169" t="str">
        <f t="shared" si="71"/>
        <v>Highroller Rosenheim 2</v>
      </c>
      <c r="BI63" s="168">
        <f t="shared" si="67"/>
        <v>2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0</v>
      </c>
      <c r="BM63" s="168">
        <f t="shared" si="70"/>
        <v>0</v>
      </c>
    </row>
    <row r="64" spans="1:65" ht="16.95" customHeight="1" thickBot="1">
      <c r="A64" s="405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30"/>
      <c r="H64" s="224"/>
      <c r="I64" s="242">
        <f t="shared" si="50"/>
        <v>0</v>
      </c>
      <c r="J64" s="430"/>
      <c r="K64" s="224"/>
      <c r="L64" s="242">
        <f t="shared" si="51"/>
        <v>0</v>
      </c>
      <c r="M64" s="430"/>
      <c r="N64" s="224"/>
      <c r="O64" s="242">
        <f t="shared" si="52"/>
        <v>0</v>
      </c>
      <c r="P64" s="430"/>
      <c r="Q64" s="224"/>
      <c r="R64" s="242">
        <f t="shared" si="53"/>
        <v>0</v>
      </c>
      <c r="S64" s="430"/>
      <c r="T64" s="224">
        <f t="shared" si="54"/>
        <v>0</v>
      </c>
      <c r="U64" s="242">
        <f t="shared" si="54"/>
        <v>0</v>
      </c>
      <c r="V64" s="402"/>
      <c r="W64" s="79"/>
      <c r="X64" s="79"/>
      <c r="Y64" s="79"/>
      <c r="Z64" s="79"/>
      <c r="AA64" s="79"/>
      <c r="AB64" s="79"/>
      <c r="AL64" s="169">
        <f>IF(AU64=0,0,IFERROR(INDEX(RanglisteST4!K:K,MATCH(AU64,RanglisteST4!A:A,0)),0))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0</v>
      </c>
      <c r="BH64" s="169" t="str">
        <f t="shared" si="71"/>
        <v>Highroller Rosenheim 2</v>
      </c>
      <c r="BI64" s="168">
        <f t="shared" si="67"/>
        <v>2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0</v>
      </c>
      <c r="BM64" s="168">
        <f t="shared" si="70"/>
        <v>0</v>
      </c>
    </row>
    <row r="65" spans="1:65" ht="16.95" customHeight="1">
      <c r="A65" s="403" t="s">
        <v>3</v>
      </c>
      <c r="B65" s="58" t="str">
        <f>IF(C65=0,"",VLOOKUP(C65,Starter!$A$1:$D$196,2,FALSE))</f>
        <v>Schimanski, Theodor</v>
      </c>
      <c r="C65" s="235">
        <v>38922</v>
      </c>
      <c r="D65" s="238">
        <f t="shared" si="48"/>
        <v>51</v>
      </c>
      <c r="E65" s="221">
        <v>68</v>
      </c>
      <c r="F65" s="240">
        <f t="shared" si="49"/>
        <v>119</v>
      </c>
      <c r="G65" s="428">
        <f>IF(SUM(F65:F67)+E76=0,0,IF(ABS(SUM(F65:F67))=E76,Spielorte!$A$30/2,IF(ABS(SUM(F65:F67))&gt;E76,Spielorte!$A$30,0)))</f>
        <v>1</v>
      </c>
      <c r="H65" s="221">
        <v>79</v>
      </c>
      <c r="I65" s="240">
        <f t="shared" si="50"/>
        <v>130</v>
      </c>
      <c r="J65" s="428">
        <f>IF(SUM(I65:I67)+H76=0,0,IF(ABS(SUM(I65:I67))=H76,Spielorte!$A$30/2,IF(ABS(SUM(I65:I67))&gt;H76,Spielorte!$A$30,0)))</f>
        <v>0</v>
      </c>
      <c r="K65" s="221">
        <v>86</v>
      </c>
      <c r="L65" s="240">
        <f t="shared" si="51"/>
        <v>137</v>
      </c>
      <c r="M65" s="428">
        <f>IF(SUM(L65:L67)+K76=0,0,IF(ABS(SUM(L65:L67))=K76,Spielorte!$A$30/2,IF(ABS(SUM(L65:L67))&gt;K76,Spielorte!$A$30,0)))</f>
        <v>1</v>
      </c>
      <c r="N65" s="221">
        <v>127</v>
      </c>
      <c r="O65" s="240">
        <f t="shared" si="52"/>
        <v>178</v>
      </c>
      <c r="P65" s="428">
        <f>IF(SUM(O65:O67)+N76=0,0,IF(ABS(SUM(O65:O67))=N76,Spielorte!$A$30/2,IF(ABS(SUM(O65:O67))&gt;N76,Spielorte!$A$30,0)))</f>
        <v>1</v>
      </c>
      <c r="Q65" s="221">
        <v>96</v>
      </c>
      <c r="R65" s="240">
        <f t="shared" si="53"/>
        <v>147</v>
      </c>
      <c r="S65" s="428">
        <f>IF(SUM(R65:R67)+Q76=0,0,IF(ABS(SUM(R65:R67))=Q76,Spielorte!$A$30/2,IF(ABS(SUM(R65:R67))&gt;Q76,Spielorte!$A$30,0)))</f>
        <v>0</v>
      </c>
      <c r="T65" s="221">
        <f t="shared" si="54"/>
        <v>456</v>
      </c>
      <c r="U65" s="240">
        <f t="shared" si="54"/>
        <v>711</v>
      </c>
      <c r="V65" s="400">
        <f>SUM(G65+J65+M65+P65+S65)</f>
        <v>3</v>
      </c>
      <c r="W65" s="79"/>
      <c r="X65" s="79"/>
      <c r="Y65" s="79"/>
      <c r="Z65" s="79"/>
      <c r="AA65" s="79"/>
      <c r="AB65" s="79"/>
      <c r="AL65" s="169">
        <f>IF(AU65=0,0,IFERROR(INDEX(RanglisteST4!K:K,MATCH(AU65,RanglisteST4!A:A,0)),0))</f>
        <v>96.64</v>
      </c>
      <c r="AM65" s="169">
        <f>IF(AU65=0,0,SUMIF(AU59:AU67,AU65,AV59:AV67))</f>
        <v>456</v>
      </c>
      <c r="AN65" s="169">
        <f>IF(AU65=0,0,SUMIF(AU59:AU67,AU65,AW59:AW67))</f>
        <v>5</v>
      </c>
      <c r="AO65" s="169">
        <f t="shared" si="55"/>
        <v>91.2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51</v>
      </c>
      <c r="AQ65" s="166"/>
      <c r="AR65" s="167"/>
      <c r="AS65" s="167"/>
      <c r="AT65" s="168"/>
      <c r="AU65" s="171">
        <f t="shared" si="56"/>
        <v>38922</v>
      </c>
      <c r="AV65" s="167">
        <f t="shared" si="57"/>
        <v>456</v>
      </c>
      <c r="AW65" s="169">
        <f t="shared" si="58"/>
        <v>5</v>
      </c>
      <c r="AX65" s="169">
        <f t="shared" si="59"/>
        <v>5</v>
      </c>
      <c r="AY65" s="169">
        <f t="shared" si="60"/>
        <v>68</v>
      </c>
      <c r="AZ65" s="169">
        <f t="shared" si="61"/>
        <v>79</v>
      </c>
      <c r="BA65" s="169">
        <f t="shared" si="62"/>
        <v>86</v>
      </c>
      <c r="BB65" s="169">
        <f t="shared" si="63"/>
        <v>127</v>
      </c>
      <c r="BC65" s="169">
        <f t="shared" si="64"/>
        <v>96</v>
      </c>
      <c r="BD65" s="170"/>
      <c r="BE65" s="168"/>
      <c r="BF65" s="169">
        <f t="shared" si="65"/>
        <v>127</v>
      </c>
      <c r="BG65" s="169">
        <f t="shared" si="66"/>
        <v>0</v>
      </c>
      <c r="BH65" s="169" t="str">
        <f t="shared" si="71"/>
        <v>Highroller Rosenheim 2</v>
      </c>
      <c r="BI65" s="168">
        <f t="shared" si="67"/>
        <v>2</v>
      </c>
      <c r="BJ65" s="169">
        <f t="shared" si="68"/>
        <v>456</v>
      </c>
      <c r="BK65" s="169">
        <f>IF(COUNTIF(AY65:BC65,"&gt;0")&lt;Spielorte!$A$23,0,AV65/Spielorte!$A$23)</f>
        <v>91.2</v>
      </c>
      <c r="BL65" s="169">
        <f t="shared" si="69"/>
        <v>0</v>
      </c>
      <c r="BM65" s="168">
        <f t="shared" si="70"/>
        <v>0</v>
      </c>
    </row>
    <row r="66" spans="1:65" ht="16.95" customHeight="1">
      <c r="A66" s="404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9"/>
      <c r="H66" s="222"/>
      <c r="I66" s="241">
        <f t="shared" si="50"/>
        <v>0</v>
      </c>
      <c r="J66" s="429"/>
      <c r="K66" s="222"/>
      <c r="L66" s="241">
        <f t="shared" si="51"/>
        <v>0</v>
      </c>
      <c r="M66" s="429"/>
      <c r="N66" s="222"/>
      <c r="O66" s="241">
        <f t="shared" si="52"/>
        <v>0</v>
      </c>
      <c r="P66" s="429"/>
      <c r="Q66" s="222"/>
      <c r="R66" s="241">
        <f t="shared" si="53"/>
        <v>0</v>
      </c>
      <c r="S66" s="429"/>
      <c r="T66" s="222">
        <f t="shared" si="54"/>
        <v>0</v>
      </c>
      <c r="U66" s="241">
        <f t="shared" si="54"/>
        <v>0</v>
      </c>
      <c r="V66" s="401"/>
      <c r="W66" s="79"/>
      <c r="X66" s="79"/>
      <c r="Y66" s="79"/>
      <c r="Z66" s="79"/>
      <c r="AA66" s="79"/>
      <c r="AB66" s="79"/>
      <c r="AL66" s="169">
        <f>IF(AU66=0,0,IFERROR(INDEX(RanglisteST4!K:K,MATCH(AU66,RanglisteST4!A:A,0)),0))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0</v>
      </c>
      <c r="BH66" s="169" t="str">
        <f t="shared" si="71"/>
        <v>Highroller Rosenheim 2</v>
      </c>
      <c r="BI66" s="168">
        <f t="shared" si="67"/>
        <v>2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0</v>
      </c>
      <c r="BM66" s="168">
        <f t="shared" si="70"/>
        <v>0</v>
      </c>
    </row>
    <row r="67" spans="1:65" ht="16.95" customHeight="1" thickBot="1">
      <c r="A67" s="405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30"/>
      <c r="H67" s="224"/>
      <c r="I67" s="242">
        <f t="shared" si="50"/>
        <v>0</v>
      </c>
      <c r="J67" s="430"/>
      <c r="K67" s="224"/>
      <c r="L67" s="242">
        <f t="shared" si="51"/>
        <v>0</v>
      </c>
      <c r="M67" s="430"/>
      <c r="N67" s="224"/>
      <c r="O67" s="242">
        <f t="shared" si="52"/>
        <v>0</v>
      </c>
      <c r="P67" s="430"/>
      <c r="Q67" s="224"/>
      <c r="R67" s="242">
        <f t="shared" si="53"/>
        <v>0</v>
      </c>
      <c r="S67" s="430"/>
      <c r="T67" s="224">
        <f t="shared" si="54"/>
        <v>0</v>
      </c>
      <c r="U67" s="242">
        <f t="shared" si="54"/>
        <v>0</v>
      </c>
      <c r="V67" s="402"/>
      <c r="W67" s="79"/>
      <c r="X67" s="79"/>
      <c r="Y67" s="79"/>
      <c r="Z67" s="79"/>
      <c r="AA67" s="79"/>
      <c r="AB67" s="79"/>
      <c r="AL67" s="169">
        <f>IF(AU67=0,0,IFERROR(INDEX(RanglisteST4!K:K,MATCH(AU67,RanglisteST4!A:A,0)),0))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0</v>
      </c>
      <c r="BH67" s="169" t="str">
        <f t="shared" si="71"/>
        <v>Highroller Rosenheim 2</v>
      </c>
      <c r="BI67" s="168">
        <f t="shared" si="67"/>
        <v>2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0</v>
      </c>
      <c r="BM67" s="168">
        <f t="shared" si="70"/>
        <v>0</v>
      </c>
    </row>
    <row r="68" spans="1:65" ht="27.75" customHeight="1" thickBot="1">
      <c r="B68" s="218" t="s">
        <v>1792</v>
      </c>
      <c r="C68" s="204"/>
      <c r="D68" s="219"/>
      <c r="E68" s="226">
        <f>ABS(SUM(E59:E61))+ABS(SUM(E62:E64))+ABS(SUM(E65:E67))</f>
        <v>228</v>
      </c>
      <c r="F68" s="225">
        <f>ABS(SUM(F59:F61))+ABS(SUM(F62:F64))+ABS(SUM(F65:F67))</f>
        <v>393</v>
      </c>
      <c r="G68" s="81">
        <f>IF(F68+E77=0,0,IF(F68=E77,Spielorte!$A$31/2,IF(F68&gt;E77,Spielorte!$A$31,0)))</f>
        <v>2</v>
      </c>
      <c r="H68" s="226">
        <f>ABS(SUM(H59:H61))+ABS(SUM(H62:H64))+ABS(SUM(H65:H67))</f>
        <v>247</v>
      </c>
      <c r="I68" s="225">
        <f>ABS(SUM(I59:I61))+ABS(SUM(I62:I64))+ABS(SUM(I65:I67))</f>
        <v>412</v>
      </c>
      <c r="J68" s="81">
        <f>IF(I68+H77=0,0,IF(I68=H77,Spielorte!$A$31/2,IF(I68&gt;H77,Spielorte!$A$31,0)))</f>
        <v>0</v>
      </c>
      <c r="K68" s="226">
        <f>ABS(SUM(K59:K61))+ABS(SUM(K62:K64))+ABS(SUM(K65:K67))</f>
        <v>274</v>
      </c>
      <c r="L68" s="225">
        <f>ABS(SUM(L59:L61))+ABS(SUM(L62:L64))+ABS(SUM(L65:L67))</f>
        <v>439</v>
      </c>
      <c r="M68" s="81">
        <f>IF(L68+K77=0,0,IF(L68=K77,Spielorte!$A$31/2,IF(L68&gt;K77,Spielorte!$A$31,0)))</f>
        <v>2</v>
      </c>
      <c r="N68" s="226">
        <f>ABS(SUM(N59:N61))+ABS(SUM(N62:N64))+ABS(SUM(N65:N67))</f>
        <v>345</v>
      </c>
      <c r="O68" s="225">
        <f>ABS(SUM(O59:O61))+ABS(SUM(O62:O64))+ABS(SUM(O65:O67))</f>
        <v>510</v>
      </c>
      <c r="P68" s="81">
        <f>IF(O68+N77=0,0,IF(O68=N77,Spielorte!$A$31/2,IF(O68&gt;N77,Spielorte!$A$31,0)))</f>
        <v>2</v>
      </c>
      <c r="Q68" s="226">
        <f>ABS(SUM(Q59:Q61))+ABS(SUM(Q62:Q64))+ABS(SUM(Q65:Q67))</f>
        <v>261</v>
      </c>
      <c r="R68" s="225">
        <f>ABS(SUM(R59:R61))+ABS(SUM(R62:R64))+ABS(SUM(R65:R67))</f>
        <v>426</v>
      </c>
      <c r="S68" s="81">
        <f>IF(R68+Q77=0,0,IF(R68=Q77,Spielorte!$A$31/2,IF(R68&gt;Q77,Spielorte!$A$31,0)))</f>
        <v>0</v>
      </c>
      <c r="T68" s="228">
        <f>SUM(E68+H68+K68+N68+Q68)</f>
        <v>1355</v>
      </c>
      <c r="U68" s="229">
        <f>SUM(F68+I68+L68+O68+R68)</f>
        <v>2180</v>
      </c>
      <c r="V68" s="12">
        <f>SUM(G68+J68+M68+P68+S68)</f>
        <v>6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>
      <c r="B69" s="230" t="s">
        <v>1803</v>
      </c>
      <c r="C69" s="1"/>
      <c r="D69" s="1"/>
      <c r="E69" s="1"/>
      <c r="F69" s="1"/>
      <c r="G69" s="61">
        <f>SUM(G59:G68)</f>
        <v>4</v>
      </c>
      <c r="H69" s="1"/>
      <c r="I69" s="1"/>
      <c r="J69" s="61">
        <f>SUM(J59:J68)</f>
        <v>0</v>
      </c>
      <c r="K69" s="1"/>
      <c r="L69" s="1"/>
      <c r="M69" s="61">
        <f>SUM(M59:M68)</f>
        <v>5</v>
      </c>
      <c r="N69" s="1"/>
      <c r="O69" s="1"/>
      <c r="P69" s="61">
        <f>SUM(P59:P68)</f>
        <v>4</v>
      </c>
      <c r="Q69" s="1"/>
      <c r="R69" s="1"/>
      <c r="S69" s="61">
        <f>SUM(S59:S68)</f>
        <v>0</v>
      </c>
      <c r="T69" s="1"/>
      <c r="U69" s="1"/>
      <c r="V69" s="61">
        <f>SUM(V59:V68)</f>
        <v>13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13</v>
      </c>
      <c r="AR69" s="167">
        <f>+T68</f>
        <v>1355</v>
      </c>
      <c r="AS69" s="167">
        <f>+U68</f>
        <v>2180</v>
      </c>
      <c r="AT69" s="168">
        <f>+B54</f>
        <v>3</v>
      </c>
      <c r="AW69" s="169">
        <f>SUM(AW53:AW68)</f>
        <v>15</v>
      </c>
      <c r="BD69" s="166">
        <f>+AS69/1000000+AQ69+AR69/1000000000000</f>
        <v>13.002180001354999</v>
      </c>
      <c r="BE69" s="168">
        <f>RANK(BD69,BD:BD)</f>
        <v>5</v>
      </c>
      <c r="BI69" s="168"/>
      <c r="BM69" s="168"/>
    </row>
    <row r="70" spans="1:65" ht="11.25" customHeight="1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>
      <c r="B71" s="231" t="s">
        <v>1790</v>
      </c>
      <c r="C71" s="210"/>
      <c r="D71" s="42"/>
      <c r="E71" s="434">
        <f>VLOOKUP($B54,Schlüssel!$A$5:$EK$12,63)</f>
        <v>6</v>
      </c>
      <c r="F71" s="435"/>
      <c r="G71" s="436"/>
      <c r="H71" s="434">
        <f>VLOOKUP($B54,Schlüssel!$A$5:$EK$12,64)</f>
        <v>8</v>
      </c>
      <c r="I71" s="435"/>
      <c r="J71" s="436"/>
      <c r="K71" s="434">
        <f>VLOOKUP($B54,Schlüssel!$A$5:$EK$12,65)</f>
        <v>2</v>
      </c>
      <c r="L71" s="435"/>
      <c r="M71" s="436"/>
      <c r="N71" s="434">
        <f>VLOOKUP($B54,Schlüssel!$A$5:$EK$12,66)</f>
        <v>5</v>
      </c>
      <c r="O71" s="435"/>
      <c r="P71" s="436"/>
      <c r="Q71" s="434">
        <f>VLOOKUP($B54,Schlüssel!$A$5:$EK$12,67)</f>
        <v>4</v>
      </c>
      <c r="R71" s="435"/>
      <c r="S71" s="436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>
      <c r="B72" s="3" t="s">
        <v>9</v>
      </c>
      <c r="C72" s="1"/>
      <c r="D72" s="1"/>
      <c r="E72" s="395" t="str">
        <f>VLOOKUP(E71,Schlüssel!$A$5:$K$12,2)</f>
        <v>Bowling Jugend Bayern 1</v>
      </c>
      <c r="F72" s="438"/>
      <c r="G72" s="396"/>
      <c r="H72" s="395" t="str">
        <f>VLOOKUP(H71,Schlüssel!$A$5:$K$12,2)</f>
        <v>EMAX 1</v>
      </c>
      <c r="I72" s="438"/>
      <c r="J72" s="396"/>
      <c r="K72" s="395" t="str">
        <f>VLOOKUP(K71,Schlüssel!$A$5:$K$12,2)</f>
        <v>Highroller Rosenheim 1</v>
      </c>
      <c r="L72" s="438"/>
      <c r="M72" s="396"/>
      <c r="N72" s="395" t="str">
        <f>VLOOKUP(N71,Schlüssel!$A$5:$K$12,2)</f>
        <v>Berchtesgaden 1</v>
      </c>
      <c r="O72" s="438"/>
      <c r="P72" s="396"/>
      <c r="Q72" s="395" t="str">
        <f>VLOOKUP(Q71,Schlüssel!$A$5:$K$12,2)</f>
        <v>Highroller Rosenheim 3</v>
      </c>
      <c r="R72" s="438"/>
      <c r="S72" s="396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" customHeight="1">
      <c r="B74" s="417" t="s">
        <v>2275</v>
      </c>
      <c r="C74" s="418"/>
      <c r="D74" s="419"/>
      <c r="E74" s="431">
        <f>ABS(INDEX(F:F,MATCH(E71,$B:$B,0)+5)+INDEX(F:F,MATCH(E71,$B:$B,0)+6)+INDEX(F:F,MATCH(E71,$B:$B,0)+7))</f>
        <v>152</v>
      </c>
      <c r="F74" s="432"/>
      <c r="G74" s="433"/>
      <c r="H74" s="431">
        <f>ABS(INDEX(I:I,MATCH(H71,$B:$B,0)+5)+INDEX(I:I,MATCH(H71,$B:$B,0)+6)+INDEX(I:I,MATCH(H71,$B:$B,0)+7))</f>
        <v>166</v>
      </c>
      <c r="I74" s="432"/>
      <c r="J74" s="433"/>
      <c r="K74" s="431">
        <f>ABS(INDEX(L:L,MATCH(K71,$B:$B,0)+5)+INDEX(L:L,MATCH(K71,$B:$B,0)+6)+INDEX(L:L,MATCH(K71,$B:$B,0)+7))</f>
        <v>110</v>
      </c>
      <c r="L74" s="432"/>
      <c r="M74" s="433"/>
      <c r="N74" s="431">
        <f>ABS(INDEX(O:O,MATCH(N71,$B:$B,0)+5)+INDEX(O:O,MATCH(N71,$B:$B,0)+6)+INDEX(O:O,MATCH(N71,$B:$B,0)+7))</f>
        <v>149</v>
      </c>
      <c r="O74" s="432"/>
      <c r="P74" s="433"/>
      <c r="Q74" s="431">
        <f>ABS(INDEX(R:R,MATCH(Q71,$B:$B,0)+5)+INDEX(R:R,MATCH(Q71,$B:$B,0)+6)+INDEX(R:R,MATCH(Q71,$B:$B,0)+7))</f>
        <v>157</v>
      </c>
      <c r="R74" s="432"/>
      <c r="S74" s="433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" customHeight="1">
      <c r="B75" s="417" t="s">
        <v>2276</v>
      </c>
      <c r="C75" s="418"/>
      <c r="D75" s="419"/>
      <c r="E75" s="424">
        <f>ABS(INDEX(F:F,MATCH(E71,$B:$B,0)+8)+INDEX(F:F,MATCH(E71,$B:$B,0)+9)+INDEX(F:F,MATCH(E71,$B:$B,0)+10))</f>
        <v>136</v>
      </c>
      <c r="F75" s="425"/>
      <c r="G75" s="426"/>
      <c r="H75" s="424">
        <f>ABS(INDEX(I:I,MATCH(H71,$B:$B,0)+8)+INDEX(I:I,MATCH(H71,$B:$B,0)+9)+INDEX(I:I,MATCH(H71,$B:$B,0)+10))</f>
        <v>163</v>
      </c>
      <c r="I75" s="425"/>
      <c r="J75" s="426"/>
      <c r="K75" s="424">
        <f>ABS(INDEX(L:L,MATCH(K71,$B:$B,0)+8)+INDEX(L:L,MATCH(K71,$B:$B,0)+9)+INDEX(L:L,MATCH(K71,$B:$B,0)+10))</f>
        <v>120</v>
      </c>
      <c r="L75" s="425"/>
      <c r="M75" s="426"/>
      <c r="N75" s="424">
        <f>ABS(INDEX(O:O,MATCH(N71,$B:$B,0)+8)+INDEX(O:O,MATCH(N71,$B:$B,0)+9)+INDEX(O:O,MATCH(N71,$B:$B,0)+10))</f>
        <v>207</v>
      </c>
      <c r="O75" s="425"/>
      <c r="P75" s="426"/>
      <c r="Q75" s="424">
        <f>ABS(INDEX(R:R,MATCH(Q71,$B:$B,0)+8)+INDEX(R:R,MATCH(Q71,$B:$B,0)+9)+INDEX(R:R,MATCH(Q71,$B:$B,0)+10))</f>
        <v>142</v>
      </c>
      <c r="R75" s="425"/>
      <c r="S75" s="426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" customHeight="1">
      <c r="B76" s="417" t="s">
        <v>2277</v>
      </c>
      <c r="C76" s="418"/>
      <c r="D76" s="419"/>
      <c r="E76" s="424">
        <f>ABS(INDEX(F:F,MATCH(E71,$B:$B,0)+11)+INDEX(F:F,MATCH(E71,$B:$B,0)+12)+INDEX(F:F,MATCH(E71,$B:$B,0)+13))</f>
        <v>84</v>
      </c>
      <c r="F76" s="425"/>
      <c r="G76" s="426"/>
      <c r="H76" s="424">
        <f>ABS(INDEX(I:I,MATCH(H71,$B:$B,0)+11)+INDEX(I:I,MATCH(H71,$B:$B,0)+12)+INDEX(I:I,MATCH(H71,$B:$B,0)+13))</f>
        <v>137</v>
      </c>
      <c r="I76" s="425"/>
      <c r="J76" s="426"/>
      <c r="K76" s="424">
        <f>ABS(INDEX(L:L,MATCH(K71,$B:$B,0)+11)+INDEX(L:L,MATCH(K71,$B:$B,0)+12)+INDEX(L:L,MATCH(K71,$B:$B,0)+13))</f>
        <v>104</v>
      </c>
      <c r="L76" s="425"/>
      <c r="M76" s="426"/>
      <c r="N76" s="424">
        <f>ABS(INDEX(O:O,MATCH(N71,$B:$B,0)+11)+INDEX(O:O,MATCH(N71,$B:$B,0)+12)+INDEX(O:O,MATCH(N71,$B:$B,0)+13))</f>
        <v>114</v>
      </c>
      <c r="O76" s="425"/>
      <c r="P76" s="426"/>
      <c r="Q76" s="424">
        <f>ABS(INDEX(R:R,MATCH(Q71,$B:$B,0)+11)+INDEX(R:R,MATCH(Q71,$B:$B,0)+12)+INDEX(R:R,MATCH(Q71,$B:$B,0)+13))</f>
        <v>156</v>
      </c>
      <c r="R76" s="425"/>
      <c r="S76" s="426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" customHeight="1">
      <c r="B77" s="420" t="s">
        <v>2278</v>
      </c>
      <c r="C77" s="421"/>
      <c r="D77" s="422"/>
      <c r="E77" s="407">
        <f>SUM(E74:E76)</f>
        <v>372</v>
      </c>
      <c r="F77" s="423"/>
      <c r="G77" s="408"/>
      <c r="H77" s="407">
        <f>SUM(H74:H76)</f>
        <v>466</v>
      </c>
      <c r="I77" s="423"/>
      <c r="J77" s="408"/>
      <c r="K77" s="407">
        <f>SUM(K74:K76)</f>
        <v>334</v>
      </c>
      <c r="L77" s="423"/>
      <c r="M77" s="408"/>
      <c r="N77" s="407">
        <f>SUM(N74:N76)</f>
        <v>470</v>
      </c>
      <c r="O77" s="423"/>
      <c r="P77" s="408"/>
      <c r="Q77" s="407">
        <f>SUM(Q74:Q76)</f>
        <v>455</v>
      </c>
      <c r="R77" s="423"/>
      <c r="S77" s="408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>
      <c r="A79" s="255"/>
      <c r="B79" s="7" t="s">
        <v>1802</v>
      </c>
      <c r="C79" s="24"/>
      <c r="D79" s="24"/>
      <c r="E79" s="35" t="s">
        <v>1786</v>
      </c>
      <c r="F79" s="35"/>
      <c r="G79" s="427" t="str">
        <f>Schlüssel!$C$1</f>
        <v>Landesliga Jugend</v>
      </c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  <c r="S79" s="406">
        <f>Schlüssel!$BU$1</f>
        <v>45787</v>
      </c>
      <c r="T79" s="406"/>
      <c r="U79" s="406"/>
      <c r="V79" s="406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>
      <c r="A80" s="53"/>
      <c r="B80" s="54">
        <v>4</v>
      </c>
      <c r="E80" s="35" t="s">
        <v>1787</v>
      </c>
      <c r="F80" s="35"/>
      <c r="G80" s="413" t="str">
        <f>Schlüssel!$BK$2</f>
        <v>Bad Tölz Flint Bowling</v>
      </c>
      <c r="H80" s="413"/>
      <c r="I80" s="413"/>
      <c r="J80" s="413"/>
      <c r="K80" s="413"/>
      <c r="L80" s="413"/>
      <c r="M80" s="413"/>
      <c r="N80" s="413"/>
      <c r="O80" s="413"/>
      <c r="P80" s="66"/>
      <c r="Q80" s="411" t="s">
        <v>1785</v>
      </c>
      <c r="R80" s="412"/>
      <c r="S80" s="38">
        <v>4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>
      <c r="B81" s="414" t="str">
        <f>VLOOKUP(B80,Schlüssel!$A$5:$B$12,2)</f>
        <v>Highroller Rosenheim 3</v>
      </c>
      <c r="C81" s="415"/>
      <c r="D81" s="415"/>
      <c r="E81" s="415"/>
      <c r="F81" s="415"/>
      <c r="G81" s="416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3.8" hidden="1" thickBot="1">
      <c r="A82" s="6"/>
      <c r="B82" s="7"/>
      <c r="C82" s="43"/>
      <c r="D82" s="43"/>
      <c r="E82" s="162" t="s">
        <v>10</v>
      </c>
      <c r="F82" s="220"/>
      <c r="G82" s="159">
        <f>VLOOKUP(B80,Schlüssel!$A$5:$EK$12,73)</f>
        <v>5</v>
      </c>
      <c r="H82" s="161" t="s">
        <v>10</v>
      </c>
      <c r="I82" s="220"/>
      <c r="J82" s="159">
        <f>VLOOKUP(B80,Schlüssel!$A$5:$EK$12,74)</f>
        <v>2</v>
      </c>
      <c r="K82" s="161" t="s">
        <v>10</v>
      </c>
      <c r="L82" s="220"/>
      <c r="M82" s="159">
        <f>VLOOKUP(B80,Schlüssel!$A$5:$EK$12,75)</f>
        <v>8</v>
      </c>
      <c r="N82" s="161" t="s">
        <v>10</v>
      </c>
      <c r="O82" s="220"/>
      <c r="P82" s="159">
        <f>VLOOKUP(B80,Schlüssel!$A$5:$EK$12,76)</f>
        <v>4</v>
      </c>
      <c r="Q82" s="161" t="s">
        <v>10</v>
      </c>
      <c r="R82" s="220"/>
      <c r="S82" s="160">
        <f>VLOOKUP(B80,Schlüssel!$A$5:$EK$12,77)</f>
        <v>1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>
      <c r="B83" s="44" t="s">
        <v>1</v>
      </c>
      <c r="C83" s="208"/>
      <c r="D83" s="217"/>
      <c r="E83" s="423" t="s">
        <v>1793</v>
      </c>
      <c r="F83" s="423"/>
      <c r="G83" s="408"/>
      <c r="H83" s="407" t="s">
        <v>1794</v>
      </c>
      <c r="I83" s="423"/>
      <c r="J83" s="408"/>
      <c r="K83" s="407" t="s">
        <v>1795</v>
      </c>
      <c r="L83" s="423"/>
      <c r="M83" s="408"/>
      <c r="N83" s="407" t="s">
        <v>1796</v>
      </c>
      <c r="O83" s="423"/>
      <c r="P83" s="408"/>
      <c r="Q83" s="407" t="s">
        <v>1797</v>
      </c>
      <c r="R83" s="423"/>
      <c r="S83" s="437"/>
      <c r="T83" s="439" t="s">
        <v>1792</v>
      </c>
      <c r="U83" s="440"/>
      <c r="V83" s="410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6.95" customHeight="1">
      <c r="A85" s="403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2">+AP85</f>
        <v>36</v>
      </c>
      <c r="E85" s="221">
        <v>97</v>
      </c>
      <c r="F85" s="240">
        <f t="shared" ref="F85:F93" si="73">IF(E85&gt;0,E85+$D85,0)</f>
        <v>133</v>
      </c>
      <c r="G85" s="428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8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8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8">
        <f>IF(SUM(O85:O87)+N100=0,0,IF(ABS(SUM(O85:O87))=N100,Spielorte!$A$30/2,IF(ABS(SUM(O85:O87))&gt;N100,Spielorte!$A$30,0)))</f>
        <v>1</v>
      </c>
      <c r="Q85" s="221"/>
      <c r="R85" s="240">
        <f t="shared" ref="R85:R93" si="77">IF(Q85&gt;0,Q85+$D85,0)</f>
        <v>0</v>
      </c>
      <c r="S85" s="428">
        <f>IF(SUM(R85:R87)+Q100=0,0,IF(ABS(SUM(R85:R87))=Q100,Spielorte!$A$30/2,IF(ABS(SUM(R85:R87))&gt;Q100,Spielorte!$A$30,0)))</f>
        <v>1</v>
      </c>
      <c r="T85" s="221">
        <f t="shared" ref="T85:U93" si="78">ABS(SUM(E85:E85))+ABS(SUM(H85:H85))+ABS(SUM(K85:K85))+ABS(SUM(N85:N85))+ABS(SUM(Q85:Q85))</f>
        <v>97</v>
      </c>
      <c r="U85" s="240">
        <f t="shared" si="78"/>
        <v>133</v>
      </c>
      <c r="V85" s="400">
        <f>SUM(G85+J85+M85+P85+S85)</f>
        <v>2</v>
      </c>
      <c r="W85" s="79"/>
      <c r="X85" s="79"/>
      <c r="Y85" s="79"/>
      <c r="Z85" s="79"/>
      <c r="AA85" s="79"/>
      <c r="AB85" s="79"/>
      <c r="AL85" s="169">
        <f>IF(AU85=0,0,IFERROR(INDEX(RanglisteST4!K:K,MATCH(AU85,RanglisteST4!A:A,0)),0))</f>
        <v>115.06</v>
      </c>
      <c r="AM85" s="169">
        <f>IF(AU85=0,0,SUMIF(AU85:AU93,AU85,AV85:AV93))</f>
        <v>471</v>
      </c>
      <c r="AN85" s="169">
        <f>IF(AU85=0,0,SUMIF(AU85:AU93,AU85,AW85:AW93))</f>
        <v>4</v>
      </c>
      <c r="AO85" s="169">
        <f t="shared" ref="AO85:AO93" si="79">IFERROR(AM85/AN85,0)</f>
        <v>117.75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36</v>
      </c>
      <c r="AQ85" s="166"/>
      <c r="AR85" s="167"/>
      <c r="AS85" s="167"/>
      <c r="AT85" s="168"/>
      <c r="AU85" s="171">
        <f t="shared" ref="AU85:AU93" si="80">C85</f>
        <v>38808</v>
      </c>
      <c r="AV85" s="167">
        <f t="shared" ref="AV85:AV93" si="81">T85</f>
        <v>97</v>
      </c>
      <c r="AW85" s="169">
        <f t="shared" ref="AW85:AW93" si="82">COUNT(AY85:BC85)</f>
        <v>1</v>
      </c>
      <c r="AX85" s="169">
        <f t="shared" ref="AX85:AX93" si="83">COUNTIF(AY85:BC85,"&gt;0")</f>
        <v>1</v>
      </c>
      <c r="AY85" s="169">
        <f t="shared" ref="AY85:AY93" si="84">IF(E85=0,"",E85)</f>
        <v>97</v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97</v>
      </c>
      <c r="BG85" s="169">
        <f t="shared" ref="BG85:BG93" si="90">IF(BF85&lt;MAX(BF:BF),0,BF85+ROW()/1000000000)</f>
        <v>0</v>
      </c>
      <c r="BH85" s="169" t="str">
        <f>+B81</f>
        <v>Highroller Rosenheim 3</v>
      </c>
      <c r="BI85" s="168">
        <f t="shared" ref="BI85:BI93" si="91">RANK(BG85,BG:BG)</f>
        <v>2</v>
      </c>
      <c r="BJ85" s="169">
        <f t="shared" ref="BJ85:BJ93" si="92">SUMIF(AY85:BC85,"&gt;0")</f>
        <v>97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0</v>
      </c>
      <c r="BM85" s="168">
        <f t="shared" ref="BM85:BM93" si="94">IF(BL85=0,0,RANK(BL85,BL:BL))</f>
        <v>0</v>
      </c>
    </row>
    <row r="86" spans="1:65" ht="16.95" customHeight="1">
      <c r="A86" s="404"/>
      <c r="B86" s="58" t="str">
        <f>IF(C86=0,"",VLOOKUP(C86,Starter!$A$1:$D$196,2,FALSE))</f>
        <v>Marker, Anna</v>
      </c>
      <c r="C86" s="233">
        <v>38848</v>
      </c>
      <c r="D86" s="239">
        <f t="shared" si="72"/>
        <v>30</v>
      </c>
      <c r="E86" s="222"/>
      <c r="F86" s="241">
        <f t="shared" si="73"/>
        <v>0</v>
      </c>
      <c r="G86" s="429"/>
      <c r="H86" s="222">
        <v>122</v>
      </c>
      <c r="I86" s="241">
        <f t="shared" si="74"/>
        <v>152</v>
      </c>
      <c r="J86" s="429"/>
      <c r="K86" s="222">
        <v>111</v>
      </c>
      <c r="L86" s="241">
        <f t="shared" si="75"/>
        <v>141</v>
      </c>
      <c r="M86" s="429"/>
      <c r="N86" s="222">
        <v>114</v>
      </c>
      <c r="O86" s="241">
        <f t="shared" si="76"/>
        <v>144</v>
      </c>
      <c r="P86" s="429"/>
      <c r="Q86" s="222">
        <v>127</v>
      </c>
      <c r="R86" s="241">
        <f t="shared" si="77"/>
        <v>157</v>
      </c>
      <c r="S86" s="429"/>
      <c r="T86" s="222">
        <f t="shared" si="78"/>
        <v>474</v>
      </c>
      <c r="U86" s="241">
        <f t="shared" si="78"/>
        <v>594</v>
      </c>
      <c r="V86" s="401"/>
      <c r="W86" s="79"/>
      <c r="X86" s="79"/>
      <c r="Y86" s="79"/>
      <c r="Z86" s="79"/>
      <c r="AA86" s="79"/>
      <c r="AB86" s="79"/>
      <c r="AL86" s="169">
        <f>IF(AU86=0,0,IFERROR(INDEX(RanglisteST4!K:K,MATCH(AU86,RanglisteST4!A:A,0)),0))</f>
        <v>121.93</v>
      </c>
      <c r="AM86" s="169">
        <f>IF(AU86=0,0,SUMIF(AU85:AU93,AU86,AV85:AV93))</f>
        <v>474</v>
      </c>
      <c r="AN86" s="169">
        <f>IF(AU86=0,0,SUMIF(AU85:AU93,AU86,AW85:AW93))</f>
        <v>4</v>
      </c>
      <c r="AO86" s="169">
        <f t="shared" si="79"/>
        <v>118.5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30</v>
      </c>
      <c r="AQ86" s="166"/>
      <c r="AR86" s="167"/>
      <c r="AS86" s="167"/>
      <c r="AT86" s="168"/>
      <c r="AU86" s="171">
        <f t="shared" si="80"/>
        <v>38848</v>
      </c>
      <c r="AV86" s="167">
        <f t="shared" si="81"/>
        <v>474</v>
      </c>
      <c r="AW86" s="169">
        <f t="shared" si="82"/>
        <v>4</v>
      </c>
      <c r="AX86" s="169">
        <f t="shared" si="83"/>
        <v>4</v>
      </c>
      <c r="AY86" s="169" t="str">
        <f t="shared" si="84"/>
        <v/>
      </c>
      <c r="AZ86" s="169">
        <f t="shared" si="85"/>
        <v>122</v>
      </c>
      <c r="BA86" s="169">
        <f t="shared" si="86"/>
        <v>111</v>
      </c>
      <c r="BB86" s="169">
        <f t="shared" si="87"/>
        <v>114</v>
      </c>
      <c r="BC86" s="169">
        <f t="shared" si="88"/>
        <v>127</v>
      </c>
      <c r="BD86" s="170"/>
      <c r="BE86" s="168"/>
      <c r="BF86" s="169">
        <f t="shared" si="89"/>
        <v>127</v>
      </c>
      <c r="BG86" s="169">
        <f t="shared" si="90"/>
        <v>0</v>
      </c>
      <c r="BH86" s="169" t="str">
        <f t="shared" ref="BH86:BH93" si="95">+BH85</f>
        <v>Highroller Rosenheim 3</v>
      </c>
      <c r="BI86" s="168">
        <f t="shared" si="91"/>
        <v>2</v>
      </c>
      <c r="BJ86" s="169">
        <f t="shared" si="92"/>
        <v>474</v>
      </c>
      <c r="BK86" s="169">
        <f>IF(COUNTIF(AY86:BC86,"&gt;0")&lt;Spielorte!$A$23,0,AV86/Spielorte!$A$23)</f>
        <v>0</v>
      </c>
      <c r="BL86" s="169">
        <f t="shared" si="93"/>
        <v>0</v>
      </c>
      <c r="BM86" s="168">
        <f t="shared" si="94"/>
        <v>0</v>
      </c>
    </row>
    <row r="87" spans="1:65" ht="16.95" customHeight="1" thickBot="1">
      <c r="A87" s="405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30"/>
      <c r="H87" s="224"/>
      <c r="I87" s="242">
        <f t="shared" si="74"/>
        <v>0</v>
      </c>
      <c r="J87" s="430"/>
      <c r="K87" s="224"/>
      <c r="L87" s="242">
        <f t="shared" si="75"/>
        <v>0</v>
      </c>
      <c r="M87" s="430"/>
      <c r="N87" s="224"/>
      <c r="O87" s="242">
        <f t="shared" si="76"/>
        <v>0</v>
      </c>
      <c r="P87" s="430"/>
      <c r="Q87" s="224"/>
      <c r="R87" s="242">
        <f t="shared" si="77"/>
        <v>0</v>
      </c>
      <c r="S87" s="430"/>
      <c r="T87" s="224">
        <f t="shared" si="78"/>
        <v>0</v>
      </c>
      <c r="U87" s="242">
        <f t="shared" si="78"/>
        <v>0</v>
      </c>
      <c r="V87" s="402"/>
      <c r="W87" s="79"/>
      <c r="X87" s="79"/>
      <c r="Y87" s="79"/>
      <c r="Z87" s="79"/>
      <c r="AA87" s="79"/>
      <c r="AB87" s="79"/>
      <c r="AL87" s="169">
        <f>IF(AU87=0,0,IFERROR(INDEX(RanglisteST4!K:K,MATCH(AU87,RanglisteST4!A:A,0)),0))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0</v>
      </c>
      <c r="BH87" s="169" t="str">
        <f t="shared" si="95"/>
        <v>Highroller Rosenheim 3</v>
      </c>
      <c r="BI87" s="168">
        <f t="shared" si="91"/>
        <v>2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0</v>
      </c>
      <c r="BM87" s="168">
        <f t="shared" si="94"/>
        <v>0</v>
      </c>
    </row>
    <row r="88" spans="1:65" ht="16.95" customHeight="1">
      <c r="A88" s="403" t="s">
        <v>2</v>
      </c>
      <c r="B88" s="58" t="str">
        <f>IF(C88=0,"",VLOOKUP(C88,Starter!$A$1:$D$196,2,FALSE))</f>
        <v>Vokshi, Finn</v>
      </c>
      <c r="C88" s="235">
        <v>38810</v>
      </c>
      <c r="D88" s="238">
        <f t="shared" si="72"/>
        <v>36</v>
      </c>
      <c r="E88" s="221">
        <v>103</v>
      </c>
      <c r="F88" s="240">
        <f t="shared" si="73"/>
        <v>139</v>
      </c>
      <c r="G88" s="428">
        <f>IF(SUM(F88:F90)+E101=0,0,IF(ABS(SUM(F88:F90))=E101,Spielorte!$A$30/2,IF(ABS(SUM(F88:F90))&gt;E101,Spielorte!$A$30,0)))</f>
        <v>1</v>
      </c>
      <c r="H88" s="221">
        <v>99</v>
      </c>
      <c r="I88" s="240">
        <f t="shared" si="74"/>
        <v>135</v>
      </c>
      <c r="J88" s="428">
        <f>IF(SUM(I88:I90)+H101=0,0,IF(ABS(SUM(I88:I90))=H101,Spielorte!$A$30/2,IF(ABS(SUM(I88:I90))&gt;H101,Spielorte!$A$30,0)))</f>
        <v>1</v>
      </c>
      <c r="K88" s="221">
        <v>135</v>
      </c>
      <c r="L88" s="240">
        <f t="shared" si="75"/>
        <v>171</v>
      </c>
      <c r="M88" s="428">
        <f>IF(SUM(L88:L90)+K101=0,0,IF(ABS(SUM(L88:L90))=K101,Spielorte!$A$30/2,IF(ABS(SUM(L88:L90))&gt;K101,Spielorte!$A$30,0)))</f>
        <v>1</v>
      </c>
      <c r="N88" s="221"/>
      <c r="O88" s="240">
        <f t="shared" si="76"/>
        <v>0</v>
      </c>
      <c r="P88" s="428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8">
        <f>IF(SUM(R88:R90)+Q101=0,0,IF(ABS(SUM(R88:R90))=Q101,Spielorte!$A$30/2,IF(ABS(SUM(R88:R90))&gt;Q101,Spielorte!$A$30,0)))</f>
        <v>1</v>
      </c>
      <c r="T88" s="221">
        <f t="shared" si="78"/>
        <v>337</v>
      </c>
      <c r="U88" s="240">
        <f t="shared" si="78"/>
        <v>445</v>
      </c>
      <c r="V88" s="400">
        <f>SUM(G88+J88+M88+P88+S88)</f>
        <v>4</v>
      </c>
      <c r="W88" s="79"/>
      <c r="X88" s="79"/>
      <c r="Y88" s="79"/>
      <c r="Z88" s="79"/>
      <c r="AA88" s="79"/>
      <c r="AB88" s="79"/>
      <c r="AL88" s="169">
        <f>IF(AU88=0,0,IFERROR(INDEX(RanglisteST4!K:K,MATCH(AU88,RanglisteST4!A:A,0)),0))</f>
        <v>115.3</v>
      </c>
      <c r="AM88" s="169">
        <f>IF(AU88=0,0,SUMIF(AU85:AU93,AU88,AV85:AV93))</f>
        <v>337</v>
      </c>
      <c r="AN88" s="169">
        <f>IF(AU88=0,0,SUMIF(AU85:AU93,AU88,AW85:AW93))</f>
        <v>3</v>
      </c>
      <c r="AO88" s="169">
        <f t="shared" si="79"/>
        <v>112.33333333333333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36</v>
      </c>
      <c r="AQ88" s="166"/>
      <c r="AR88" s="167"/>
      <c r="AS88" s="167"/>
      <c r="AT88" s="168"/>
      <c r="AU88" s="171">
        <f t="shared" si="80"/>
        <v>38810</v>
      </c>
      <c r="AV88" s="167">
        <f t="shared" si="81"/>
        <v>337</v>
      </c>
      <c r="AW88" s="169">
        <f t="shared" si="82"/>
        <v>3</v>
      </c>
      <c r="AX88" s="169">
        <f t="shared" si="83"/>
        <v>3</v>
      </c>
      <c r="AY88" s="169">
        <f t="shared" si="84"/>
        <v>103</v>
      </c>
      <c r="AZ88" s="169">
        <f t="shared" si="85"/>
        <v>99</v>
      </c>
      <c r="BA88" s="169">
        <f t="shared" si="86"/>
        <v>135</v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135</v>
      </c>
      <c r="BG88" s="169">
        <f t="shared" si="90"/>
        <v>0</v>
      </c>
      <c r="BH88" s="169" t="str">
        <f t="shared" si="95"/>
        <v>Highroller Rosenheim 3</v>
      </c>
      <c r="BI88" s="168">
        <f t="shared" si="91"/>
        <v>2</v>
      </c>
      <c r="BJ88" s="169">
        <f t="shared" si="92"/>
        <v>337</v>
      </c>
      <c r="BK88" s="169">
        <f>IF(COUNTIF(AY88:BC88,"&gt;0")&lt;Spielorte!$A$23,0,AV88/Spielorte!$A$23)</f>
        <v>0</v>
      </c>
      <c r="BL88" s="169">
        <f t="shared" si="93"/>
        <v>0</v>
      </c>
      <c r="BM88" s="168">
        <f t="shared" si="94"/>
        <v>0</v>
      </c>
    </row>
    <row r="89" spans="1:65" ht="16.95" customHeight="1">
      <c r="A89" s="404"/>
      <c r="B89" s="58" t="str">
        <f>IF(C89=0,"",VLOOKUP(C89,Starter!$A$1:$D$196,2,FALSE))</f>
        <v>Marker, Lena</v>
      </c>
      <c r="C89" s="233">
        <v>38849</v>
      </c>
      <c r="D89" s="239">
        <f t="shared" si="72"/>
        <v>35</v>
      </c>
      <c r="E89" s="222"/>
      <c r="F89" s="241">
        <f t="shared" si="73"/>
        <v>0</v>
      </c>
      <c r="G89" s="429"/>
      <c r="H89" s="222"/>
      <c r="I89" s="241">
        <f t="shared" si="74"/>
        <v>0</v>
      </c>
      <c r="J89" s="429"/>
      <c r="K89" s="222"/>
      <c r="L89" s="241">
        <f t="shared" si="75"/>
        <v>0</v>
      </c>
      <c r="M89" s="429"/>
      <c r="N89" s="222">
        <v>84</v>
      </c>
      <c r="O89" s="241">
        <f t="shared" si="76"/>
        <v>119</v>
      </c>
      <c r="P89" s="429"/>
      <c r="Q89" s="222">
        <v>107</v>
      </c>
      <c r="R89" s="241">
        <f t="shared" si="77"/>
        <v>142</v>
      </c>
      <c r="S89" s="429"/>
      <c r="T89" s="222">
        <f t="shared" si="78"/>
        <v>191</v>
      </c>
      <c r="U89" s="241">
        <f t="shared" si="78"/>
        <v>261</v>
      </c>
      <c r="V89" s="401"/>
      <c r="W89" s="79"/>
      <c r="X89" s="79"/>
      <c r="Y89" s="79"/>
      <c r="Z89" s="79"/>
      <c r="AA89" s="79"/>
      <c r="AB89" s="79"/>
      <c r="AL89" s="169">
        <f>IF(AU89=0,0,IFERROR(INDEX(RanglisteST4!K:K,MATCH(AU89,RanglisteST4!A:A,0)),0))</f>
        <v>116.44</v>
      </c>
      <c r="AM89" s="169">
        <f>IF(AU89=0,0,SUMIF(AU85:AU93,AU89,AV85:AV93))</f>
        <v>411</v>
      </c>
      <c r="AN89" s="169">
        <f>IF(AU89=0,0,SUMIF(AU85:AU93,AU89,AW85:AW93))</f>
        <v>4</v>
      </c>
      <c r="AO89" s="169">
        <f t="shared" si="79"/>
        <v>102.75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35</v>
      </c>
      <c r="AQ89" s="166"/>
      <c r="AR89" s="167"/>
      <c r="AS89" s="167"/>
      <c r="AT89" s="168"/>
      <c r="AU89" s="171">
        <f t="shared" si="80"/>
        <v>38849</v>
      </c>
      <c r="AV89" s="167">
        <f t="shared" si="81"/>
        <v>191</v>
      </c>
      <c r="AW89" s="169">
        <f t="shared" si="82"/>
        <v>2</v>
      </c>
      <c r="AX89" s="169">
        <f t="shared" si="83"/>
        <v>2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>
        <f t="shared" si="87"/>
        <v>84</v>
      </c>
      <c r="BC89" s="169">
        <f t="shared" si="88"/>
        <v>107</v>
      </c>
      <c r="BD89" s="170"/>
      <c r="BE89" s="168"/>
      <c r="BF89" s="169">
        <f t="shared" si="89"/>
        <v>107</v>
      </c>
      <c r="BG89" s="169">
        <f t="shared" si="90"/>
        <v>0</v>
      </c>
      <c r="BH89" s="169" t="str">
        <f t="shared" si="95"/>
        <v>Highroller Rosenheim 3</v>
      </c>
      <c r="BI89" s="168">
        <f t="shared" si="91"/>
        <v>2</v>
      </c>
      <c r="BJ89" s="169">
        <f t="shared" si="92"/>
        <v>191</v>
      </c>
      <c r="BK89" s="169">
        <f>IF(COUNTIF(AY89:BC89,"&gt;0")&lt;Spielorte!$A$23,0,AV89/Spielorte!$A$23)</f>
        <v>0</v>
      </c>
      <c r="BL89" s="169">
        <f t="shared" si="93"/>
        <v>0</v>
      </c>
      <c r="BM89" s="168">
        <f t="shared" si="94"/>
        <v>0</v>
      </c>
    </row>
    <row r="90" spans="1:65" ht="16.95" customHeight="1" thickBot="1">
      <c r="A90" s="405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30"/>
      <c r="H90" s="224"/>
      <c r="I90" s="242">
        <f t="shared" si="74"/>
        <v>0</v>
      </c>
      <c r="J90" s="430"/>
      <c r="K90" s="224"/>
      <c r="L90" s="242">
        <f t="shared" si="75"/>
        <v>0</v>
      </c>
      <c r="M90" s="430"/>
      <c r="N90" s="224"/>
      <c r="O90" s="242">
        <f t="shared" si="76"/>
        <v>0</v>
      </c>
      <c r="P90" s="430"/>
      <c r="Q90" s="224"/>
      <c r="R90" s="242">
        <f t="shared" si="77"/>
        <v>0</v>
      </c>
      <c r="S90" s="430"/>
      <c r="T90" s="224">
        <f t="shared" si="78"/>
        <v>0</v>
      </c>
      <c r="U90" s="242">
        <f t="shared" si="78"/>
        <v>0</v>
      </c>
      <c r="V90" s="402"/>
      <c r="W90" s="79"/>
      <c r="X90" s="79"/>
      <c r="Y90" s="79"/>
      <c r="Z90" s="79"/>
      <c r="AA90" s="79"/>
      <c r="AB90" s="79"/>
      <c r="AL90" s="169">
        <f>IF(AU90=0,0,IFERROR(INDEX(RanglisteST4!K:K,MATCH(AU90,RanglisteST4!A:A,0)),0))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0</v>
      </c>
      <c r="BH90" s="169" t="str">
        <f t="shared" si="95"/>
        <v>Highroller Rosenheim 3</v>
      </c>
      <c r="BI90" s="168">
        <f t="shared" si="91"/>
        <v>2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0</v>
      </c>
      <c r="BM90" s="168">
        <f t="shared" si="94"/>
        <v>0</v>
      </c>
    </row>
    <row r="91" spans="1:65" ht="16.95" customHeight="1">
      <c r="A91" s="403" t="s">
        <v>3</v>
      </c>
      <c r="B91" s="58" t="str">
        <f>IF(C91=0,"",VLOOKUP(C91,Starter!$A$1:$D$196,2,FALSE))</f>
        <v>Marker, Lena</v>
      </c>
      <c r="C91" s="235">
        <v>38849</v>
      </c>
      <c r="D91" s="238">
        <f t="shared" si="72"/>
        <v>35</v>
      </c>
      <c r="E91" s="221">
        <v>137</v>
      </c>
      <c r="F91" s="240">
        <f t="shared" si="73"/>
        <v>172</v>
      </c>
      <c r="G91" s="428">
        <f>IF(SUM(F91:F93)+E102=0,0,IF(ABS(SUM(F91:F93))=E102,Spielorte!$A$30/2,IF(ABS(SUM(F91:F93))&gt;E102,Spielorte!$A$30,0)))</f>
        <v>1</v>
      </c>
      <c r="H91" s="221">
        <v>83</v>
      </c>
      <c r="I91" s="240">
        <f t="shared" si="74"/>
        <v>118</v>
      </c>
      <c r="J91" s="428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8">
        <f>IF(SUM(L91:L93)+K102=0,0,IF(ABS(SUM(L91:L93))=K102,Spielorte!$A$30/2,IF(ABS(SUM(L91:L93))&gt;K102,Spielorte!$A$30,0)))</f>
        <v>1</v>
      </c>
      <c r="N91" s="221"/>
      <c r="O91" s="240">
        <f t="shared" si="76"/>
        <v>0</v>
      </c>
      <c r="P91" s="428">
        <f>IF(SUM(O91:O93)+N102=0,0,IF(ABS(SUM(O91:O93))=N102,Spielorte!$A$30/2,IF(ABS(SUM(O91:O93))&gt;N102,Spielorte!$A$30,0)))</f>
        <v>1</v>
      </c>
      <c r="Q91" s="221"/>
      <c r="R91" s="240">
        <f t="shared" si="77"/>
        <v>0</v>
      </c>
      <c r="S91" s="428">
        <f>IF(SUM(R91:R93)+Q102=0,0,IF(ABS(SUM(R91:R93))=Q102,Spielorte!$A$30/2,IF(ABS(SUM(R91:R93))&gt;Q102,Spielorte!$A$30,0)))</f>
        <v>1</v>
      </c>
      <c r="T91" s="221">
        <f t="shared" si="78"/>
        <v>220</v>
      </c>
      <c r="U91" s="240">
        <f t="shared" si="78"/>
        <v>290</v>
      </c>
      <c r="V91" s="400">
        <f>SUM(G91+J91+M91+P91+S91)</f>
        <v>4</v>
      </c>
      <c r="W91" s="79"/>
      <c r="X91" s="79"/>
      <c r="Y91" s="79"/>
      <c r="Z91" s="79"/>
      <c r="AA91" s="79"/>
      <c r="AB91" s="79"/>
      <c r="AL91" s="169">
        <f>IF(AU91=0,0,IFERROR(INDEX(RanglisteST4!K:K,MATCH(AU91,RanglisteST4!A:A,0)),0))</f>
        <v>116.44</v>
      </c>
      <c r="AM91" s="169">
        <f>IF(AU91=0,0,SUMIF(AU85:AU93,AU91,AV85:AV93))</f>
        <v>411</v>
      </c>
      <c r="AN91" s="169">
        <f>IF(AU91=0,0,SUMIF(AU85:AU93,AU91,AW85:AW93))</f>
        <v>4</v>
      </c>
      <c r="AO91" s="169">
        <f t="shared" si="79"/>
        <v>102.75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35</v>
      </c>
      <c r="AQ91" s="166"/>
      <c r="AR91" s="167"/>
      <c r="AS91" s="167"/>
      <c r="AT91" s="168"/>
      <c r="AU91" s="171">
        <f t="shared" si="80"/>
        <v>38849</v>
      </c>
      <c r="AV91" s="167">
        <f t="shared" si="81"/>
        <v>220</v>
      </c>
      <c r="AW91" s="169">
        <f t="shared" si="82"/>
        <v>2</v>
      </c>
      <c r="AX91" s="169">
        <f t="shared" si="83"/>
        <v>2</v>
      </c>
      <c r="AY91" s="169">
        <f t="shared" si="84"/>
        <v>137</v>
      </c>
      <c r="AZ91" s="169">
        <f t="shared" si="85"/>
        <v>83</v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137</v>
      </c>
      <c r="BG91" s="169">
        <f t="shared" si="90"/>
        <v>0</v>
      </c>
      <c r="BH91" s="169" t="str">
        <f t="shared" si="95"/>
        <v>Highroller Rosenheim 3</v>
      </c>
      <c r="BI91" s="168">
        <f t="shared" si="91"/>
        <v>2</v>
      </c>
      <c r="BJ91" s="169">
        <f t="shared" si="92"/>
        <v>220</v>
      </c>
      <c r="BK91" s="169">
        <f>IF(COUNTIF(AY91:BC91,"&gt;0")&lt;Spielorte!$A$23,0,AV91/Spielorte!$A$23)</f>
        <v>0</v>
      </c>
      <c r="BL91" s="169">
        <f t="shared" si="93"/>
        <v>0</v>
      </c>
      <c r="BM91" s="168">
        <f t="shared" si="94"/>
        <v>0</v>
      </c>
    </row>
    <row r="92" spans="1:65" ht="16.95" customHeight="1">
      <c r="A92" s="404"/>
      <c r="B92" s="58" t="str">
        <f>IF(C92=0,"",VLOOKUP(C92,Starter!$A$1:$D$196,2,FALSE))</f>
        <v>Reinhold, Moritz</v>
      </c>
      <c r="C92" s="233">
        <v>38808</v>
      </c>
      <c r="D92" s="239">
        <f t="shared" si="72"/>
        <v>36</v>
      </c>
      <c r="E92" s="222"/>
      <c r="F92" s="241">
        <f t="shared" si="73"/>
        <v>0</v>
      </c>
      <c r="G92" s="429"/>
      <c r="H92" s="222"/>
      <c r="I92" s="241">
        <f t="shared" si="74"/>
        <v>0</v>
      </c>
      <c r="J92" s="429"/>
      <c r="K92" s="222">
        <v>132</v>
      </c>
      <c r="L92" s="241">
        <f t="shared" si="75"/>
        <v>168</v>
      </c>
      <c r="M92" s="429"/>
      <c r="N92" s="222">
        <v>122</v>
      </c>
      <c r="O92" s="241">
        <f t="shared" si="76"/>
        <v>158</v>
      </c>
      <c r="P92" s="429"/>
      <c r="Q92" s="222">
        <v>120</v>
      </c>
      <c r="R92" s="241">
        <f t="shared" si="77"/>
        <v>156</v>
      </c>
      <c r="S92" s="429"/>
      <c r="T92" s="222">
        <f t="shared" si="78"/>
        <v>374</v>
      </c>
      <c r="U92" s="241">
        <f t="shared" si="78"/>
        <v>482</v>
      </c>
      <c r="V92" s="401"/>
      <c r="W92" s="79"/>
      <c r="X92" s="79"/>
      <c r="Y92" s="79"/>
      <c r="Z92" s="79"/>
      <c r="AA92" s="79"/>
      <c r="AB92" s="79"/>
      <c r="AL92" s="169">
        <f>IF(AU92=0,0,IFERROR(INDEX(RanglisteST4!K:K,MATCH(AU92,RanglisteST4!A:A,0)),0))</f>
        <v>115.06</v>
      </c>
      <c r="AM92" s="169">
        <f>IF(AU92=0,0,SUMIF(AU85:AU93,AU92,AV85:AV93))</f>
        <v>471</v>
      </c>
      <c r="AN92" s="169">
        <f>IF(AU92=0,0,SUMIF(AU85:AU93,AU92,AW85:AW93))</f>
        <v>4</v>
      </c>
      <c r="AO92" s="169">
        <f t="shared" si="79"/>
        <v>117.75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36</v>
      </c>
      <c r="AQ92" s="166"/>
      <c r="AR92" s="167"/>
      <c r="AS92" s="167"/>
      <c r="AT92" s="168"/>
      <c r="AU92" s="171">
        <f t="shared" si="80"/>
        <v>38808</v>
      </c>
      <c r="AV92" s="167">
        <f t="shared" si="81"/>
        <v>374</v>
      </c>
      <c r="AW92" s="169">
        <f t="shared" si="82"/>
        <v>3</v>
      </c>
      <c r="AX92" s="169">
        <f t="shared" si="83"/>
        <v>3</v>
      </c>
      <c r="AY92" s="169" t="str">
        <f t="shared" si="84"/>
        <v/>
      </c>
      <c r="AZ92" s="169" t="str">
        <f t="shared" si="85"/>
        <v/>
      </c>
      <c r="BA92" s="169">
        <f t="shared" si="86"/>
        <v>132</v>
      </c>
      <c r="BB92" s="169">
        <f t="shared" si="87"/>
        <v>122</v>
      </c>
      <c r="BC92" s="169">
        <f t="shared" si="88"/>
        <v>120</v>
      </c>
      <c r="BD92" s="170"/>
      <c r="BE92" s="168"/>
      <c r="BF92" s="169">
        <f t="shared" si="89"/>
        <v>132</v>
      </c>
      <c r="BG92" s="169">
        <f t="shared" si="90"/>
        <v>0</v>
      </c>
      <c r="BH92" s="169" t="str">
        <f t="shared" si="95"/>
        <v>Highroller Rosenheim 3</v>
      </c>
      <c r="BI92" s="168">
        <f t="shared" si="91"/>
        <v>2</v>
      </c>
      <c r="BJ92" s="169">
        <f t="shared" si="92"/>
        <v>374</v>
      </c>
      <c r="BK92" s="169">
        <f>IF(COUNTIF(AY92:BC92,"&gt;0")&lt;Spielorte!$A$23,0,AV92/Spielorte!$A$23)</f>
        <v>0</v>
      </c>
      <c r="BL92" s="169">
        <f t="shared" si="93"/>
        <v>0</v>
      </c>
      <c r="BM92" s="168">
        <f t="shared" si="94"/>
        <v>0</v>
      </c>
    </row>
    <row r="93" spans="1:65" ht="16.95" customHeight="1" thickBot="1">
      <c r="A93" s="405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30"/>
      <c r="H93" s="224"/>
      <c r="I93" s="242">
        <f t="shared" si="74"/>
        <v>0</v>
      </c>
      <c r="J93" s="430"/>
      <c r="K93" s="224"/>
      <c r="L93" s="242">
        <f t="shared" si="75"/>
        <v>0</v>
      </c>
      <c r="M93" s="430"/>
      <c r="N93" s="224"/>
      <c r="O93" s="242">
        <f t="shared" si="76"/>
        <v>0</v>
      </c>
      <c r="P93" s="430"/>
      <c r="Q93" s="224"/>
      <c r="R93" s="242">
        <f t="shared" si="77"/>
        <v>0</v>
      </c>
      <c r="S93" s="430"/>
      <c r="T93" s="224">
        <f t="shared" si="78"/>
        <v>0</v>
      </c>
      <c r="U93" s="242">
        <f t="shared" si="78"/>
        <v>0</v>
      </c>
      <c r="V93" s="402"/>
      <c r="W93" s="79"/>
      <c r="X93" s="79"/>
      <c r="Y93" s="79"/>
      <c r="Z93" s="79"/>
      <c r="AA93" s="79"/>
      <c r="AB93" s="79"/>
      <c r="AL93" s="169">
        <f>IF(AU93=0,0,IFERROR(INDEX(RanglisteST4!K:K,MATCH(AU93,RanglisteST4!A:A,0)),0))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0</v>
      </c>
      <c r="BH93" s="169" t="str">
        <f t="shared" si="95"/>
        <v>Highroller Rosenheim 3</v>
      </c>
      <c r="BI93" s="168">
        <f t="shared" si="91"/>
        <v>2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0</v>
      </c>
      <c r="BM93" s="168">
        <f t="shared" si="94"/>
        <v>0</v>
      </c>
    </row>
    <row r="94" spans="1:65" ht="27.75" customHeight="1" thickBot="1">
      <c r="B94" s="218" t="s">
        <v>1792</v>
      </c>
      <c r="C94" s="204"/>
      <c r="D94" s="219"/>
      <c r="E94" s="226">
        <f>ABS(SUM(E85:E87))+ABS(SUM(E88:E90))+ABS(SUM(E91:E93))</f>
        <v>337</v>
      </c>
      <c r="F94" s="225">
        <f>ABS(SUM(F85:F87))+ABS(SUM(F88:F90))+ABS(SUM(F91:F93))</f>
        <v>444</v>
      </c>
      <c r="G94" s="81">
        <f>IF(F94+E103=0,0,IF(F94=E103,Spielorte!$A$31/2,IF(F94&gt;E103,Spielorte!$A$31,0)))</f>
        <v>2</v>
      </c>
      <c r="H94" s="226">
        <f>ABS(SUM(H85:H87))+ABS(SUM(H88:H90))+ABS(SUM(H91:H93))</f>
        <v>304</v>
      </c>
      <c r="I94" s="225">
        <f>ABS(SUM(I85:I87))+ABS(SUM(I88:I90))+ABS(SUM(I91:I93))</f>
        <v>405</v>
      </c>
      <c r="J94" s="81">
        <f>IF(I94+H103=0,0,IF(I94=H103,Spielorte!$A$31/2,IF(I94&gt;H103,Spielorte!$A$31,0)))</f>
        <v>0</v>
      </c>
      <c r="K94" s="226">
        <f>ABS(SUM(K85:K87))+ABS(SUM(K88:K90))+ABS(SUM(K91:K93))</f>
        <v>378</v>
      </c>
      <c r="L94" s="225">
        <f>ABS(SUM(L85:L87))+ABS(SUM(L88:L90))+ABS(SUM(L91:L93))</f>
        <v>480</v>
      </c>
      <c r="M94" s="81">
        <f>IF(L94+K103=0,0,IF(L94=K103,Spielorte!$A$31/2,IF(L94&gt;K103,Spielorte!$A$31,0)))</f>
        <v>2</v>
      </c>
      <c r="N94" s="226">
        <f>ABS(SUM(N85:N87))+ABS(SUM(N88:N90))+ABS(SUM(N91:N93))</f>
        <v>320</v>
      </c>
      <c r="O94" s="225">
        <f>ABS(SUM(O85:O87))+ABS(SUM(O88:O90))+ABS(SUM(O91:O93))</f>
        <v>421</v>
      </c>
      <c r="P94" s="81">
        <f>IF(O94+N103=0,0,IF(O94=N103,Spielorte!$A$31/2,IF(O94&gt;N103,Spielorte!$A$31,0)))</f>
        <v>0</v>
      </c>
      <c r="Q94" s="226">
        <f>ABS(SUM(Q85:Q87))+ABS(SUM(Q88:Q90))+ABS(SUM(Q91:Q93))</f>
        <v>354</v>
      </c>
      <c r="R94" s="225">
        <f>ABS(SUM(R85:R87))+ABS(SUM(R88:R90))+ABS(SUM(R91:R93))</f>
        <v>455</v>
      </c>
      <c r="S94" s="81">
        <f>IF(R94+Q103=0,0,IF(R94=Q103,Spielorte!$A$31/2,IF(R94&gt;Q103,Spielorte!$A$31,0)))</f>
        <v>2</v>
      </c>
      <c r="T94" s="228">
        <f>SUM(E94+H94+K94+N94+Q94)</f>
        <v>1693</v>
      </c>
      <c r="U94" s="229">
        <f>SUM(F94+I94+L94+O94+R94)</f>
        <v>2205</v>
      </c>
      <c r="V94" s="12">
        <f>SUM(G94+J94+M94+P94+S94)</f>
        <v>6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>
      <c r="B95" s="230" t="s">
        <v>1803</v>
      </c>
      <c r="C95" s="1"/>
      <c r="D95" s="1"/>
      <c r="E95" s="1"/>
      <c r="F95" s="1"/>
      <c r="G95" s="61">
        <f>SUM(G85:G94)</f>
        <v>4</v>
      </c>
      <c r="H95" s="1"/>
      <c r="I95" s="1"/>
      <c r="J95" s="61">
        <f>SUM(J85:J94)</f>
        <v>1</v>
      </c>
      <c r="K95" s="1"/>
      <c r="L95" s="1"/>
      <c r="M95" s="61">
        <f>SUM(M85:M94)</f>
        <v>4</v>
      </c>
      <c r="N95" s="1"/>
      <c r="O95" s="1"/>
      <c r="P95" s="61">
        <f>SUM(P85:P94)</f>
        <v>2</v>
      </c>
      <c r="Q95" s="1"/>
      <c r="R95" s="1"/>
      <c r="S95" s="61">
        <f>SUM(S85:S94)</f>
        <v>5</v>
      </c>
      <c r="T95" s="1"/>
      <c r="U95" s="1"/>
      <c r="V95" s="61">
        <f>SUM(V85:V94)</f>
        <v>16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16</v>
      </c>
      <c r="AR95" s="167">
        <f>+T94</f>
        <v>1693</v>
      </c>
      <c r="AS95" s="167">
        <f>+U94</f>
        <v>2205</v>
      </c>
      <c r="AT95" s="168">
        <f>+B80</f>
        <v>4</v>
      </c>
      <c r="AW95" s="169">
        <f>SUM(AW79:AW94)</f>
        <v>15</v>
      </c>
      <c r="BD95" s="166">
        <f>+AS95/1000000+AQ95+AR95/1000000000000</f>
        <v>16.002205001693</v>
      </c>
      <c r="BE95" s="168">
        <f>RANK(BD95,BD:BD)</f>
        <v>3</v>
      </c>
      <c r="BI95" s="168"/>
      <c r="BM95" s="168"/>
    </row>
    <row r="96" spans="1:65" ht="11.25" customHeight="1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>
      <c r="B97" s="231" t="s">
        <v>1790</v>
      </c>
      <c r="C97" s="210"/>
      <c r="D97" s="42"/>
      <c r="E97" s="434">
        <f>VLOOKUP($B80,Schlüssel!$A$5:$EK$12,63)</f>
        <v>8</v>
      </c>
      <c r="F97" s="435"/>
      <c r="G97" s="436"/>
      <c r="H97" s="434">
        <f>VLOOKUP($B80,Schlüssel!$A$5:$EK$12,64)</f>
        <v>6</v>
      </c>
      <c r="I97" s="435"/>
      <c r="J97" s="436"/>
      <c r="K97" s="434">
        <f>VLOOKUP($B80,Schlüssel!$A$5:$EK$12,65)</f>
        <v>1</v>
      </c>
      <c r="L97" s="435"/>
      <c r="M97" s="436"/>
      <c r="N97" s="434">
        <f>VLOOKUP($B80,Schlüssel!$A$5:$EK$12,66)</f>
        <v>7</v>
      </c>
      <c r="O97" s="435"/>
      <c r="P97" s="436"/>
      <c r="Q97" s="434">
        <f>VLOOKUP($B80,Schlüssel!$A$5:$EK$12,67)</f>
        <v>3</v>
      </c>
      <c r="R97" s="435"/>
      <c r="S97" s="436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>
      <c r="B98" s="3" t="s">
        <v>9</v>
      </c>
      <c r="C98" s="1"/>
      <c r="D98" s="1"/>
      <c r="E98" s="395" t="str">
        <f>VLOOKUP(E97,Schlüssel!$A$5:$K$12,2)</f>
        <v>EMAX 1</v>
      </c>
      <c r="F98" s="438"/>
      <c r="G98" s="396"/>
      <c r="H98" s="395" t="str">
        <f>VLOOKUP(H97,Schlüssel!$A$5:$K$12,2)</f>
        <v>Bowling Jugend Bayern 1</v>
      </c>
      <c r="I98" s="438"/>
      <c r="J98" s="396"/>
      <c r="K98" s="395" t="str">
        <f>VLOOKUP(K97,Schlüssel!$A$5:$K$12,2)</f>
        <v>Bad Tölz 1</v>
      </c>
      <c r="L98" s="438"/>
      <c r="M98" s="396"/>
      <c r="N98" s="395" t="str">
        <f>VLOOKUP(N97,Schlüssel!$A$5:$K$12,2)</f>
        <v>BK München 1</v>
      </c>
      <c r="O98" s="438"/>
      <c r="P98" s="396"/>
      <c r="Q98" s="395" t="str">
        <f>VLOOKUP(Q97,Schlüssel!$A$5:$K$12,2)</f>
        <v>Highroller Rosenheim 2</v>
      </c>
      <c r="R98" s="438"/>
      <c r="S98" s="396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" customHeight="1">
      <c r="B100" s="417" t="s">
        <v>2275</v>
      </c>
      <c r="C100" s="418"/>
      <c r="D100" s="419"/>
      <c r="E100" s="431">
        <f>ABS(INDEX(F:F,MATCH(E97,$B:$B,0)+5)+INDEX(F:F,MATCH(E97,$B:$B,0)+6)+INDEX(F:F,MATCH(E97,$B:$B,0)+7))</f>
        <v>145</v>
      </c>
      <c r="F100" s="432"/>
      <c r="G100" s="433"/>
      <c r="H100" s="431">
        <f>ABS(INDEX(I:I,MATCH(H97,$B:$B,0)+5)+INDEX(I:I,MATCH(H97,$B:$B,0)+6)+INDEX(I:I,MATCH(H97,$B:$B,0)+7))</f>
        <v>187</v>
      </c>
      <c r="I100" s="432"/>
      <c r="J100" s="433"/>
      <c r="K100" s="431">
        <f>ABS(INDEX(L:L,MATCH(K97,$B:$B,0)+5)+INDEX(L:L,MATCH(K97,$B:$B,0)+6)+INDEX(L:L,MATCH(K97,$B:$B,0)+7))</f>
        <v>160</v>
      </c>
      <c r="L100" s="432"/>
      <c r="M100" s="433"/>
      <c r="N100" s="431">
        <f>ABS(INDEX(O:O,MATCH(N97,$B:$B,0)+5)+INDEX(O:O,MATCH(N97,$B:$B,0)+6)+INDEX(O:O,MATCH(N97,$B:$B,0)+7))</f>
        <v>143</v>
      </c>
      <c r="O100" s="432"/>
      <c r="P100" s="433"/>
      <c r="Q100" s="431">
        <f>ABS(INDEX(R:R,MATCH(Q97,$B:$B,0)+5)+INDEX(R:R,MATCH(Q97,$B:$B,0)+6)+INDEX(R:R,MATCH(Q97,$B:$B,0)+7))</f>
        <v>153</v>
      </c>
      <c r="R100" s="432"/>
      <c r="S100" s="433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" customHeight="1">
      <c r="B101" s="417" t="s">
        <v>2276</v>
      </c>
      <c r="C101" s="418"/>
      <c r="D101" s="419"/>
      <c r="E101" s="424">
        <f>ABS(INDEX(F:F,MATCH(E97,$B:$B,0)+8)+INDEX(F:F,MATCH(E97,$B:$B,0)+9)+INDEX(F:F,MATCH(E97,$B:$B,0)+10))</f>
        <v>109</v>
      </c>
      <c r="F101" s="425"/>
      <c r="G101" s="426"/>
      <c r="H101" s="424">
        <f>ABS(INDEX(I:I,MATCH(H97,$B:$B,0)+8)+INDEX(I:I,MATCH(H97,$B:$B,0)+9)+INDEX(I:I,MATCH(H97,$B:$B,0)+10))</f>
        <v>119</v>
      </c>
      <c r="I101" s="425"/>
      <c r="J101" s="426"/>
      <c r="K101" s="424">
        <f>ABS(INDEX(L:L,MATCH(K97,$B:$B,0)+8)+INDEX(L:L,MATCH(K97,$B:$B,0)+9)+INDEX(L:L,MATCH(K97,$B:$B,0)+10))</f>
        <v>125</v>
      </c>
      <c r="L101" s="425"/>
      <c r="M101" s="426"/>
      <c r="N101" s="424">
        <f>ABS(INDEX(O:O,MATCH(N97,$B:$B,0)+8)+INDEX(O:O,MATCH(N97,$B:$B,0)+9)+INDEX(O:O,MATCH(N97,$B:$B,0)+10))</f>
        <v>216</v>
      </c>
      <c r="O101" s="425"/>
      <c r="P101" s="426"/>
      <c r="Q101" s="424">
        <f>ABS(INDEX(R:R,MATCH(Q97,$B:$B,0)+8)+INDEX(R:R,MATCH(Q97,$B:$B,0)+9)+INDEX(R:R,MATCH(Q97,$B:$B,0)+10))</f>
        <v>126</v>
      </c>
      <c r="R101" s="425"/>
      <c r="S101" s="426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" customHeight="1">
      <c r="B102" s="417" t="s">
        <v>2277</v>
      </c>
      <c r="C102" s="418"/>
      <c r="D102" s="419"/>
      <c r="E102" s="424">
        <f>ABS(INDEX(F:F,MATCH(E97,$B:$B,0)+11)+INDEX(F:F,MATCH(E97,$B:$B,0)+12)+INDEX(F:F,MATCH(E97,$B:$B,0)+13))</f>
        <v>118</v>
      </c>
      <c r="F102" s="425"/>
      <c r="G102" s="426"/>
      <c r="H102" s="424">
        <f>ABS(INDEX(I:I,MATCH(H97,$B:$B,0)+11)+INDEX(I:I,MATCH(H97,$B:$B,0)+12)+INDEX(I:I,MATCH(H97,$B:$B,0)+13))</f>
        <v>162</v>
      </c>
      <c r="I102" s="425"/>
      <c r="J102" s="426"/>
      <c r="K102" s="424">
        <f>ABS(INDEX(L:L,MATCH(K97,$B:$B,0)+11)+INDEX(L:L,MATCH(K97,$B:$B,0)+12)+INDEX(L:L,MATCH(K97,$B:$B,0)+13))</f>
        <v>120</v>
      </c>
      <c r="L102" s="425"/>
      <c r="M102" s="426"/>
      <c r="N102" s="424">
        <f>ABS(INDEX(O:O,MATCH(N97,$B:$B,0)+11)+INDEX(O:O,MATCH(N97,$B:$B,0)+12)+INDEX(O:O,MATCH(N97,$B:$B,0)+13))</f>
        <v>135</v>
      </c>
      <c r="O102" s="425"/>
      <c r="P102" s="426"/>
      <c r="Q102" s="424">
        <f>ABS(INDEX(R:R,MATCH(Q97,$B:$B,0)+11)+INDEX(R:R,MATCH(Q97,$B:$B,0)+12)+INDEX(R:R,MATCH(Q97,$B:$B,0)+13))</f>
        <v>147</v>
      </c>
      <c r="R102" s="425"/>
      <c r="S102" s="426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" customHeight="1">
      <c r="B103" s="420" t="s">
        <v>2278</v>
      </c>
      <c r="C103" s="421"/>
      <c r="D103" s="422"/>
      <c r="E103" s="407">
        <f>SUM(E100:E102)</f>
        <v>372</v>
      </c>
      <c r="F103" s="423"/>
      <c r="G103" s="408"/>
      <c r="H103" s="407">
        <f>SUM(H100:H102)</f>
        <v>468</v>
      </c>
      <c r="I103" s="423"/>
      <c r="J103" s="408"/>
      <c r="K103" s="407">
        <f>SUM(K100:K102)</f>
        <v>405</v>
      </c>
      <c r="L103" s="423"/>
      <c r="M103" s="408"/>
      <c r="N103" s="407">
        <f>SUM(N100:N102)</f>
        <v>494</v>
      </c>
      <c r="O103" s="423"/>
      <c r="P103" s="408"/>
      <c r="Q103" s="407">
        <f>SUM(Q100:Q102)</f>
        <v>426</v>
      </c>
      <c r="R103" s="423"/>
      <c r="S103" s="408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>
      <c r="A105" s="255"/>
      <c r="B105" s="7" t="s">
        <v>1802</v>
      </c>
      <c r="C105" s="24"/>
      <c r="D105" s="24"/>
      <c r="E105" s="35" t="s">
        <v>1786</v>
      </c>
      <c r="F105" s="35"/>
      <c r="G105" s="427" t="str">
        <f>Schlüssel!$C$1</f>
        <v>Landesliga Jugend</v>
      </c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  <c r="S105" s="406">
        <f>Schlüssel!$BU$1</f>
        <v>45787</v>
      </c>
      <c r="T105" s="406"/>
      <c r="U105" s="406"/>
      <c r="V105" s="406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>
      <c r="A106" s="53"/>
      <c r="B106" s="54">
        <v>5</v>
      </c>
      <c r="E106" s="35" t="s">
        <v>1787</v>
      </c>
      <c r="F106" s="35"/>
      <c r="G106" s="413" t="str">
        <f>Schlüssel!$BK$2</f>
        <v>Bad Tölz Flint Bowling</v>
      </c>
      <c r="H106" s="413"/>
      <c r="I106" s="413"/>
      <c r="J106" s="413"/>
      <c r="K106" s="413"/>
      <c r="L106" s="413"/>
      <c r="M106" s="413"/>
      <c r="N106" s="413"/>
      <c r="O106" s="413"/>
      <c r="P106" s="66"/>
      <c r="Q106" s="411" t="s">
        <v>1785</v>
      </c>
      <c r="R106" s="412"/>
      <c r="S106" s="38">
        <v>4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>
      <c r="B107" s="414" t="str">
        <f>VLOOKUP(B106,Schlüssel!$A$5:$B$12,2)</f>
        <v>Berchtesgaden 1</v>
      </c>
      <c r="C107" s="415"/>
      <c r="D107" s="415"/>
      <c r="E107" s="415"/>
      <c r="F107" s="415"/>
      <c r="G107" s="416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3.8" hidden="1" thickBot="1">
      <c r="A108" s="6"/>
      <c r="B108" s="7"/>
      <c r="C108" s="43"/>
      <c r="D108" s="43"/>
      <c r="E108" s="162" t="s">
        <v>10</v>
      </c>
      <c r="F108" s="220"/>
      <c r="G108" s="159">
        <f>VLOOKUP(B106,Schlüssel!$A$5:$EK$12,73)</f>
        <v>7</v>
      </c>
      <c r="H108" s="161" t="s">
        <v>10</v>
      </c>
      <c r="I108" s="220"/>
      <c r="J108" s="159">
        <f>VLOOKUP(B106,Schlüssel!$A$5:$EK$12,74)</f>
        <v>6</v>
      </c>
      <c r="K108" s="161" t="s">
        <v>10</v>
      </c>
      <c r="L108" s="220"/>
      <c r="M108" s="159">
        <f>VLOOKUP(B106,Schlüssel!$A$5:$EK$12,75)</f>
        <v>1</v>
      </c>
      <c r="N108" s="161" t="s">
        <v>10</v>
      </c>
      <c r="O108" s="220"/>
      <c r="P108" s="159">
        <f>VLOOKUP(B106,Schlüssel!$A$5:$EK$12,76)</f>
        <v>5</v>
      </c>
      <c r="Q108" s="161" t="s">
        <v>10</v>
      </c>
      <c r="R108" s="220"/>
      <c r="S108" s="160">
        <f>VLOOKUP(B106,Schlüssel!$A$5:$EK$12,77)</f>
        <v>8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>
      <c r="B109" s="44" t="s">
        <v>1</v>
      </c>
      <c r="C109" s="208"/>
      <c r="D109" s="217"/>
      <c r="E109" s="423" t="s">
        <v>1793</v>
      </c>
      <c r="F109" s="423"/>
      <c r="G109" s="408"/>
      <c r="H109" s="407" t="s">
        <v>1794</v>
      </c>
      <c r="I109" s="423"/>
      <c r="J109" s="408"/>
      <c r="K109" s="407" t="s">
        <v>1795</v>
      </c>
      <c r="L109" s="423"/>
      <c r="M109" s="408"/>
      <c r="N109" s="407" t="s">
        <v>1796</v>
      </c>
      <c r="O109" s="423"/>
      <c r="P109" s="408"/>
      <c r="Q109" s="407" t="s">
        <v>1797</v>
      </c>
      <c r="R109" s="423"/>
      <c r="S109" s="437"/>
      <c r="T109" s="439" t="s">
        <v>1792</v>
      </c>
      <c r="U109" s="440"/>
      <c r="V109" s="410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6.95" customHeight="1">
      <c r="A111" s="403" t="s">
        <v>0</v>
      </c>
      <c r="B111" s="58" t="str">
        <f>IF(C111=0,"",VLOOKUP(C111,Starter!$A$1:$D$196,2,FALSE))</f>
        <v>Laubach, Nina</v>
      </c>
      <c r="C111" s="232">
        <v>38905</v>
      </c>
      <c r="D111" s="238">
        <f t="shared" ref="D111:D119" si="96">+AP111</f>
        <v>67</v>
      </c>
      <c r="E111" s="221">
        <v>69</v>
      </c>
      <c r="F111" s="240">
        <f t="shared" ref="F111:F119" si="97">IF(E111&gt;0,E111+$D111,0)</f>
        <v>136</v>
      </c>
      <c r="G111" s="428">
        <f>IF(SUM(F111:F113)+E126=0,0,IF(ABS(SUM(F111:F113))=E126,Spielorte!$A$30/2,IF(ABS(SUM(F111:F113))&gt;E126,Spielorte!$A$30,0)))</f>
        <v>0</v>
      </c>
      <c r="H111" s="221">
        <v>72</v>
      </c>
      <c r="I111" s="240">
        <f t="shared" ref="I111:I119" si="98">IF(H111&gt;0,H111+$D111,0)</f>
        <v>139</v>
      </c>
      <c r="J111" s="428">
        <f>IF(SUM(I111:I113)+H126=0,0,IF(ABS(SUM(I111:I113))=H126,Spielorte!$A$30/2,IF(ABS(SUM(I111:I113))&gt;H126,Spielorte!$A$30,0)))</f>
        <v>1</v>
      </c>
      <c r="K111" s="221">
        <v>73</v>
      </c>
      <c r="L111" s="240">
        <f t="shared" ref="L111:L119" si="99">IF(K111&gt;0,K111+$D111,0)</f>
        <v>140</v>
      </c>
      <c r="M111" s="428">
        <f>IF(SUM(L111:L113)+K126=0,0,IF(ABS(SUM(L111:L113))=K126,Spielorte!$A$30/2,IF(ABS(SUM(L111:L113))&gt;K126,Spielorte!$A$30,0)))</f>
        <v>1</v>
      </c>
      <c r="N111" s="221">
        <v>82</v>
      </c>
      <c r="O111" s="240">
        <f t="shared" ref="O111:O119" si="100">IF(N111&gt;0,N111+$D111,0)</f>
        <v>149</v>
      </c>
      <c r="P111" s="428">
        <f>IF(SUM(O111:O113)+N126=0,0,IF(ABS(SUM(O111:O113))=N126,Spielorte!$A$30/2,IF(ABS(SUM(O111:O113))&gt;N126,Spielorte!$A$30,0)))</f>
        <v>0</v>
      </c>
      <c r="Q111" s="221">
        <v>100</v>
      </c>
      <c r="R111" s="240">
        <f t="shared" ref="R111:R119" si="101">IF(Q111&gt;0,Q111+$D111,0)</f>
        <v>167</v>
      </c>
      <c r="S111" s="428">
        <f>IF(SUM(R111:R113)+Q126=0,0,IF(ABS(SUM(R111:R113))=Q126,Spielorte!$A$30/2,IF(ABS(SUM(R111:R113))&gt;Q126,Spielorte!$A$30,0)))</f>
        <v>1</v>
      </c>
      <c r="T111" s="221">
        <f t="shared" ref="T111:U119" si="102">ABS(SUM(E111:E111))+ABS(SUM(H111:H111))+ABS(SUM(K111:K111))+ABS(SUM(N111:N111))+ABS(SUM(Q111:Q111))</f>
        <v>396</v>
      </c>
      <c r="U111" s="240">
        <f t="shared" si="102"/>
        <v>731</v>
      </c>
      <c r="V111" s="400">
        <f>SUM(G111+J111+M111+P111+S111)</f>
        <v>3</v>
      </c>
      <c r="W111" s="79"/>
      <c r="X111" s="79"/>
      <c r="Y111" s="79"/>
      <c r="Z111" s="79"/>
      <c r="AA111" s="79"/>
      <c r="AB111" s="79"/>
      <c r="AL111" s="169">
        <f>IF(AU111=0,0,IFERROR(INDEX(RanglisteST4!K:K,MATCH(AU111,RanglisteST4!A:A,0)),0))</f>
        <v>76.12</v>
      </c>
      <c r="AM111" s="169">
        <f>IF(AU111=0,0,SUMIF(AU111:AU119,AU111,AV111:AV119))</f>
        <v>396</v>
      </c>
      <c r="AN111" s="169">
        <f>IF(AU111=0,0,SUMIF(AU111:AU119,AU111,AW111:AW119))</f>
        <v>5</v>
      </c>
      <c r="AO111" s="169">
        <f t="shared" ref="AO111:AO119" si="103">IFERROR(AM111/AN111,0)</f>
        <v>79.2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67</v>
      </c>
      <c r="AQ111" s="166"/>
      <c r="AR111" s="167"/>
      <c r="AS111" s="167"/>
      <c r="AT111" s="168"/>
      <c r="AU111" s="171">
        <f t="shared" ref="AU111:AU119" si="104">C111</f>
        <v>38905</v>
      </c>
      <c r="AV111" s="167">
        <f t="shared" ref="AV111:AV119" si="105">T111</f>
        <v>396</v>
      </c>
      <c r="AW111" s="169">
        <f t="shared" ref="AW111:AW119" si="106">COUNT(AY111:BC111)</f>
        <v>5</v>
      </c>
      <c r="AX111" s="169">
        <f t="shared" ref="AX111:AX119" si="107">COUNTIF(AY111:BC111,"&gt;0")</f>
        <v>5</v>
      </c>
      <c r="AY111" s="169">
        <f t="shared" ref="AY111:AY119" si="108">IF(E111=0,"",E111)</f>
        <v>69</v>
      </c>
      <c r="AZ111" s="169">
        <f t="shared" ref="AZ111:AZ119" si="109">IF(H111=0,"",H111)</f>
        <v>72</v>
      </c>
      <c r="BA111" s="169">
        <f t="shared" ref="BA111:BA119" si="110">IF(K111=0,"",K111)</f>
        <v>73</v>
      </c>
      <c r="BB111" s="169">
        <f t="shared" ref="BB111:BB119" si="111">IF(N111=0,"",N111)</f>
        <v>82</v>
      </c>
      <c r="BC111" s="169">
        <f t="shared" ref="BC111:BC119" si="112">IF(Q111=0,"",Q111)</f>
        <v>100</v>
      </c>
      <c r="BD111" s="170"/>
      <c r="BE111" s="168"/>
      <c r="BF111" s="169">
        <f t="shared" ref="BF111:BF119" si="113">MAX(AY111:BC111)</f>
        <v>100</v>
      </c>
      <c r="BG111" s="169">
        <f t="shared" ref="BG111:BG119" si="114">IF(BF111&lt;MAX(BF:BF),0,BF111+ROW()/1000000000)</f>
        <v>0</v>
      </c>
      <c r="BH111" s="169" t="str">
        <f>+B107</f>
        <v>Berchtesgaden 1</v>
      </c>
      <c r="BI111" s="168">
        <f t="shared" ref="BI111:BI119" si="115">RANK(BG111,BG:BG)</f>
        <v>2</v>
      </c>
      <c r="BJ111" s="169">
        <f t="shared" ref="BJ111:BJ119" si="116">SUMIF(AY111:BC111,"&gt;0")</f>
        <v>396</v>
      </c>
      <c r="BK111" s="169">
        <f>IF(COUNTIF(AY111:BC111,"&gt;0")&lt;Spielorte!$A$23,0,AV111/Spielorte!$A$23)</f>
        <v>79.2</v>
      </c>
      <c r="BL111" s="169">
        <f t="shared" ref="BL111:BL119" si="117">IF(BK111&lt;MAX(BK:BK),0,BK111+ROW()/1000000000)</f>
        <v>0</v>
      </c>
      <c r="BM111" s="168">
        <f t="shared" ref="BM111:BM119" si="118">IF(BL111=0,0,RANK(BL111,BL:BL))</f>
        <v>0</v>
      </c>
    </row>
    <row r="112" spans="1:65" ht="16.95" customHeight="1">
      <c r="A112" s="404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9"/>
      <c r="H112" s="222"/>
      <c r="I112" s="241">
        <f t="shared" si="98"/>
        <v>0</v>
      </c>
      <c r="J112" s="429"/>
      <c r="K112" s="222"/>
      <c r="L112" s="241">
        <f t="shared" si="99"/>
        <v>0</v>
      </c>
      <c r="M112" s="429"/>
      <c r="N112" s="222"/>
      <c r="O112" s="241">
        <f t="shared" si="100"/>
        <v>0</v>
      </c>
      <c r="P112" s="429"/>
      <c r="Q112" s="222"/>
      <c r="R112" s="241">
        <f t="shared" si="101"/>
        <v>0</v>
      </c>
      <c r="S112" s="429"/>
      <c r="T112" s="222">
        <f t="shared" si="102"/>
        <v>0</v>
      </c>
      <c r="U112" s="241">
        <f t="shared" si="102"/>
        <v>0</v>
      </c>
      <c r="V112" s="401"/>
      <c r="W112" s="79"/>
      <c r="X112" s="79"/>
      <c r="Y112" s="79"/>
      <c r="Z112" s="79"/>
      <c r="AA112" s="79"/>
      <c r="AB112" s="79"/>
      <c r="AL112" s="169">
        <f>IF(AU112=0,0,IFERROR(INDEX(RanglisteST4!K:K,MATCH(AU112,RanglisteST4!A:A,0)),0))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0</v>
      </c>
      <c r="BH112" s="169" t="str">
        <f t="shared" ref="BH112:BH119" si="119">+BH111</f>
        <v>Berchtesgaden 1</v>
      </c>
      <c r="BI112" s="168">
        <f t="shared" si="115"/>
        <v>2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0</v>
      </c>
      <c r="BM112" s="168">
        <f t="shared" si="118"/>
        <v>0</v>
      </c>
    </row>
    <row r="113" spans="1:65" ht="16.95" customHeight="1" thickBot="1">
      <c r="A113" s="405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30"/>
      <c r="H113" s="224"/>
      <c r="I113" s="242">
        <f t="shared" si="98"/>
        <v>0</v>
      </c>
      <c r="J113" s="430"/>
      <c r="K113" s="224"/>
      <c r="L113" s="242">
        <f t="shared" si="99"/>
        <v>0</v>
      </c>
      <c r="M113" s="430"/>
      <c r="N113" s="224"/>
      <c r="O113" s="242">
        <f t="shared" si="100"/>
        <v>0</v>
      </c>
      <c r="P113" s="430"/>
      <c r="Q113" s="224"/>
      <c r="R113" s="242">
        <f t="shared" si="101"/>
        <v>0</v>
      </c>
      <c r="S113" s="430"/>
      <c r="T113" s="224">
        <f t="shared" si="102"/>
        <v>0</v>
      </c>
      <c r="U113" s="242">
        <f t="shared" si="102"/>
        <v>0</v>
      </c>
      <c r="V113" s="402"/>
      <c r="W113" s="79"/>
      <c r="X113" s="79"/>
      <c r="Y113" s="79"/>
      <c r="Z113" s="79"/>
      <c r="AA113" s="79"/>
      <c r="AB113" s="79"/>
      <c r="AL113" s="169">
        <f>IF(AU113=0,0,IFERROR(INDEX(RanglisteST4!K:K,MATCH(AU113,RanglisteST4!A:A,0)),0))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0</v>
      </c>
      <c r="BH113" s="169" t="str">
        <f t="shared" si="119"/>
        <v>Berchtesgaden 1</v>
      </c>
      <c r="BI113" s="168">
        <f t="shared" si="115"/>
        <v>2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0</v>
      </c>
      <c r="BM113" s="168">
        <f t="shared" si="118"/>
        <v>0</v>
      </c>
    </row>
    <row r="114" spans="1:65" ht="16.95" customHeight="1">
      <c r="A114" s="403" t="s">
        <v>2</v>
      </c>
      <c r="B114" s="58" t="str">
        <f>IF(C114=0,"",VLOOKUP(C114,Starter!$A$1:$D$196,2,FALSE))</f>
        <v>Labs, Leon</v>
      </c>
      <c r="C114" s="235">
        <v>38865</v>
      </c>
      <c r="D114" s="238">
        <f t="shared" si="96"/>
        <v>43</v>
      </c>
      <c r="E114" s="221">
        <v>149</v>
      </c>
      <c r="F114" s="240">
        <f t="shared" si="97"/>
        <v>192</v>
      </c>
      <c r="G114" s="428">
        <f>IF(SUM(F114:F116)+E127=0,0,IF(ABS(SUM(F114:F116))=E127,Spielorte!$A$30/2,IF(ABS(SUM(F114:F116))&gt;E127,Spielorte!$A$30,0)))</f>
        <v>1</v>
      </c>
      <c r="H114" s="221">
        <v>130</v>
      </c>
      <c r="I114" s="240">
        <f t="shared" si="98"/>
        <v>173</v>
      </c>
      <c r="J114" s="428">
        <f>IF(SUM(I114:I116)+H127=0,0,IF(ABS(SUM(I114:I116))=H127,Spielorte!$A$30/2,IF(ABS(SUM(I114:I116))&gt;H127,Spielorte!$A$30,0)))</f>
        <v>1</v>
      </c>
      <c r="K114" s="221">
        <v>107</v>
      </c>
      <c r="L114" s="240">
        <f t="shared" si="99"/>
        <v>150</v>
      </c>
      <c r="M114" s="428">
        <f>IF(SUM(L114:L116)+K127=0,0,IF(ABS(SUM(L114:L116))=K127,Spielorte!$A$30/2,IF(ABS(SUM(L114:L116))&gt;K127,Spielorte!$A$30,0)))</f>
        <v>1</v>
      </c>
      <c r="N114" s="221">
        <v>164</v>
      </c>
      <c r="O114" s="240">
        <f t="shared" si="100"/>
        <v>207</v>
      </c>
      <c r="P114" s="428">
        <f>IF(SUM(O114:O116)+N127=0,0,IF(ABS(SUM(O114:O116))=N127,Spielorte!$A$30/2,IF(ABS(SUM(O114:O116))&gt;N127,Spielorte!$A$30,0)))</f>
        <v>1</v>
      </c>
      <c r="Q114" s="221">
        <v>99</v>
      </c>
      <c r="R114" s="240">
        <f t="shared" si="101"/>
        <v>142</v>
      </c>
      <c r="S114" s="428">
        <f>IF(SUM(R114:R116)+Q127=0,0,IF(ABS(SUM(R114:R116))=Q127,Spielorte!$A$30/2,IF(ABS(SUM(R114:R116))&gt;Q127,Spielorte!$A$30,0)))</f>
        <v>0</v>
      </c>
      <c r="T114" s="221">
        <f t="shared" si="102"/>
        <v>649</v>
      </c>
      <c r="U114" s="240">
        <f t="shared" si="102"/>
        <v>864</v>
      </c>
      <c r="V114" s="400">
        <f>SUM(G114+J114+M114+P114+S114)</f>
        <v>4</v>
      </c>
      <c r="W114" s="79"/>
      <c r="X114" s="79"/>
      <c r="Y114" s="79"/>
      <c r="Z114" s="79"/>
      <c r="AA114" s="79"/>
      <c r="AB114" s="79"/>
      <c r="AL114" s="169">
        <f>IF(AU114=0,0,IFERROR(INDEX(RanglisteST4!K:K,MATCH(AU114,RanglisteST4!A:A,0)),0))</f>
        <v>106.18</v>
      </c>
      <c r="AM114" s="169">
        <f>IF(AU114=0,0,SUMIF(AU111:AU119,AU114,AV111:AV119))</f>
        <v>649</v>
      </c>
      <c r="AN114" s="169">
        <f>IF(AU114=0,0,SUMIF(AU111:AU119,AU114,AW111:AW119))</f>
        <v>5</v>
      </c>
      <c r="AO114" s="169">
        <f t="shared" si="103"/>
        <v>129.80000000000001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43</v>
      </c>
      <c r="AQ114" s="166"/>
      <c r="AR114" s="167"/>
      <c r="AS114" s="167"/>
      <c r="AT114" s="168"/>
      <c r="AU114" s="171">
        <f t="shared" si="104"/>
        <v>38865</v>
      </c>
      <c r="AV114" s="167">
        <f t="shared" si="105"/>
        <v>649</v>
      </c>
      <c r="AW114" s="169">
        <f t="shared" si="106"/>
        <v>5</v>
      </c>
      <c r="AX114" s="169">
        <f t="shared" si="107"/>
        <v>5</v>
      </c>
      <c r="AY114" s="169">
        <f t="shared" si="108"/>
        <v>149</v>
      </c>
      <c r="AZ114" s="169">
        <f t="shared" si="109"/>
        <v>130</v>
      </c>
      <c r="BA114" s="169">
        <f t="shared" si="110"/>
        <v>107</v>
      </c>
      <c r="BB114" s="169">
        <f t="shared" si="111"/>
        <v>164</v>
      </c>
      <c r="BC114" s="169">
        <f t="shared" si="112"/>
        <v>99</v>
      </c>
      <c r="BD114" s="170"/>
      <c r="BE114" s="168"/>
      <c r="BF114" s="169">
        <f t="shared" si="113"/>
        <v>164</v>
      </c>
      <c r="BG114" s="169">
        <f t="shared" si="114"/>
        <v>0</v>
      </c>
      <c r="BH114" s="169" t="str">
        <f t="shared" si="119"/>
        <v>Berchtesgaden 1</v>
      </c>
      <c r="BI114" s="168">
        <f t="shared" si="115"/>
        <v>2</v>
      </c>
      <c r="BJ114" s="169">
        <f t="shared" si="116"/>
        <v>649</v>
      </c>
      <c r="BK114" s="169">
        <f>IF(COUNTIF(AY114:BC114,"&gt;0")&lt;Spielorte!$A$23,0,AV114/Spielorte!$A$23)</f>
        <v>129.80000000000001</v>
      </c>
      <c r="BL114" s="169">
        <f t="shared" si="117"/>
        <v>0</v>
      </c>
      <c r="BM114" s="168">
        <f t="shared" si="118"/>
        <v>0</v>
      </c>
    </row>
    <row r="115" spans="1:65" ht="16.95" customHeight="1">
      <c r="A115" s="404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9"/>
      <c r="H115" s="222"/>
      <c r="I115" s="241">
        <f t="shared" si="98"/>
        <v>0</v>
      </c>
      <c r="J115" s="429"/>
      <c r="K115" s="222"/>
      <c r="L115" s="241">
        <f t="shared" si="99"/>
        <v>0</v>
      </c>
      <c r="M115" s="429"/>
      <c r="N115" s="222"/>
      <c r="O115" s="241">
        <f t="shared" si="100"/>
        <v>0</v>
      </c>
      <c r="P115" s="429"/>
      <c r="Q115" s="222"/>
      <c r="R115" s="241">
        <f t="shared" si="101"/>
        <v>0</v>
      </c>
      <c r="S115" s="429"/>
      <c r="T115" s="222">
        <f t="shared" si="102"/>
        <v>0</v>
      </c>
      <c r="U115" s="241">
        <f t="shared" si="102"/>
        <v>0</v>
      </c>
      <c r="V115" s="401"/>
      <c r="W115" s="79"/>
      <c r="X115" s="79"/>
      <c r="Y115" s="79"/>
      <c r="Z115" s="79"/>
      <c r="AA115" s="79"/>
      <c r="AB115" s="79"/>
      <c r="AL115" s="169">
        <f>IF(AU115=0,0,IFERROR(INDEX(RanglisteST4!K:K,MATCH(AU115,RanglisteST4!A:A,0)),0))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0</v>
      </c>
      <c r="BH115" s="169" t="str">
        <f t="shared" si="119"/>
        <v>Berchtesgaden 1</v>
      </c>
      <c r="BI115" s="168">
        <f t="shared" si="115"/>
        <v>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0</v>
      </c>
      <c r="BM115" s="168">
        <f t="shared" si="118"/>
        <v>0</v>
      </c>
    </row>
    <row r="116" spans="1:65" ht="16.95" customHeight="1" thickBot="1">
      <c r="A116" s="405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30"/>
      <c r="H116" s="224"/>
      <c r="I116" s="242">
        <f t="shared" si="98"/>
        <v>0</v>
      </c>
      <c r="J116" s="430"/>
      <c r="K116" s="224"/>
      <c r="L116" s="242">
        <f t="shared" si="99"/>
        <v>0</v>
      </c>
      <c r="M116" s="430"/>
      <c r="N116" s="224"/>
      <c r="O116" s="242">
        <f t="shared" si="100"/>
        <v>0</v>
      </c>
      <c r="P116" s="430"/>
      <c r="Q116" s="224"/>
      <c r="R116" s="242">
        <f t="shared" si="101"/>
        <v>0</v>
      </c>
      <c r="S116" s="430"/>
      <c r="T116" s="224">
        <f t="shared" si="102"/>
        <v>0</v>
      </c>
      <c r="U116" s="242">
        <f t="shared" si="102"/>
        <v>0</v>
      </c>
      <c r="V116" s="402"/>
      <c r="W116" s="79"/>
      <c r="X116" s="79"/>
      <c r="Y116" s="79"/>
      <c r="Z116" s="79"/>
      <c r="AA116" s="79"/>
      <c r="AB116" s="79"/>
      <c r="AL116" s="169">
        <f>IF(AU116=0,0,IFERROR(INDEX(RanglisteST4!K:K,MATCH(AU116,RanglisteST4!A:A,0)),0))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0</v>
      </c>
      <c r="BH116" s="169" t="str">
        <f t="shared" si="119"/>
        <v>Berchtesgaden 1</v>
      </c>
      <c r="BI116" s="168">
        <f t="shared" si="115"/>
        <v>2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0</v>
      </c>
      <c r="BM116" s="168">
        <f t="shared" si="118"/>
        <v>0</v>
      </c>
    </row>
    <row r="117" spans="1:65" ht="16.95" customHeight="1">
      <c r="A117" s="403" t="s">
        <v>3</v>
      </c>
      <c r="B117" s="58" t="str">
        <f>IF(C117=0,"",VLOOKUP(C117,Starter!$A$1:$D$196,2,FALSE))</f>
        <v>Wieser, Lukas</v>
      </c>
      <c r="C117" s="235">
        <v>38714</v>
      </c>
      <c r="D117" s="238">
        <f t="shared" si="96"/>
        <v>0</v>
      </c>
      <c r="E117" s="221">
        <v>129</v>
      </c>
      <c r="F117" s="240">
        <f t="shared" si="97"/>
        <v>129</v>
      </c>
      <c r="G117" s="428">
        <f>IF(SUM(F117:F119)+E128=0,0,IF(ABS(SUM(F117:F119))=E128,Spielorte!$A$30/2,IF(ABS(SUM(F117:F119))&gt;E128,Spielorte!$A$30,0)))</f>
        <v>0</v>
      </c>
      <c r="H117" s="221">
        <v>105</v>
      </c>
      <c r="I117" s="240">
        <f t="shared" si="98"/>
        <v>105</v>
      </c>
      <c r="J117" s="428">
        <f>IF(SUM(I117:I119)+H128=0,0,IF(ABS(SUM(I117:I119))=H128,Spielorte!$A$30/2,IF(ABS(SUM(I117:I119))&gt;H128,Spielorte!$A$30,0)))</f>
        <v>0</v>
      </c>
      <c r="K117" s="221">
        <v>128</v>
      </c>
      <c r="L117" s="240">
        <f t="shared" si="99"/>
        <v>128</v>
      </c>
      <c r="M117" s="428">
        <f>IF(SUM(L117:L119)+K128=0,0,IF(ABS(SUM(L117:L119))=K128,Spielorte!$A$30/2,IF(ABS(SUM(L117:L119))&gt;K128,Spielorte!$A$30,0)))</f>
        <v>1</v>
      </c>
      <c r="N117" s="221">
        <v>114</v>
      </c>
      <c r="O117" s="240">
        <f t="shared" si="100"/>
        <v>114</v>
      </c>
      <c r="P117" s="428">
        <f>IF(SUM(O117:O119)+N128=0,0,IF(ABS(SUM(O117:O119))=N128,Spielorte!$A$30/2,IF(ABS(SUM(O117:O119))&gt;N128,Spielorte!$A$30,0)))</f>
        <v>0</v>
      </c>
      <c r="Q117" s="221">
        <v>142</v>
      </c>
      <c r="R117" s="240">
        <f t="shared" si="101"/>
        <v>142</v>
      </c>
      <c r="S117" s="428">
        <f>IF(SUM(R117:R119)+Q128=0,0,IF(ABS(SUM(R117:R119))=Q128,Spielorte!$A$30/2,IF(ABS(SUM(R117:R119))&gt;Q128,Spielorte!$A$30,0)))</f>
        <v>1</v>
      </c>
      <c r="T117" s="221">
        <f t="shared" si="102"/>
        <v>618</v>
      </c>
      <c r="U117" s="240">
        <f t="shared" si="102"/>
        <v>618</v>
      </c>
      <c r="V117" s="400">
        <f>SUM(G117+J117+M117+P117+S117)</f>
        <v>2</v>
      </c>
      <c r="W117" s="79"/>
      <c r="X117" s="79"/>
      <c r="Y117" s="79"/>
      <c r="Z117" s="79"/>
      <c r="AA117" s="79"/>
      <c r="AB117" s="79"/>
      <c r="AL117" s="169">
        <f>IF(AU117=0,0,IFERROR(INDEX(RanglisteST4!K:K,MATCH(AU117,RanglisteST4!A:A,0)),0))</f>
        <v>167.68</v>
      </c>
      <c r="AM117" s="169">
        <f>IF(AU117=0,0,SUMIF(AU111:AU119,AU117,AV111:AV119))</f>
        <v>618</v>
      </c>
      <c r="AN117" s="169">
        <f>IF(AU117=0,0,SUMIF(AU111:AU119,AU117,AW111:AW119))</f>
        <v>5</v>
      </c>
      <c r="AO117" s="169">
        <f t="shared" si="103"/>
        <v>123.6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38714</v>
      </c>
      <c r="AV117" s="167">
        <f t="shared" si="105"/>
        <v>618</v>
      </c>
      <c r="AW117" s="169">
        <f t="shared" si="106"/>
        <v>5</v>
      </c>
      <c r="AX117" s="169">
        <f t="shared" si="107"/>
        <v>5</v>
      </c>
      <c r="AY117" s="169">
        <f t="shared" si="108"/>
        <v>129</v>
      </c>
      <c r="AZ117" s="169">
        <f t="shared" si="109"/>
        <v>105</v>
      </c>
      <c r="BA117" s="169">
        <f t="shared" si="110"/>
        <v>128</v>
      </c>
      <c r="BB117" s="169">
        <f t="shared" si="111"/>
        <v>114</v>
      </c>
      <c r="BC117" s="169">
        <f t="shared" si="112"/>
        <v>142</v>
      </c>
      <c r="BD117" s="170"/>
      <c r="BE117" s="168"/>
      <c r="BF117" s="169">
        <f t="shared" si="113"/>
        <v>142</v>
      </c>
      <c r="BG117" s="169">
        <f t="shared" si="114"/>
        <v>0</v>
      </c>
      <c r="BH117" s="169" t="str">
        <f t="shared" si="119"/>
        <v>Berchtesgaden 1</v>
      </c>
      <c r="BI117" s="168">
        <f t="shared" si="115"/>
        <v>2</v>
      </c>
      <c r="BJ117" s="169">
        <f t="shared" si="116"/>
        <v>618</v>
      </c>
      <c r="BK117" s="169">
        <f>IF(COUNTIF(AY117:BC117,"&gt;0")&lt;Spielorte!$A$23,0,AV117/Spielorte!$A$23)</f>
        <v>123.6</v>
      </c>
      <c r="BL117" s="169">
        <f t="shared" si="117"/>
        <v>0</v>
      </c>
      <c r="BM117" s="168">
        <f t="shared" si="118"/>
        <v>0</v>
      </c>
    </row>
    <row r="118" spans="1:65" ht="16.95" customHeight="1">
      <c r="A118" s="404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9"/>
      <c r="H118" s="222"/>
      <c r="I118" s="241">
        <f t="shared" si="98"/>
        <v>0</v>
      </c>
      <c r="J118" s="429"/>
      <c r="K118" s="222"/>
      <c r="L118" s="241">
        <f t="shared" si="99"/>
        <v>0</v>
      </c>
      <c r="M118" s="429"/>
      <c r="N118" s="222"/>
      <c r="O118" s="241">
        <f t="shared" si="100"/>
        <v>0</v>
      </c>
      <c r="P118" s="429"/>
      <c r="Q118" s="222"/>
      <c r="R118" s="241">
        <f t="shared" si="101"/>
        <v>0</v>
      </c>
      <c r="S118" s="429"/>
      <c r="T118" s="222">
        <f t="shared" si="102"/>
        <v>0</v>
      </c>
      <c r="U118" s="241">
        <f t="shared" si="102"/>
        <v>0</v>
      </c>
      <c r="V118" s="401"/>
      <c r="W118" s="79"/>
      <c r="X118" s="79"/>
      <c r="Y118" s="79"/>
      <c r="Z118" s="79"/>
      <c r="AA118" s="79"/>
      <c r="AB118" s="79"/>
      <c r="AL118" s="169">
        <f>IF(AU118=0,0,IFERROR(INDEX(RanglisteST4!K:K,MATCH(AU118,RanglisteST4!A:A,0)),0))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0</v>
      </c>
      <c r="BH118" s="169" t="str">
        <f t="shared" si="119"/>
        <v>Berchtesgaden 1</v>
      </c>
      <c r="BI118" s="168">
        <f t="shared" si="115"/>
        <v>2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0</v>
      </c>
      <c r="BM118" s="168">
        <f t="shared" si="118"/>
        <v>0</v>
      </c>
    </row>
    <row r="119" spans="1:65" ht="16.95" customHeight="1" thickBot="1">
      <c r="A119" s="405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30"/>
      <c r="H119" s="224"/>
      <c r="I119" s="242">
        <f t="shared" si="98"/>
        <v>0</v>
      </c>
      <c r="J119" s="430"/>
      <c r="K119" s="224"/>
      <c r="L119" s="242">
        <f t="shared" si="99"/>
        <v>0</v>
      </c>
      <c r="M119" s="430"/>
      <c r="N119" s="224"/>
      <c r="O119" s="242">
        <f t="shared" si="100"/>
        <v>0</v>
      </c>
      <c r="P119" s="430"/>
      <c r="Q119" s="224"/>
      <c r="R119" s="242">
        <f t="shared" si="101"/>
        <v>0</v>
      </c>
      <c r="S119" s="430"/>
      <c r="T119" s="224">
        <f t="shared" si="102"/>
        <v>0</v>
      </c>
      <c r="U119" s="242">
        <f t="shared" si="102"/>
        <v>0</v>
      </c>
      <c r="V119" s="402"/>
      <c r="W119" s="79"/>
      <c r="X119" s="79"/>
      <c r="Y119" s="79"/>
      <c r="Z119" s="79"/>
      <c r="AA119" s="79"/>
      <c r="AB119" s="79"/>
      <c r="AL119" s="169">
        <f>IF(AU119=0,0,IFERROR(INDEX(RanglisteST4!K:K,MATCH(AU119,RanglisteST4!A:A,0)),0))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0</v>
      </c>
      <c r="BH119" s="169" t="str">
        <f t="shared" si="119"/>
        <v>Berchtesgaden 1</v>
      </c>
      <c r="BI119" s="168">
        <f t="shared" si="115"/>
        <v>2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0</v>
      </c>
      <c r="BM119" s="168">
        <f t="shared" si="118"/>
        <v>0</v>
      </c>
    </row>
    <row r="120" spans="1:65" ht="27.75" customHeight="1" thickBot="1">
      <c r="B120" s="218" t="s">
        <v>1792</v>
      </c>
      <c r="C120" s="204"/>
      <c r="D120" s="219"/>
      <c r="E120" s="226">
        <f>ABS(SUM(E111:E113))+ABS(SUM(E114:E116))+ABS(SUM(E117:E119))</f>
        <v>347</v>
      </c>
      <c r="F120" s="225">
        <f>ABS(SUM(F111:F113))+ABS(SUM(F114:F116))+ABS(SUM(F117:F119))</f>
        <v>457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307</v>
      </c>
      <c r="I120" s="225">
        <f>ABS(SUM(I111:I113))+ABS(SUM(I114:I116))+ABS(SUM(I117:I119))</f>
        <v>417</v>
      </c>
      <c r="J120" s="81">
        <f>IF(I120+H129=0,0,IF(I120=H129,Spielorte!$A$31/2,IF(I120&gt;H129,Spielorte!$A$31,0)))</f>
        <v>2</v>
      </c>
      <c r="K120" s="226">
        <f>ABS(SUM(K111:K113))+ABS(SUM(K114:K116))+ABS(SUM(K117:K119))</f>
        <v>308</v>
      </c>
      <c r="L120" s="225">
        <f>ABS(SUM(L111:L113))+ABS(SUM(L114:L116))+ABS(SUM(L117:L119))</f>
        <v>418</v>
      </c>
      <c r="M120" s="81">
        <f>IF(L120+K129=0,0,IF(L120=K129,Spielorte!$A$31/2,IF(L120&gt;K129,Spielorte!$A$31,0)))</f>
        <v>2</v>
      </c>
      <c r="N120" s="226">
        <f>ABS(SUM(N111:N113))+ABS(SUM(N114:N116))+ABS(SUM(N117:N119))</f>
        <v>360</v>
      </c>
      <c r="O120" s="225">
        <f>ABS(SUM(O111:O113))+ABS(SUM(O114:O116))+ABS(SUM(O117:O119))</f>
        <v>470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341</v>
      </c>
      <c r="R120" s="225">
        <f>ABS(SUM(R111:R113))+ABS(SUM(R114:R116))+ABS(SUM(R117:R119))</f>
        <v>451</v>
      </c>
      <c r="S120" s="81">
        <f>IF(R120+Q129=0,0,IF(R120=Q129,Spielorte!$A$31/2,IF(R120&gt;Q129,Spielorte!$A$31,0)))</f>
        <v>2</v>
      </c>
      <c r="T120" s="228">
        <f>SUM(E120+H120+K120+N120+Q120)</f>
        <v>1663</v>
      </c>
      <c r="U120" s="229">
        <f>SUM(F120+I120+L120+O120+R120)</f>
        <v>2213</v>
      </c>
      <c r="V120" s="12">
        <f>SUM(G120+J120+M120+P120+S120)</f>
        <v>6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>
      <c r="B121" s="230" t="s">
        <v>1803</v>
      </c>
      <c r="C121" s="1"/>
      <c r="D121" s="1"/>
      <c r="E121" s="1"/>
      <c r="F121" s="1"/>
      <c r="G121" s="61">
        <f>SUM(G111:G120)</f>
        <v>1</v>
      </c>
      <c r="H121" s="1"/>
      <c r="I121" s="1"/>
      <c r="J121" s="61">
        <f>SUM(J111:J120)</f>
        <v>4</v>
      </c>
      <c r="K121" s="1"/>
      <c r="L121" s="1"/>
      <c r="M121" s="61">
        <f>SUM(M111:M120)</f>
        <v>5</v>
      </c>
      <c r="N121" s="1"/>
      <c r="O121" s="1"/>
      <c r="P121" s="61">
        <f>SUM(P111:P120)</f>
        <v>1</v>
      </c>
      <c r="Q121" s="1"/>
      <c r="R121" s="1"/>
      <c r="S121" s="61">
        <f>SUM(S111:S120)</f>
        <v>4</v>
      </c>
      <c r="T121" s="1"/>
      <c r="U121" s="1"/>
      <c r="V121" s="61">
        <f>SUM(V111:V120)</f>
        <v>15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15</v>
      </c>
      <c r="AR121" s="167">
        <f>+T120</f>
        <v>1663</v>
      </c>
      <c r="AS121" s="167">
        <f>+U120</f>
        <v>2213</v>
      </c>
      <c r="AT121" s="168">
        <f>+B106</f>
        <v>5</v>
      </c>
      <c r="AW121" s="169">
        <f>SUM(AW105:AW120)</f>
        <v>15</v>
      </c>
      <c r="BD121" s="166">
        <f>+AS121/1000000+AQ121+AR121/1000000000000</f>
        <v>15.002213001663</v>
      </c>
      <c r="BE121" s="168">
        <f>RANK(BD121,BD:BD)</f>
        <v>4</v>
      </c>
      <c r="BI121" s="168"/>
      <c r="BM121" s="168"/>
    </row>
    <row r="122" spans="1:65" ht="11.25" customHeight="1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>
      <c r="B123" s="231" t="s">
        <v>1790</v>
      </c>
      <c r="C123" s="210"/>
      <c r="D123" s="42"/>
      <c r="E123" s="434">
        <f>VLOOKUP($B106,Schlüssel!$A$5:$EK$12,63)</f>
        <v>1</v>
      </c>
      <c r="F123" s="435"/>
      <c r="G123" s="436"/>
      <c r="H123" s="434">
        <f>VLOOKUP($B106,Schlüssel!$A$5:$EK$12,64)</f>
        <v>2</v>
      </c>
      <c r="I123" s="435"/>
      <c r="J123" s="436"/>
      <c r="K123" s="434">
        <f>VLOOKUP($B106,Schlüssel!$A$5:$EK$12,65)</f>
        <v>8</v>
      </c>
      <c r="L123" s="435"/>
      <c r="M123" s="436"/>
      <c r="N123" s="434">
        <f>VLOOKUP($B106,Schlüssel!$A$5:$EK$12,66)</f>
        <v>3</v>
      </c>
      <c r="O123" s="435"/>
      <c r="P123" s="436"/>
      <c r="Q123" s="434">
        <f>VLOOKUP($B106,Schlüssel!$A$5:$EK$12,67)</f>
        <v>6</v>
      </c>
      <c r="R123" s="435"/>
      <c r="S123" s="436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>
      <c r="B124" s="3" t="s">
        <v>9</v>
      </c>
      <c r="C124" s="1"/>
      <c r="D124" s="1"/>
      <c r="E124" s="395" t="str">
        <f>VLOOKUP(E123,Schlüssel!$A$5:$K$12,2)</f>
        <v>Bad Tölz 1</v>
      </c>
      <c r="F124" s="438"/>
      <c r="G124" s="396"/>
      <c r="H124" s="395" t="str">
        <f>VLOOKUP(H123,Schlüssel!$A$5:$K$12,2)</f>
        <v>Highroller Rosenheim 1</v>
      </c>
      <c r="I124" s="438"/>
      <c r="J124" s="396"/>
      <c r="K124" s="395" t="str">
        <f>VLOOKUP(K123,Schlüssel!$A$5:$K$12,2)</f>
        <v>EMAX 1</v>
      </c>
      <c r="L124" s="438"/>
      <c r="M124" s="396"/>
      <c r="N124" s="395" t="str">
        <f>VLOOKUP(N123,Schlüssel!$A$5:$K$12,2)</f>
        <v>Highroller Rosenheim 2</v>
      </c>
      <c r="O124" s="438"/>
      <c r="P124" s="396"/>
      <c r="Q124" s="395" t="str">
        <f>VLOOKUP(Q123,Schlüssel!$A$5:$K$12,2)</f>
        <v>Bowling Jugend Bayern 1</v>
      </c>
      <c r="R124" s="438"/>
      <c r="S124" s="396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" customHeight="1">
      <c r="B126" s="417" t="s">
        <v>2275</v>
      </c>
      <c r="C126" s="418"/>
      <c r="D126" s="419"/>
      <c r="E126" s="431">
        <f>ABS(INDEX(F:F,MATCH(E123,$B:$B,0)+5)+INDEX(F:F,MATCH(E123,$B:$B,0)+6)+INDEX(F:F,MATCH(E123,$B:$B,0)+7))</f>
        <v>137</v>
      </c>
      <c r="F126" s="432"/>
      <c r="G126" s="433"/>
      <c r="H126" s="431">
        <f>ABS(INDEX(I:I,MATCH(H123,$B:$B,0)+5)+INDEX(I:I,MATCH(H123,$B:$B,0)+6)+INDEX(I:I,MATCH(H123,$B:$B,0)+7))</f>
        <v>135</v>
      </c>
      <c r="I126" s="432"/>
      <c r="J126" s="433"/>
      <c r="K126" s="431">
        <f>ABS(INDEX(L:L,MATCH(K123,$B:$B,0)+5)+INDEX(L:L,MATCH(K123,$B:$B,0)+6)+INDEX(L:L,MATCH(K123,$B:$B,0)+7))</f>
        <v>139</v>
      </c>
      <c r="L126" s="432"/>
      <c r="M126" s="433"/>
      <c r="N126" s="431">
        <f>ABS(INDEX(O:O,MATCH(N123,$B:$B,0)+5)+INDEX(O:O,MATCH(N123,$B:$B,0)+6)+INDEX(O:O,MATCH(N123,$B:$B,0)+7))</f>
        <v>180</v>
      </c>
      <c r="O126" s="432"/>
      <c r="P126" s="433"/>
      <c r="Q126" s="431">
        <f>ABS(INDEX(R:R,MATCH(Q123,$B:$B,0)+5)+INDEX(R:R,MATCH(Q123,$B:$B,0)+6)+INDEX(R:R,MATCH(Q123,$B:$B,0)+7))</f>
        <v>139</v>
      </c>
      <c r="R126" s="432"/>
      <c r="S126" s="433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" customHeight="1">
      <c r="B127" s="417" t="s">
        <v>2276</v>
      </c>
      <c r="C127" s="418"/>
      <c r="D127" s="419"/>
      <c r="E127" s="424">
        <f>ABS(INDEX(F:F,MATCH(E123,$B:$B,0)+8)+INDEX(F:F,MATCH(E123,$B:$B,0)+9)+INDEX(F:F,MATCH(E123,$B:$B,0)+10))</f>
        <v>159</v>
      </c>
      <c r="F127" s="425"/>
      <c r="G127" s="426"/>
      <c r="H127" s="424">
        <f>ABS(INDEX(I:I,MATCH(H123,$B:$B,0)+8)+INDEX(I:I,MATCH(H123,$B:$B,0)+9)+INDEX(I:I,MATCH(H123,$B:$B,0)+10))</f>
        <v>123</v>
      </c>
      <c r="I127" s="425"/>
      <c r="J127" s="426"/>
      <c r="K127" s="424">
        <f>ABS(INDEX(L:L,MATCH(K123,$B:$B,0)+8)+INDEX(L:L,MATCH(K123,$B:$B,0)+9)+INDEX(L:L,MATCH(K123,$B:$B,0)+10))</f>
        <v>132</v>
      </c>
      <c r="L127" s="425"/>
      <c r="M127" s="426"/>
      <c r="N127" s="424">
        <f>ABS(INDEX(O:O,MATCH(N123,$B:$B,0)+8)+INDEX(O:O,MATCH(N123,$B:$B,0)+9)+INDEX(O:O,MATCH(N123,$B:$B,0)+10))</f>
        <v>152</v>
      </c>
      <c r="O127" s="425"/>
      <c r="P127" s="426"/>
      <c r="Q127" s="424">
        <f>ABS(INDEX(R:R,MATCH(Q123,$B:$B,0)+8)+INDEX(R:R,MATCH(Q123,$B:$B,0)+9)+INDEX(R:R,MATCH(Q123,$B:$B,0)+10))</f>
        <v>160</v>
      </c>
      <c r="R127" s="425"/>
      <c r="S127" s="426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" customHeight="1">
      <c r="B128" s="417" t="s">
        <v>2277</v>
      </c>
      <c r="C128" s="418"/>
      <c r="D128" s="419"/>
      <c r="E128" s="424">
        <f>ABS(INDEX(F:F,MATCH(E123,$B:$B,0)+11)+INDEX(F:F,MATCH(E123,$B:$B,0)+12)+INDEX(F:F,MATCH(E123,$B:$B,0)+13))</f>
        <v>182</v>
      </c>
      <c r="F128" s="425"/>
      <c r="G128" s="426"/>
      <c r="H128" s="424">
        <f>ABS(INDEX(I:I,MATCH(H123,$B:$B,0)+11)+INDEX(I:I,MATCH(H123,$B:$B,0)+12)+INDEX(I:I,MATCH(H123,$B:$B,0)+13))</f>
        <v>145</v>
      </c>
      <c r="I128" s="425"/>
      <c r="J128" s="426"/>
      <c r="K128" s="424">
        <f>ABS(INDEX(L:L,MATCH(K123,$B:$B,0)+11)+INDEX(L:L,MATCH(K123,$B:$B,0)+12)+INDEX(L:L,MATCH(K123,$B:$B,0)+13))</f>
        <v>123</v>
      </c>
      <c r="L128" s="425"/>
      <c r="M128" s="426"/>
      <c r="N128" s="424">
        <f>ABS(INDEX(O:O,MATCH(N123,$B:$B,0)+11)+INDEX(O:O,MATCH(N123,$B:$B,0)+12)+INDEX(O:O,MATCH(N123,$B:$B,0)+13))</f>
        <v>178</v>
      </c>
      <c r="O128" s="425"/>
      <c r="P128" s="426"/>
      <c r="Q128" s="424">
        <f>ABS(INDEX(R:R,MATCH(Q123,$B:$B,0)+11)+INDEX(R:R,MATCH(Q123,$B:$B,0)+12)+INDEX(R:R,MATCH(Q123,$B:$B,0)+13))</f>
        <v>136</v>
      </c>
      <c r="R128" s="425"/>
      <c r="S128" s="426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" customHeight="1">
      <c r="B129" s="420" t="s">
        <v>2278</v>
      </c>
      <c r="C129" s="421"/>
      <c r="D129" s="422"/>
      <c r="E129" s="407">
        <f>SUM(E126:E128)</f>
        <v>478</v>
      </c>
      <c r="F129" s="423"/>
      <c r="G129" s="408"/>
      <c r="H129" s="407">
        <f>SUM(H126:H128)</f>
        <v>403</v>
      </c>
      <c r="I129" s="423"/>
      <c r="J129" s="408"/>
      <c r="K129" s="407">
        <f>SUM(K126:K128)</f>
        <v>394</v>
      </c>
      <c r="L129" s="423"/>
      <c r="M129" s="408"/>
      <c r="N129" s="407">
        <f>SUM(N126:N128)</f>
        <v>510</v>
      </c>
      <c r="O129" s="423"/>
      <c r="P129" s="408"/>
      <c r="Q129" s="407">
        <f>SUM(Q126:Q128)</f>
        <v>435</v>
      </c>
      <c r="R129" s="423"/>
      <c r="S129" s="408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>
      <c r="A131" s="255"/>
      <c r="B131" s="7" t="s">
        <v>1802</v>
      </c>
      <c r="C131" s="24"/>
      <c r="D131" s="24"/>
      <c r="E131" s="35" t="s">
        <v>1786</v>
      </c>
      <c r="F131" s="35"/>
      <c r="G131" s="427" t="str">
        <f>Schlüssel!$C$1</f>
        <v>Landesliga Jugend</v>
      </c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  <c r="S131" s="406">
        <f>Schlüssel!$BU$1</f>
        <v>45787</v>
      </c>
      <c r="T131" s="406"/>
      <c r="U131" s="406"/>
      <c r="V131" s="406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>
      <c r="A132" s="53"/>
      <c r="B132" s="54">
        <v>6</v>
      </c>
      <c r="E132" s="35" t="s">
        <v>1787</v>
      </c>
      <c r="F132" s="35"/>
      <c r="G132" s="413" t="str">
        <f>Schlüssel!$BK$2</f>
        <v>Bad Tölz Flint Bowling</v>
      </c>
      <c r="H132" s="413"/>
      <c r="I132" s="413"/>
      <c r="J132" s="413"/>
      <c r="K132" s="413"/>
      <c r="L132" s="413"/>
      <c r="M132" s="413"/>
      <c r="N132" s="413"/>
      <c r="O132" s="413"/>
      <c r="P132" s="66"/>
      <c r="Q132" s="411" t="s">
        <v>1785</v>
      </c>
      <c r="R132" s="412"/>
      <c r="S132" s="38">
        <v>4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>
      <c r="B133" s="414" t="str">
        <f>VLOOKUP(B132,Schlüssel!$A$5:$B$12,2)</f>
        <v>Bowling Jugend Bayern 1</v>
      </c>
      <c r="C133" s="415"/>
      <c r="D133" s="415"/>
      <c r="E133" s="415"/>
      <c r="F133" s="415"/>
      <c r="G133" s="416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3.8" hidden="1" thickBot="1">
      <c r="A134" s="6"/>
      <c r="B134" s="7"/>
      <c r="C134" s="43"/>
      <c r="D134" s="43"/>
      <c r="E134" s="162" t="s">
        <v>10</v>
      </c>
      <c r="F134" s="220"/>
      <c r="G134" s="159">
        <f>VLOOKUP(B132,Schlüssel!$A$5:$EK$12,73)</f>
        <v>3</v>
      </c>
      <c r="H134" s="161" t="s">
        <v>10</v>
      </c>
      <c r="I134" s="220"/>
      <c r="J134" s="159">
        <f>VLOOKUP(B132,Schlüssel!$A$5:$EK$12,74)</f>
        <v>1</v>
      </c>
      <c r="K134" s="161" t="s">
        <v>10</v>
      </c>
      <c r="L134" s="220"/>
      <c r="M134" s="159">
        <f>VLOOKUP(B132,Schlüssel!$A$5:$EK$12,75)</f>
        <v>6</v>
      </c>
      <c r="N134" s="161" t="s">
        <v>10</v>
      </c>
      <c r="O134" s="220"/>
      <c r="P134" s="159">
        <f>VLOOKUP(B132,Schlüssel!$A$5:$EK$12,76)</f>
        <v>2</v>
      </c>
      <c r="Q134" s="161" t="s">
        <v>10</v>
      </c>
      <c r="R134" s="220"/>
      <c r="S134" s="160">
        <f>VLOOKUP(B132,Schlüssel!$A$5:$EK$12,77)</f>
        <v>7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>
      <c r="B135" s="44" t="s">
        <v>1</v>
      </c>
      <c r="C135" s="208"/>
      <c r="D135" s="217"/>
      <c r="E135" s="423" t="s">
        <v>1793</v>
      </c>
      <c r="F135" s="423"/>
      <c r="G135" s="408"/>
      <c r="H135" s="407" t="s">
        <v>1794</v>
      </c>
      <c r="I135" s="423"/>
      <c r="J135" s="408"/>
      <c r="K135" s="407" t="s">
        <v>1795</v>
      </c>
      <c r="L135" s="423"/>
      <c r="M135" s="408"/>
      <c r="N135" s="407" t="s">
        <v>1796</v>
      </c>
      <c r="O135" s="423"/>
      <c r="P135" s="408"/>
      <c r="Q135" s="407" t="s">
        <v>1797</v>
      </c>
      <c r="R135" s="423"/>
      <c r="S135" s="437"/>
      <c r="T135" s="439" t="s">
        <v>1792</v>
      </c>
      <c r="U135" s="440"/>
      <c r="V135" s="410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6.95" customHeight="1">
      <c r="A137" s="403" t="s">
        <v>0</v>
      </c>
      <c r="B137" s="58" t="str">
        <f>IF(C137=0,"",VLOOKUP(C137,Starter!$A$1:$D$196,2,FALSE))</f>
        <v>Bonnaire, Ben</v>
      </c>
      <c r="C137" s="232">
        <v>38927</v>
      </c>
      <c r="D137" s="238">
        <f t="shared" ref="D137:D145" si="120">+AP137</f>
        <v>37</v>
      </c>
      <c r="E137" s="221">
        <v>115</v>
      </c>
      <c r="F137" s="240">
        <f t="shared" ref="F137:F145" si="121">IF(E137&gt;0,E137+$D137,0)</f>
        <v>152</v>
      </c>
      <c r="G137" s="428">
        <f>IF(SUM(F137:F139)+E152=0,0,IF(ABS(SUM(F137:F139))=E152,Spielorte!$A$30/2,IF(ABS(SUM(F137:F139))&gt;E152,Spielorte!$A$30,0)))</f>
        <v>1</v>
      </c>
      <c r="H137" s="221">
        <v>150</v>
      </c>
      <c r="I137" s="240">
        <f t="shared" ref="I137:I145" si="122">IF(H137&gt;0,H137+$D137,0)</f>
        <v>187</v>
      </c>
      <c r="J137" s="428">
        <f>IF(SUM(I137:I139)+H152=0,0,IF(ABS(SUM(I137:I139))=H152,Spielorte!$A$30/2,IF(ABS(SUM(I137:I139))&gt;H152,Spielorte!$A$30,0)))</f>
        <v>1</v>
      </c>
      <c r="K137" s="221">
        <v>134</v>
      </c>
      <c r="L137" s="240">
        <f t="shared" ref="L137:L145" si="123">IF(K137&gt;0,K137+$D137,0)</f>
        <v>171</v>
      </c>
      <c r="M137" s="428">
        <f>IF(SUM(L137:L139)+K152=0,0,IF(ABS(SUM(L137:L139))=K152,Spielorte!$A$30/2,IF(ABS(SUM(L137:L139))&gt;K152,Spielorte!$A$30,0)))</f>
        <v>1</v>
      </c>
      <c r="N137" s="221">
        <v>117</v>
      </c>
      <c r="O137" s="240">
        <f t="shared" ref="O137:O145" si="124">IF(N137&gt;0,N137+$D137,0)</f>
        <v>154</v>
      </c>
      <c r="P137" s="428">
        <f>IF(SUM(O137:O139)+N152=0,0,IF(ABS(SUM(O137:O139))=N152,Spielorte!$A$30/2,IF(ABS(SUM(O137:O139))&gt;N152,Spielorte!$A$30,0)))</f>
        <v>0</v>
      </c>
      <c r="Q137" s="221">
        <v>102</v>
      </c>
      <c r="R137" s="240">
        <f t="shared" ref="R137:R145" si="125">IF(Q137&gt;0,Q137+$D137,0)</f>
        <v>139</v>
      </c>
      <c r="S137" s="428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618</v>
      </c>
      <c r="U137" s="240">
        <f t="shared" si="126"/>
        <v>803</v>
      </c>
      <c r="V137" s="400">
        <f>SUM(G137+J137+M137+P137+S137)</f>
        <v>3</v>
      </c>
      <c r="W137" s="79"/>
      <c r="X137" s="79"/>
      <c r="Y137" s="79"/>
      <c r="Z137" s="79"/>
      <c r="AA137" s="79"/>
      <c r="AB137" s="79"/>
      <c r="AL137" s="169">
        <f>IF(AU137=0,0,IFERROR(INDEX(RanglisteST4!K:K,MATCH(AU137,RanglisteST4!A:A,0)),0))</f>
        <v>114</v>
      </c>
      <c r="AM137" s="169">
        <f>IF(AU137=0,0,SUMIF(AU137:AU145,AU137,AV137:AV145))</f>
        <v>618</v>
      </c>
      <c r="AN137" s="169">
        <f>IF(AU137=0,0,SUMIF(AU137:AU145,AU137,AW137:AW145))</f>
        <v>5</v>
      </c>
      <c r="AO137" s="169">
        <f t="shared" ref="AO137:AO145" si="127">IFERROR(AM137/AN137,0)</f>
        <v>123.6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37</v>
      </c>
      <c r="AQ137" s="166"/>
      <c r="AR137" s="167"/>
      <c r="AS137" s="167"/>
      <c r="AT137" s="168"/>
      <c r="AU137" s="171">
        <f t="shared" ref="AU137:AU145" si="128">C137</f>
        <v>38927</v>
      </c>
      <c r="AV137" s="167">
        <f t="shared" ref="AV137:AV145" si="129">T137</f>
        <v>618</v>
      </c>
      <c r="AW137" s="169">
        <f t="shared" ref="AW137:AW145" si="130">COUNT(AY137:BC137)</f>
        <v>5</v>
      </c>
      <c r="AX137" s="169">
        <f t="shared" ref="AX137:AX145" si="131">COUNTIF(AY137:BC137,"&gt;0")</f>
        <v>5</v>
      </c>
      <c r="AY137" s="169">
        <f t="shared" ref="AY137:AY145" si="132">IF(E137=0,"",E137)</f>
        <v>115</v>
      </c>
      <c r="AZ137" s="169">
        <f t="shared" ref="AZ137:AZ145" si="133">IF(H137=0,"",H137)</f>
        <v>150</v>
      </c>
      <c r="BA137" s="169">
        <f t="shared" ref="BA137:BA145" si="134">IF(K137=0,"",K137)</f>
        <v>134</v>
      </c>
      <c r="BB137" s="169">
        <f t="shared" ref="BB137:BB145" si="135">IF(N137=0,"",N137)</f>
        <v>117</v>
      </c>
      <c r="BC137" s="169">
        <f t="shared" ref="BC137:BC145" si="136">IF(Q137=0,"",Q137)</f>
        <v>102</v>
      </c>
      <c r="BD137" s="170"/>
      <c r="BE137" s="168"/>
      <c r="BF137" s="169">
        <f t="shared" ref="BF137:BF145" si="137">MAX(AY137:BC137)</f>
        <v>150</v>
      </c>
      <c r="BG137" s="169">
        <f t="shared" ref="BG137:BG145" si="138">IF(BF137&lt;MAX(BF:BF),0,BF137+ROW()/1000000000)</f>
        <v>0</v>
      </c>
      <c r="BH137" s="169" t="str">
        <f>+B133</f>
        <v>Bowling Jugend Bayern 1</v>
      </c>
      <c r="BI137" s="168">
        <f t="shared" ref="BI137:BI145" si="139">RANK(BG137,BG:BG)</f>
        <v>2</v>
      </c>
      <c r="BJ137" s="169">
        <f t="shared" ref="BJ137:BJ145" si="140">SUMIF(AY137:BC137,"&gt;0")</f>
        <v>618</v>
      </c>
      <c r="BK137" s="169">
        <f>IF(COUNTIF(AY137:BC137,"&gt;0")&lt;Spielorte!$A$23,0,AV137/Spielorte!$A$23)</f>
        <v>123.6</v>
      </c>
      <c r="BL137" s="169">
        <f t="shared" ref="BL137:BL145" si="141">IF(BK137&lt;MAX(BK:BK),0,BK137+ROW()/1000000000)</f>
        <v>0</v>
      </c>
      <c r="BM137" s="168">
        <f t="shared" ref="BM137:BM145" si="142">IF(BL137=0,0,RANK(BL137,BL:BL))</f>
        <v>0</v>
      </c>
    </row>
    <row r="138" spans="1:65" ht="16.95" customHeight="1">
      <c r="A138" s="404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9"/>
      <c r="H138" s="222"/>
      <c r="I138" s="241">
        <f t="shared" si="122"/>
        <v>0</v>
      </c>
      <c r="J138" s="429"/>
      <c r="K138" s="222"/>
      <c r="L138" s="241">
        <f t="shared" si="123"/>
        <v>0</v>
      </c>
      <c r="M138" s="429"/>
      <c r="N138" s="222"/>
      <c r="O138" s="241">
        <f t="shared" si="124"/>
        <v>0</v>
      </c>
      <c r="P138" s="429"/>
      <c r="Q138" s="222"/>
      <c r="R138" s="241">
        <f t="shared" si="125"/>
        <v>0</v>
      </c>
      <c r="S138" s="429"/>
      <c r="T138" s="222">
        <f t="shared" si="126"/>
        <v>0</v>
      </c>
      <c r="U138" s="241">
        <f t="shared" si="126"/>
        <v>0</v>
      </c>
      <c r="V138" s="401"/>
      <c r="W138" s="79"/>
      <c r="X138" s="79"/>
      <c r="Y138" s="79"/>
      <c r="Z138" s="79"/>
      <c r="AA138" s="79"/>
      <c r="AB138" s="79"/>
      <c r="AL138" s="169">
        <f>IF(AU138=0,0,IFERROR(INDEX(RanglisteST4!K:K,MATCH(AU138,RanglisteST4!A:A,0)),0))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0</v>
      </c>
      <c r="BH138" s="169" t="str">
        <f t="shared" ref="BH138:BH145" si="143">+BH137</f>
        <v>Bowling Jugend Bayern 1</v>
      </c>
      <c r="BI138" s="168">
        <f t="shared" si="139"/>
        <v>2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0</v>
      </c>
      <c r="BM138" s="168">
        <f t="shared" si="142"/>
        <v>0</v>
      </c>
    </row>
    <row r="139" spans="1:65" ht="16.95" customHeight="1" thickBot="1">
      <c r="A139" s="405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30"/>
      <c r="H139" s="224"/>
      <c r="I139" s="242">
        <f t="shared" si="122"/>
        <v>0</v>
      </c>
      <c r="J139" s="430"/>
      <c r="K139" s="224"/>
      <c r="L139" s="242">
        <f t="shared" si="123"/>
        <v>0</v>
      </c>
      <c r="M139" s="430"/>
      <c r="N139" s="224"/>
      <c r="O139" s="242">
        <f t="shared" si="124"/>
        <v>0</v>
      </c>
      <c r="P139" s="430"/>
      <c r="Q139" s="224"/>
      <c r="R139" s="242">
        <f t="shared" si="125"/>
        <v>0</v>
      </c>
      <c r="S139" s="430"/>
      <c r="T139" s="224">
        <f t="shared" si="126"/>
        <v>0</v>
      </c>
      <c r="U139" s="242">
        <f t="shared" si="126"/>
        <v>0</v>
      </c>
      <c r="V139" s="402"/>
      <c r="W139" s="79"/>
      <c r="X139" s="79"/>
      <c r="Y139" s="79"/>
      <c r="Z139" s="79"/>
      <c r="AA139" s="79"/>
      <c r="AB139" s="79"/>
      <c r="AL139" s="169">
        <f>IF(AU139=0,0,IFERROR(INDEX(RanglisteST4!K:K,MATCH(AU139,RanglisteST4!A:A,0)),0))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0</v>
      </c>
      <c r="BH139" s="169" t="str">
        <f t="shared" si="143"/>
        <v>Bowling Jugend Bayern 1</v>
      </c>
      <c r="BI139" s="168">
        <f t="shared" si="139"/>
        <v>2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0</v>
      </c>
      <c r="BM139" s="168">
        <f t="shared" si="142"/>
        <v>0</v>
      </c>
    </row>
    <row r="140" spans="1:65" ht="16.95" customHeight="1">
      <c r="A140" s="403" t="s">
        <v>2</v>
      </c>
      <c r="B140" s="58" t="str">
        <f>IF(C140=0,"",VLOOKUP(C140,Starter!$A$1:$D$196,2,FALSE))</f>
        <v>Calik, Ilay</v>
      </c>
      <c r="C140" s="235">
        <v>38941</v>
      </c>
      <c r="D140" s="238">
        <f t="shared" si="120"/>
        <v>43</v>
      </c>
      <c r="E140" s="221">
        <v>93</v>
      </c>
      <c r="F140" s="240">
        <f t="shared" si="121"/>
        <v>136</v>
      </c>
      <c r="G140" s="428">
        <f>IF(SUM(F140:F142)+E153=0,0,IF(ABS(SUM(F140:F142))=E153,Spielorte!$A$30/2,IF(ABS(SUM(F140:F142))&gt;E153,Spielorte!$A$30,0)))</f>
        <v>0</v>
      </c>
      <c r="H140" s="221">
        <v>76</v>
      </c>
      <c r="I140" s="240">
        <f t="shared" si="122"/>
        <v>119</v>
      </c>
      <c r="J140" s="428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8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8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8">
        <f>IF(SUM(R140:R142)+Q153=0,0,IF(ABS(SUM(R140:R142))=Q153,Spielorte!$A$30/2,IF(ABS(SUM(R140:R142))&gt;Q153,Spielorte!$A$30,0)))</f>
        <v>1</v>
      </c>
      <c r="T140" s="221">
        <f t="shared" si="126"/>
        <v>169</v>
      </c>
      <c r="U140" s="240">
        <f t="shared" si="126"/>
        <v>255</v>
      </c>
      <c r="V140" s="400">
        <f>SUM(G140+J140+M140+P140+S140)</f>
        <v>1</v>
      </c>
      <c r="W140" s="79"/>
      <c r="X140" s="79"/>
      <c r="Y140" s="79"/>
      <c r="Z140" s="79"/>
      <c r="AA140" s="79"/>
      <c r="AB140" s="79"/>
      <c r="AL140" s="169">
        <f>IF(AU140=0,0,IFERROR(INDEX(RanglisteST4!K:K,MATCH(AU140,RanglisteST4!A:A,0)),0))</f>
        <v>106</v>
      </c>
      <c r="AM140" s="169">
        <f>IF(AU140=0,0,SUMIF(AU137:AU145,AU140,AV137:AV145))</f>
        <v>262</v>
      </c>
      <c r="AN140" s="169">
        <f>IF(AU140=0,0,SUMIF(AU137:AU145,AU140,AW137:AW145))</f>
        <v>3</v>
      </c>
      <c r="AO140" s="169">
        <f t="shared" si="127"/>
        <v>87.333333333333329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43</v>
      </c>
      <c r="AQ140" s="166"/>
      <c r="AR140" s="167"/>
      <c r="AS140" s="167"/>
      <c r="AT140" s="168"/>
      <c r="AU140" s="171">
        <f t="shared" si="128"/>
        <v>38941</v>
      </c>
      <c r="AV140" s="167">
        <f t="shared" si="129"/>
        <v>169</v>
      </c>
      <c r="AW140" s="169">
        <f t="shared" si="130"/>
        <v>2</v>
      </c>
      <c r="AX140" s="169">
        <f t="shared" si="131"/>
        <v>2</v>
      </c>
      <c r="AY140" s="169">
        <f t="shared" si="132"/>
        <v>93</v>
      </c>
      <c r="AZ140" s="169">
        <f t="shared" si="133"/>
        <v>76</v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93</v>
      </c>
      <c r="BG140" s="169">
        <f t="shared" si="138"/>
        <v>0</v>
      </c>
      <c r="BH140" s="169" t="str">
        <f t="shared" si="143"/>
        <v>Bowling Jugend Bayern 1</v>
      </c>
      <c r="BI140" s="168">
        <f t="shared" si="139"/>
        <v>2</v>
      </c>
      <c r="BJ140" s="169">
        <f t="shared" si="140"/>
        <v>169</v>
      </c>
      <c r="BK140" s="169">
        <f>IF(COUNTIF(AY140:BC140,"&gt;0")&lt;Spielorte!$A$23,0,AV140/Spielorte!$A$23)</f>
        <v>0</v>
      </c>
      <c r="BL140" s="169">
        <f t="shared" si="141"/>
        <v>0</v>
      </c>
      <c r="BM140" s="168">
        <f t="shared" si="142"/>
        <v>0</v>
      </c>
    </row>
    <row r="141" spans="1:65" ht="16.95" customHeight="1">
      <c r="A141" s="404"/>
      <c r="B141" s="58" t="str">
        <f>IF(C141=0,"",VLOOKUP(C141,Starter!$A$1:$D$196,2,FALSE))</f>
        <v>Reichenauer, Leon</v>
      </c>
      <c r="C141" s="233">
        <v>38781</v>
      </c>
      <c r="D141" s="239">
        <f t="shared" si="120"/>
        <v>10</v>
      </c>
      <c r="E141" s="222"/>
      <c r="F141" s="241">
        <f t="shared" si="121"/>
        <v>0</v>
      </c>
      <c r="G141" s="429"/>
      <c r="H141" s="222"/>
      <c r="I141" s="241">
        <f t="shared" si="122"/>
        <v>0</v>
      </c>
      <c r="J141" s="429"/>
      <c r="K141" s="222">
        <v>140</v>
      </c>
      <c r="L141" s="241">
        <f t="shared" si="123"/>
        <v>150</v>
      </c>
      <c r="M141" s="429"/>
      <c r="N141" s="222">
        <v>117</v>
      </c>
      <c r="O141" s="241">
        <f t="shared" si="124"/>
        <v>127</v>
      </c>
      <c r="P141" s="429"/>
      <c r="Q141" s="222">
        <v>150</v>
      </c>
      <c r="R141" s="241">
        <f t="shared" si="125"/>
        <v>160</v>
      </c>
      <c r="S141" s="429"/>
      <c r="T141" s="222">
        <f t="shared" si="126"/>
        <v>407</v>
      </c>
      <c r="U141" s="241">
        <f t="shared" si="126"/>
        <v>437</v>
      </c>
      <c r="V141" s="401"/>
      <c r="W141" s="79"/>
      <c r="X141" s="79"/>
      <c r="Y141" s="79"/>
      <c r="Z141" s="79"/>
      <c r="AA141" s="79"/>
      <c r="AB141" s="79"/>
      <c r="AL141" s="169">
        <f>IF(AU141=0,0,IFERROR(INDEX(RanglisteST4!K:K,MATCH(AU141,RanglisteST4!A:A,0)),0))</f>
        <v>147.35</v>
      </c>
      <c r="AM141" s="169">
        <f>IF(AU141=0,0,SUMIF(AU137:AU145,AU141,AV137:AV145))</f>
        <v>407</v>
      </c>
      <c r="AN141" s="169">
        <f>IF(AU141=0,0,SUMIF(AU137:AU145,AU141,AW137:AW145))</f>
        <v>3</v>
      </c>
      <c r="AO141" s="169">
        <f t="shared" si="127"/>
        <v>135.66666666666666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10</v>
      </c>
      <c r="AQ141" s="166"/>
      <c r="AR141" s="167"/>
      <c r="AS141" s="167"/>
      <c r="AT141" s="168"/>
      <c r="AU141" s="171">
        <f t="shared" si="128"/>
        <v>38781</v>
      </c>
      <c r="AV141" s="167">
        <f t="shared" si="129"/>
        <v>407</v>
      </c>
      <c r="AW141" s="169">
        <f t="shared" si="130"/>
        <v>3</v>
      </c>
      <c r="AX141" s="169">
        <f t="shared" si="131"/>
        <v>3</v>
      </c>
      <c r="AY141" s="169" t="str">
        <f t="shared" si="132"/>
        <v/>
      </c>
      <c r="AZ141" s="169" t="str">
        <f t="shared" si="133"/>
        <v/>
      </c>
      <c r="BA141" s="169">
        <f t="shared" si="134"/>
        <v>140</v>
      </c>
      <c r="BB141" s="169">
        <f t="shared" si="135"/>
        <v>117</v>
      </c>
      <c r="BC141" s="169">
        <f t="shared" si="136"/>
        <v>150</v>
      </c>
      <c r="BD141" s="170"/>
      <c r="BE141" s="168"/>
      <c r="BF141" s="169">
        <f t="shared" si="137"/>
        <v>150</v>
      </c>
      <c r="BG141" s="169">
        <f t="shared" si="138"/>
        <v>0</v>
      </c>
      <c r="BH141" s="169" t="str">
        <f t="shared" si="143"/>
        <v>Bowling Jugend Bayern 1</v>
      </c>
      <c r="BI141" s="168">
        <f t="shared" si="139"/>
        <v>2</v>
      </c>
      <c r="BJ141" s="169">
        <f t="shared" si="140"/>
        <v>407</v>
      </c>
      <c r="BK141" s="169">
        <f>IF(COUNTIF(AY141:BC141,"&gt;0")&lt;Spielorte!$A$23,0,AV141/Spielorte!$A$23)</f>
        <v>0</v>
      </c>
      <c r="BL141" s="169">
        <f t="shared" si="141"/>
        <v>0</v>
      </c>
      <c r="BM141" s="168">
        <f t="shared" si="142"/>
        <v>0</v>
      </c>
    </row>
    <row r="142" spans="1:65" ht="16.95" customHeight="1" thickBot="1">
      <c r="A142" s="405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30"/>
      <c r="H142" s="224"/>
      <c r="I142" s="242">
        <f t="shared" si="122"/>
        <v>0</v>
      </c>
      <c r="J142" s="430"/>
      <c r="K142" s="224"/>
      <c r="L142" s="242">
        <f t="shared" si="123"/>
        <v>0</v>
      </c>
      <c r="M142" s="430"/>
      <c r="N142" s="224"/>
      <c r="O142" s="242">
        <f t="shared" si="124"/>
        <v>0</v>
      </c>
      <c r="P142" s="430"/>
      <c r="Q142" s="224"/>
      <c r="R142" s="242">
        <f t="shared" si="125"/>
        <v>0</v>
      </c>
      <c r="S142" s="430"/>
      <c r="T142" s="224">
        <f t="shared" si="126"/>
        <v>0</v>
      </c>
      <c r="U142" s="242">
        <f t="shared" si="126"/>
        <v>0</v>
      </c>
      <c r="V142" s="402"/>
      <c r="W142" s="79"/>
      <c r="X142" s="79"/>
      <c r="Y142" s="79"/>
      <c r="Z142" s="79"/>
      <c r="AA142" s="79"/>
      <c r="AB142" s="79"/>
      <c r="AL142" s="169">
        <f>IF(AU142=0,0,IFERROR(INDEX(RanglisteST4!K:K,MATCH(AU142,RanglisteST4!A:A,0)),0))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0</v>
      </c>
      <c r="BH142" s="169" t="str">
        <f t="shared" si="143"/>
        <v>Bowling Jugend Bayern 1</v>
      </c>
      <c r="BI142" s="168">
        <f t="shared" si="139"/>
        <v>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0</v>
      </c>
      <c r="BM142" s="168">
        <f t="shared" si="142"/>
        <v>0</v>
      </c>
    </row>
    <row r="143" spans="1:65" ht="16.95" customHeight="1">
      <c r="A143" s="403" t="s">
        <v>3</v>
      </c>
      <c r="B143" s="58" t="str">
        <f>IF(C143=0,"",VLOOKUP(C143,Starter!$A$1:$D$196,2,FALSE))</f>
        <v>Klettenheimer, Julius</v>
      </c>
      <c r="C143" s="235">
        <v>38942</v>
      </c>
      <c r="D143" s="238">
        <f t="shared" si="120"/>
        <v>0</v>
      </c>
      <c r="E143" s="221">
        <v>84</v>
      </c>
      <c r="F143" s="240">
        <f t="shared" si="121"/>
        <v>84</v>
      </c>
      <c r="G143" s="428">
        <f>IF(SUM(F143:F145)+E154=0,0,IF(ABS(SUM(F143:F145))=E154,Spielorte!$A$30/2,IF(ABS(SUM(F143:F145))&gt;E154,Spielorte!$A$30,0)))</f>
        <v>0</v>
      </c>
      <c r="H143" s="221">
        <v>162</v>
      </c>
      <c r="I143" s="240">
        <f t="shared" si="122"/>
        <v>162</v>
      </c>
      <c r="J143" s="428">
        <f>IF(SUM(I143:I145)+H154=0,0,IF(ABS(SUM(I143:I145))=H154,Spielorte!$A$30/2,IF(ABS(SUM(I143:I145))&gt;H154,Spielorte!$A$30,0)))</f>
        <v>1</v>
      </c>
      <c r="K143" s="221">
        <v>116</v>
      </c>
      <c r="L143" s="240">
        <f t="shared" si="123"/>
        <v>116</v>
      </c>
      <c r="M143" s="428">
        <f>IF(SUM(L143:L145)+K154=0,0,IF(ABS(SUM(L143:L145))=K154,Spielorte!$A$30/2,IF(ABS(SUM(L143:L145))&gt;K154,Spielorte!$A$30,0)))</f>
        <v>0</v>
      </c>
      <c r="N143" s="221">
        <v>98</v>
      </c>
      <c r="O143" s="240">
        <f t="shared" si="124"/>
        <v>98</v>
      </c>
      <c r="P143" s="428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8">
        <f>IF(SUM(R143:R145)+Q154=0,0,IF(ABS(SUM(R143:R145))=Q154,Spielorte!$A$30/2,IF(ABS(SUM(R143:R145))&gt;Q154,Spielorte!$A$30,0)))</f>
        <v>0</v>
      </c>
      <c r="T143" s="221">
        <f t="shared" si="126"/>
        <v>460</v>
      </c>
      <c r="U143" s="240">
        <f t="shared" si="126"/>
        <v>460</v>
      </c>
      <c r="V143" s="400">
        <f>SUM(G143+J143+M143+P143+S143)</f>
        <v>1</v>
      </c>
      <c r="W143" s="79"/>
      <c r="X143" s="79"/>
      <c r="Y143" s="79"/>
      <c r="Z143" s="79"/>
      <c r="AA143" s="79"/>
      <c r="AB143" s="79"/>
      <c r="AL143" s="169">
        <f>IF(AU143=0,0,IFERROR(INDEX(RanglisteST4!K:K,MATCH(AU143,RanglisteST4!A:A,0)),0))</f>
        <v>174.13</v>
      </c>
      <c r="AM143" s="169">
        <f>IF(AU143=0,0,SUMIF(AU137:AU145,AU143,AV137:AV145))</f>
        <v>460</v>
      </c>
      <c r="AN143" s="169">
        <f>IF(AU143=0,0,SUMIF(AU137:AU145,AU143,AW137:AW145))</f>
        <v>4</v>
      </c>
      <c r="AO143" s="169">
        <f t="shared" si="127"/>
        <v>115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38942</v>
      </c>
      <c r="AV143" s="167">
        <f t="shared" si="129"/>
        <v>460</v>
      </c>
      <c r="AW143" s="169">
        <f t="shared" si="130"/>
        <v>4</v>
      </c>
      <c r="AX143" s="169">
        <f t="shared" si="131"/>
        <v>4</v>
      </c>
      <c r="AY143" s="169">
        <f t="shared" si="132"/>
        <v>84</v>
      </c>
      <c r="AZ143" s="169">
        <f t="shared" si="133"/>
        <v>162</v>
      </c>
      <c r="BA143" s="169">
        <f t="shared" si="134"/>
        <v>116</v>
      </c>
      <c r="BB143" s="169">
        <f t="shared" si="135"/>
        <v>98</v>
      </c>
      <c r="BC143" s="169" t="str">
        <f t="shared" si="136"/>
        <v/>
      </c>
      <c r="BD143" s="170"/>
      <c r="BE143" s="168"/>
      <c r="BF143" s="169">
        <f t="shared" si="137"/>
        <v>162</v>
      </c>
      <c r="BG143" s="169">
        <f t="shared" si="138"/>
        <v>0</v>
      </c>
      <c r="BH143" s="169" t="str">
        <f t="shared" si="143"/>
        <v>Bowling Jugend Bayern 1</v>
      </c>
      <c r="BI143" s="168">
        <f t="shared" si="139"/>
        <v>2</v>
      </c>
      <c r="BJ143" s="169">
        <f t="shared" si="140"/>
        <v>460</v>
      </c>
      <c r="BK143" s="169">
        <f>IF(COUNTIF(AY143:BC143,"&gt;0")&lt;Spielorte!$A$23,0,AV143/Spielorte!$A$23)</f>
        <v>0</v>
      </c>
      <c r="BL143" s="169">
        <f t="shared" si="141"/>
        <v>0</v>
      </c>
      <c r="BM143" s="168">
        <f t="shared" si="142"/>
        <v>0</v>
      </c>
    </row>
    <row r="144" spans="1:65" ht="16.95" customHeight="1">
      <c r="A144" s="404"/>
      <c r="B144" s="58" t="str">
        <f>IF(C144=0,"",VLOOKUP(C144,Starter!$A$1:$D$196,2,FALSE))</f>
        <v>Calik, Ilay</v>
      </c>
      <c r="C144" s="233">
        <v>38941</v>
      </c>
      <c r="D144" s="239">
        <f t="shared" si="120"/>
        <v>43</v>
      </c>
      <c r="E144" s="222"/>
      <c r="F144" s="241">
        <f t="shared" si="121"/>
        <v>0</v>
      </c>
      <c r="G144" s="429"/>
      <c r="H144" s="222"/>
      <c r="I144" s="241">
        <f t="shared" si="122"/>
        <v>0</v>
      </c>
      <c r="J144" s="429"/>
      <c r="K144" s="222"/>
      <c r="L144" s="241">
        <f t="shared" si="123"/>
        <v>0</v>
      </c>
      <c r="M144" s="429"/>
      <c r="N144" s="222"/>
      <c r="O144" s="241">
        <f t="shared" si="124"/>
        <v>0</v>
      </c>
      <c r="P144" s="429"/>
      <c r="Q144" s="222">
        <v>93</v>
      </c>
      <c r="R144" s="241">
        <f t="shared" si="125"/>
        <v>136</v>
      </c>
      <c r="S144" s="429"/>
      <c r="T144" s="222">
        <f t="shared" si="126"/>
        <v>93</v>
      </c>
      <c r="U144" s="241">
        <f t="shared" si="126"/>
        <v>136</v>
      </c>
      <c r="V144" s="401"/>
      <c r="W144" s="79"/>
      <c r="X144" s="79"/>
      <c r="Y144" s="79"/>
      <c r="Z144" s="79"/>
      <c r="AA144" s="79"/>
      <c r="AB144" s="79"/>
      <c r="AL144" s="169">
        <f>IF(AU144=0,0,IFERROR(INDEX(RanglisteST4!K:K,MATCH(AU144,RanglisteST4!A:A,0)),0))</f>
        <v>106</v>
      </c>
      <c r="AM144" s="169">
        <f>IF(AU144=0,0,SUMIF(AU137:AU145,AU144,AV137:AV145))</f>
        <v>262</v>
      </c>
      <c r="AN144" s="169">
        <f>IF(AU144=0,0,SUMIF(AU137:AU145,AU144,AW137:AW145))</f>
        <v>3</v>
      </c>
      <c r="AO144" s="169">
        <f t="shared" si="127"/>
        <v>87.333333333333329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43</v>
      </c>
      <c r="AQ144" s="166"/>
      <c r="AR144" s="167"/>
      <c r="AS144" s="167"/>
      <c r="AT144" s="168"/>
      <c r="AU144" s="171">
        <f t="shared" si="128"/>
        <v>38941</v>
      </c>
      <c r="AV144" s="167">
        <f t="shared" si="129"/>
        <v>93</v>
      </c>
      <c r="AW144" s="169">
        <f t="shared" si="130"/>
        <v>1</v>
      </c>
      <c r="AX144" s="169">
        <f t="shared" si="131"/>
        <v>1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>
        <f t="shared" si="136"/>
        <v>93</v>
      </c>
      <c r="BD144" s="170"/>
      <c r="BE144" s="168"/>
      <c r="BF144" s="169">
        <f t="shared" si="137"/>
        <v>93</v>
      </c>
      <c r="BG144" s="169">
        <f t="shared" si="138"/>
        <v>0</v>
      </c>
      <c r="BH144" s="169" t="str">
        <f t="shared" si="143"/>
        <v>Bowling Jugend Bayern 1</v>
      </c>
      <c r="BI144" s="168">
        <f t="shared" si="139"/>
        <v>2</v>
      </c>
      <c r="BJ144" s="169">
        <f t="shared" si="140"/>
        <v>93</v>
      </c>
      <c r="BK144" s="169">
        <f>IF(COUNTIF(AY144:BC144,"&gt;0")&lt;Spielorte!$A$23,0,AV144/Spielorte!$A$23)</f>
        <v>0</v>
      </c>
      <c r="BL144" s="169">
        <f t="shared" si="141"/>
        <v>0</v>
      </c>
      <c r="BM144" s="168">
        <f t="shared" si="142"/>
        <v>0</v>
      </c>
    </row>
    <row r="145" spans="1:65" ht="16.95" customHeight="1" thickBot="1">
      <c r="A145" s="405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30"/>
      <c r="H145" s="224"/>
      <c r="I145" s="242">
        <f t="shared" si="122"/>
        <v>0</v>
      </c>
      <c r="J145" s="430"/>
      <c r="K145" s="224"/>
      <c r="L145" s="242">
        <f t="shared" si="123"/>
        <v>0</v>
      </c>
      <c r="M145" s="430"/>
      <c r="N145" s="224"/>
      <c r="O145" s="242">
        <f t="shared" si="124"/>
        <v>0</v>
      </c>
      <c r="P145" s="430"/>
      <c r="Q145" s="224"/>
      <c r="R145" s="242">
        <f t="shared" si="125"/>
        <v>0</v>
      </c>
      <c r="S145" s="430"/>
      <c r="T145" s="224">
        <f t="shared" si="126"/>
        <v>0</v>
      </c>
      <c r="U145" s="242">
        <f t="shared" si="126"/>
        <v>0</v>
      </c>
      <c r="V145" s="402"/>
      <c r="W145" s="79"/>
      <c r="X145" s="79"/>
      <c r="Y145" s="79"/>
      <c r="Z145" s="79"/>
      <c r="AA145" s="79"/>
      <c r="AB145" s="79"/>
      <c r="AL145" s="169">
        <f>IF(AU145=0,0,IFERROR(INDEX(RanglisteST4!K:K,MATCH(AU145,RanglisteST4!A:A,0)),0))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0</v>
      </c>
      <c r="BH145" s="169" t="str">
        <f t="shared" si="143"/>
        <v>Bowling Jugend Bayern 1</v>
      </c>
      <c r="BI145" s="168">
        <f t="shared" si="139"/>
        <v>2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0</v>
      </c>
      <c r="BM145" s="168">
        <f t="shared" si="142"/>
        <v>0</v>
      </c>
    </row>
    <row r="146" spans="1:65" ht="27.75" customHeight="1" thickBot="1">
      <c r="B146" s="218" t="s">
        <v>1792</v>
      </c>
      <c r="C146" s="204"/>
      <c r="D146" s="219"/>
      <c r="E146" s="226">
        <f>ABS(SUM(E137:E139))+ABS(SUM(E140:E142))+ABS(SUM(E143:E145))</f>
        <v>292</v>
      </c>
      <c r="F146" s="225">
        <f>ABS(SUM(F137:F139))+ABS(SUM(F140:F142))+ABS(SUM(F143:F145))</f>
        <v>372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388</v>
      </c>
      <c r="I146" s="225">
        <f>ABS(SUM(I137:I139))+ABS(SUM(I140:I142))+ABS(SUM(I143:I145))</f>
        <v>468</v>
      </c>
      <c r="J146" s="81">
        <f>IF(I146+H155=0,0,IF(I146=H155,Spielorte!$A$31/2,IF(I146&gt;H155,Spielorte!$A$31,0)))</f>
        <v>2</v>
      </c>
      <c r="K146" s="226">
        <f>ABS(SUM(K137:K139))+ABS(SUM(K140:K142))+ABS(SUM(K143:K145))</f>
        <v>390</v>
      </c>
      <c r="L146" s="225">
        <f>ABS(SUM(L137:L139))+ABS(SUM(L140:L142))+ABS(SUM(L143:L145))</f>
        <v>437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332</v>
      </c>
      <c r="O146" s="225">
        <f>ABS(SUM(O137:O139))+ABS(SUM(O140:O142))+ABS(SUM(O143:O145))</f>
        <v>379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345</v>
      </c>
      <c r="R146" s="225">
        <f>ABS(SUM(R137:R139))+ABS(SUM(R140:R142))+ABS(SUM(R143:R145))</f>
        <v>435</v>
      </c>
      <c r="S146" s="81">
        <f>IF(R146+Q155=0,0,IF(R146=Q155,Spielorte!$A$31/2,IF(R146&gt;Q155,Spielorte!$A$31,0)))</f>
        <v>0</v>
      </c>
      <c r="T146" s="228">
        <f>SUM(E146+H146+K146+N146+Q146)</f>
        <v>1747</v>
      </c>
      <c r="U146" s="229">
        <f>SUM(F146+I146+L146+O146+R146)</f>
        <v>2091</v>
      </c>
      <c r="V146" s="12">
        <f>SUM(G146+J146+M146+P146+S146)</f>
        <v>2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>
      <c r="B147" s="230" t="s">
        <v>1803</v>
      </c>
      <c r="C147" s="1"/>
      <c r="D147" s="1"/>
      <c r="E147" s="1"/>
      <c r="F147" s="1"/>
      <c r="G147" s="61">
        <f>SUM(G137:G146)</f>
        <v>1</v>
      </c>
      <c r="H147" s="1"/>
      <c r="I147" s="1"/>
      <c r="J147" s="61">
        <f>SUM(J137:J146)</f>
        <v>4</v>
      </c>
      <c r="K147" s="1"/>
      <c r="L147" s="1"/>
      <c r="M147" s="61">
        <f>SUM(M137:M146)</f>
        <v>1</v>
      </c>
      <c r="N147" s="1"/>
      <c r="O147" s="1"/>
      <c r="P147" s="61">
        <f>SUM(P137:P146)</f>
        <v>0</v>
      </c>
      <c r="Q147" s="1"/>
      <c r="R147" s="1"/>
      <c r="S147" s="61">
        <f>SUM(S137:S146)</f>
        <v>1</v>
      </c>
      <c r="T147" s="1"/>
      <c r="U147" s="1"/>
      <c r="V147" s="61">
        <f>SUM(V137:V146)</f>
        <v>7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7</v>
      </c>
      <c r="AR147" s="167">
        <f>+T146</f>
        <v>1747</v>
      </c>
      <c r="AS147" s="167">
        <f>+U146</f>
        <v>2091</v>
      </c>
      <c r="AT147" s="168">
        <f>+B132</f>
        <v>6</v>
      </c>
      <c r="AW147" s="169">
        <f>SUM(AW131:AW146)</f>
        <v>15</v>
      </c>
      <c r="BD147" s="166">
        <f>+AS147/1000000+AQ147+AR147/1000000000000</f>
        <v>7.0020910017469999</v>
      </c>
      <c r="BE147" s="168">
        <f>RANK(BD147,BD:BD)</f>
        <v>7</v>
      </c>
      <c r="BI147" s="168"/>
      <c r="BM147" s="168"/>
    </row>
    <row r="148" spans="1:65" ht="11.25" customHeight="1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>
      <c r="B149" s="231" t="s">
        <v>1790</v>
      </c>
      <c r="C149" s="210"/>
      <c r="D149" s="42"/>
      <c r="E149" s="434">
        <f>VLOOKUP($B132,Schlüssel!$A$5:$EK$12,63)</f>
        <v>3</v>
      </c>
      <c r="F149" s="435"/>
      <c r="G149" s="436"/>
      <c r="H149" s="434">
        <f>VLOOKUP($B132,Schlüssel!$A$5:$EK$12,64)</f>
        <v>4</v>
      </c>
      <c r="I149" s="435"/>
      <c r="J149" s="436"/>
      <c r="K149" s="434">
        <f>VLOOKUP($B132,Schlüssel!$A$5:$EK$12,65)</f>
        <v>7</v>
      </c>
      <c r="L149" s="435"/>
      <c r="M149" s="436"/>
      <c r="N149" s="434">
        <f>VLOOKUP($B132,Schlüssel!$A$5:$EK$12,66)</f>
        <v>1</v>
      </c>
      <c r="O149" s="435"/>
      <c r="P149" s="436"/>
      <c r="Q149" s="434">
        <f>VLOOKUP($B132,Schlüssel!$A$5:$EK$12,67)</f>
        <v>5</v>
      </c>
      <c r="R149" s="435"/>
      <c r="S149" s="436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>
      <c r="B150" s="3" t="s">
        <v>9</v>
      </c>
      <c r="C150" s="1"/>
      <c r="D150" s="1"/>
      <c r="E150" s="395" t="str">
        <f>VLOOKUP(E149,Schlüssel!$A$5:$K$12,2)</f>
        <v>Highroller Rosenheim 2</v>
      </c>
      <c r="F150" s="438"/>
      <c r="G150" s="396"/>
      <c r="H150" s="395" t="str">
        <f>VLOOKUP(H149,Schlüssel!$A$5:$K$12,2)</f>
        <v>Highroller Rosenheim 3</v>
      </c>
      <c r="I150" s="438"/>
      <c r="J150" s="396"/>
      <c r="K150" s="395" t="str">
        <f>VLOOKUP(K149,Schlüssel!$A$5:$K$12,2)</f>
        <v>BK München 1</v>
      </c>
      <c r="L150" s="438"/>
      <c r="M150" s="396"/>
      <c r="N150" s="395" t="str">
        <f>VLOOKUP(N149,Schlüssel!$A$5:$K$12,2)</f>
        <v>Bad Tölz 1</v>
      </c>
      <c r="O150" s="438"/>
      <c r="P150" s="396"/>
      <c r="Q150" s="395" t="str">
        <f>VLOOKUP(Q149,Schlüssel!$A$5:$K$12,2)</f>
        <v>Berchtesgaden 1</v>
      </c>
      <c r="R150" s="438"/>
      <c r="S150" s="396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" customHeight="1">
      <c r="B152" s="417" t="s">
        <v>2275</v>
      </c>
      <c r="C152" s="418"/>
      <c r="D152" s="419"/>
      <c r="E152" s="431">
        <f>ABS(INDEX(F:F,MATCH(E149,$B:$B,0)+5)+INDEX(F:F,MATCH(E149,$B:$B,0)+6)+INDEX(F:F,MATCH(E149,$B:$B,0)+7))</f>
        <v>122</v>
      </c>
      <c r="F152" s="432"/>
      <c r="G152" s="433"/>
      <c r="H152" s="431">
        <f>ABS(INDEX(I:I,MATCH(H149,$B:$B,0)+5)+INDEX(I:I,MATCH(H149,$B:$B,0)+6)+INDEX(I:I,MATCH(H149,$B:$B,0)+7))</f>
        <v>152</v>
      </c>
      <c r="I152" s="432"/>
      <c r="J152" s="433"/>
      <c r="K152" s="431">
        <f>ABS(INDEX(L:L,MATCH(K149,$B:$B,0)+5)+INDEX(L:L,MATCH(K149,$B:$B,0)+6)+INDEX(L:L,MATCH(K149,$B:$B,0)+7))</f>
        <v>165</v>
      </c>
      <c r="L152" s="432"/>
      <c r="M152" s="433"/>
      <c r="N152" s="431">
        <f>ABS(INDEX(O:O,MATCH(N149,$B:$B,0)+5)+INDEX(O:O,MATCH(N149,$B:$B,0)+6)+INDEX(O:O,MATCH(N149,$B:$B,0)+7))</f>
        <v>156</v>
      </c>
      <c r="O152" s="432"/>
      <c r="P152" s="433"/>
      <c r="Q152" s="431">
        <f>ABS(INDEX(R:R,MATCH(Q149,$B:$B,0)+5)+INDEX(R:R,MATCH(Q149,$B:$B,0)+6)+INDEX(R:R,MATCH(Q149,$B:$B,0)+7))</f>
        <v>167</v>
      </c>
      <c r="R152" s="432"/>
      <c r="S152" s="433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" customHeight="1">
      <c r="B153" s="417" t="s">
        <v>2276</v>
      </c>
      <c r="C153" s="418"/>
      <c r="D153" s="419"/>
      <c r="E153" s="424">
        <f>ABS(INDEX(F:F,MATCH(E149,$B:$B,0)+8)+INDEX(F:F,MATCH(E149,$B:$B,0)+9)+INDEX(F:F,MATCH(E149,$B:$B,0)+10))</f>
        <v>152</v>
      </c>
      <c r="F153" s="425"/>
      <c r="G153" s="426"/>
      <c r="H153" s="424">
        <f>ABS(INDEX(I:I,MATCH(H149,$B:$B,0)+8)+INDEX(I:I,MATCH(H149,$B:$B,0)+9)+INDEX(I:I,MATCH(H149,$B:$B,0)+10))</f>
        <v>135</v>
      </c>
      <c r="I153" s="425"/>
      <c r="J153" s="426"/>
      <c r="K153" s="424">
        <f>ABS(INDEX(L:L,MATCH(K149,$B:$B,0)+8)+INDEX(L:L,MATCH(K149,$B:$B,0)+9)+INDEX(L:L,MATCH(K149,$B:$B,0)+10))</f>
        <v>178</v>
      </c>
      <c r="L153" s="425"/>
      <c r="M153" s="426"/>
      <c r="N153" s="424">
        <f>ABS(INDEX(O:O,MATCH(N149,$B:$B,0)+8)+INDEX(O:O,MATCH(N149,$B:$B,0)+9)+INDEX(O:O,MATCH(N149,$B:$B,0)+10))</f>
        <v>138</v>
      </c>
      <c r="O153" s="425"/>
      <c r="P153" s="426"/>
      <c r="Q153" s="424">
        <f>ABS(INDEX(R:R,MATCH(Q149,$B:$B,0)+8)+INDEX(R:R,MATCH(Q149,$B:$B,0)+9)+INDEX(R:R,MATCH(Q149,$B:$B,0)+10))</f>
        <v>142</v>
      </c>
      <c r="R153" s="425"/>
      <c r="S153" s="426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" customHeight="1">
      <c r="B154" s="417" t="s">
        <v>2277</v>
      </c>
      <c r="C154" s="418"/>
      <c r="D154" s="419"/>
      <c r="E154" s="424">
        <f>ABS(INDEX(F:F,MATCH(E149,$B:$B,0)+11)+INDEX(F:F,MATCH(E149,$B:$B,0)+12)+INDEX(F:F,MATCH(E149,$B:$B,0)+13))</f>
        <v>119</v>
      </c>
      <c r="F154" s="425"/>
      <c r="G154" s="426"/>
      <c r="H154" s="424">
        <f>ABS(INDEX(I:I,MATCH(H149,$B:$B,0)+11)+INDEX(I:I,MATCH(H149,$B:$B,0)+12)+INDEX(I:I,MATCH(H149,$B:$B,0)+13))</f>
        <v>118</v>
      </c>
      <c r="I154" s="425"/>
      <c r="J154" s="426"/>
      <c r="K154" s="424">
        <f>ABS(INDEX(L:L,MATCH(K149,$B:$B,0)+11)+INDEX(L:L,MATCH(K149,$B:$B,0)+12)+INDEX(L:L,MATCH(K149,$B:$B,0)+13))</f>
        <v>130</v>
      </c>
      <c r="L154" s="425"/>
      <c r="M154" s="426"/>
      <c r="N154" s="424">
        <f>ABS(INDEX(O:O,MATCH(N149,$B:$B,0)+11)+INDEX(O:O,MATCH(N149,$B:$B,0)+12)+INDEX(O:O,MATCH(N149,$B:$B,0)+13))</f>
        <v>133</v>
      </c>
      <c r="O154" s="425"/>
      <c r="P154" s="426"/>
      <c r="Q154" s="424">
        <f>ABS(INDEX(R:R,MATCH(Q149,$B:$B,0)+11)+INDEX(R:R,MATCH(Q149,$B:$B,0)+12)+INDEX(R:R,MATCH(Q149,$B:$B,0)+13))</f>
        <v>142</v>
      </c>
      <c r="R154" s="425"/>
      <c r="S154" s="426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" customHeight="1">
      <c r="B155" s="420" t="s">
        <v>2278</v>
      </c>
      <c r="C155" s="421"/>
      <c r="D155" s="422"/>
      <c r="E155" s="407">
        <f>SUM(E152:E154)</f>
        <v>393</v>
      </c>
      <c r="F155" s="423"/>
      <c r="G155" s="408"/>
      <c r="H155" s="407">
        <f>SUM(H152:H154)</f>
        <v>405</v>
      </c>
      <c r="I155" s="423"/>
      <c r="J155" s="408"/>
      <c r="K155" s="407">
        <f>SUM(K152:K154)</f>
        <v>473</v>
      </c>
      <c r="L155" s="423"/>
      <c r="M155" s="408"/>
      <c r="N155" s="407">
        <f>SUM(N152:N154)</f>
        <v>427</v>
      </c>
      <c r="O155" s="423"/>
      <c r="P155" s="408"/>
      <c r="Q155" s="407">
        <f>SUM(Q152:Q154)</f>
        <v>451</v>
      </c>
      <c r="R155" s="423"/>
      <c r="S155" s="408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>
      <c r="A157" s="255"/>
      <c r="B157" s="7" t="s">
        <v>1802</v>
      </c>
      <c r="C157" s="24"/>
      <c r="D157" s="24"/>
      <c r="E157" s="35" t="s">
        <v>1786</v>
      </c>
      <c r="F157" s="35"/>
      <c r="G157" s="427" t="str">
        <f>Schlüssel!$C$1</f>
        <v>Landesliga Jugend</v>
      </c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  <c r="S157" s="406">
        <f>Schlüssel!$BU$1</f>
        <v>45787</v>
      </c>
      <c r="T157" s="406"/>
      <c r="U157" s="406"/>
      <c r="V157" s="406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>
      <c r="A158" s="53"/>
      <c r="B158" s="54">
        <v>7</v>
      </c>
      <c r="E158" s="35" t="s">
        <v>1787</v>
      </c>
      <c r="F158" s="35"/>
      <c r="G158" s="413" t="str">
        <f>Schlüssel!$BK$2</f>
        <v>Bad Tölz Flint Bowling</v>
      </c>
      <c r="H158" s="413"/>
      <c r="I158" s="413"/>
      <c r="J158" s="413"/>
      <c r="K158" s="413"/>
      <c r="L158" s="413"/>
      <c r="M158" s="413"/>
      <c r="N158" s="413"/>
      <c r="O158" s="413"/>
      <c r="P158" s="66"/>
      <c r="Q158" s="411" t="s">
        <v>1785</v>
      </c>
      <c r="R158" s="412"/>
      <c r="S158" s="38">
        <v>4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>
      <c r="B159" s="414" t="str">
        <f>VLOOKUP(B158,Schlüssel!$A$5:$B$12,2)</f>
        <v>BK München 1</v>
      </c>
      <c r="C159" s="415"/>
      <c r="D159" s="415"/>
      <c r="E159" s="415"/>
      <c r="F159" s="415"/>
      <c r="G159" s="416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3.8" hidden="1" thickBot="1">
      <c r="A160" s="6"/>
      <c r="B160" s="7"/>
      <c r="C160" s="43"/>
      <c r="D160" s="43"/>
      <c r="E160" s="162" t="s">
        <v>10</v>
      </c>
      <c r="F160" s="220"/>
      <c r="G160" s="159">
        <f>VLOOKUP(B158,Schlüssel!$A$5:$EK$12,73)</f>
        <v>2</v>
      </c>
      <c r="H160" s="161" t="s">
        <v>10</v>
      </c>
      <c r="I160" s="220"/>
      <c r="J160" s="159">
        <f>VLOOKUP(B158,Schlüssel!$A$5:$EK$12,74)</f>
        <v>4</v>
      </c>
      <c r="K160" s="161" t="s">
        <v>10</v>
      </c>
      <c r="L160" s="220"/>
      <c r="M160" s="159">
        <f>VLOOKUP(B158,Schlüssel!$A$5:$EK$12,75)</f>
        <v>5</v>
      </c>
      <c r="N160" s="161" t="s">
        <v>10</v>
      </c>
      <c r="O160" s="220"/>
      <c r="P160" s="159">
        <f>VLOOKUP(B158,Schlüssel!$A$5:$EK$12,76)</f>
        <v>3</v>
      </c>
      <c r="Q160" s="161" t="s">
        <v>10</v>
      </c>
      <c r="R160" s="220"/>
      <c r="S160" s="160">
        <f>VLOOKUP(B158,Schlüssel!$A$5:$EK$12,77)</f>
        <v>6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>
      <c r="B161" s="44" t="s">
        <v>1</v>
      </c>
      <c r="C161" s="208"/>
      <c r="D161" s="217"/>
      <c r="E161" s="423" t="s">
        <v>1793</v>
      </c>
      <c r="F161" s="423"/>
      <c r="G161" s="408"/>
      <c r="H161" s="407" t="s">
        <v>1794</v>
      </c>
      <c r="I161" s="423"/>
      <c r="J161" s="408"/>
      <c r="K161" s="407" t="s">
        <v>1795</v>
      </c>
      <c r="L161" s="423"/>
      <c r="M161" s="408"/>
      <c r="N161" s="407" t="s">
        <v>1796</v>
      </c>
      <c r="O161" s="423"/>
      <c r="P161" s="408"/>
      <c r="Q161" s="407" t="s">
        <v>1797</v>
      </c>
      <c r="R161" s="423"/>
      <c r="S161" s="437"/>
      <c r="T161" s="439" t="s">
        <v>1792</v>
      </c>
      <c r="U161" s="440"/>
      <c r="V161" s="410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6.95" customHeight="1">
      <c r="A163" s="403" t="s">
        <v>0</v>
      </c>
      <c r="B163" s="58" t="str">
        <f>IF(C163=0,"",VLOOKUP(C163,Starter!$A$1:$D$196,2,FALSE))</f>
        <v>Gründl, Alexander</v>
      </c>
      <c r="C163" s="232">
        <v>38708</v>
      </c>
      <c r="D163" s="238">
        <f t="shared" ref="D163:D171" si="144">+AP163</f>
        <v>0</v>
      </c>
      <c r="E163" s="221">
        <v>115</v>
      </c>
      <c r="F163" s="240">
        <f t="shared" ref="F163:F171" si="145">IF(E163&gt;0,E163+$D163,0)</f>
        <v>115</v>
      </c>
      <c r="G163" s="428">
        <f>IF(SUM(F163:F165)+E178=0,0,IF(ABS(SUM(F163:F165))=E178,Spielorte!$A$30/2,IF(ABS(SUM(F163:F165))&gt;E178,Spielorte!$A$30,0)))</f>
        <v>0</v>
      </c>
      <c r="H163" s="221">
        <v>116</v>
      </c>
      <c r="I163" s="240">
        <f t="shared" ref="I163:I171" si="146">IF(H163&gt;0,H163+$D163,0)</f>
        <v>116</v>
      </c>
      <c r="J163" s="428">
        <f>IF(SUM(I163:I165)+H178=0,0,IF(ABS(SUM(I163:I165))=H178,Spielorte!$A$30/2,IF(ABS(SUM(I163:I165))&gt;H178,Spielorte!$A$30,0)))</f>
        <v>0</v>
      </c>
      <c r="K163" s="221">
        <v>165</v>
      </c>
      <c r="L163" s="240">
        <f t="shared" ref="L163:L171" si="147">IF(K163&gt;0,K163+$D163,0)</f>
        <v>165</v>
      </c>
      <c r="M163" s="428">
        <f>IF(SUM(L163:L165)+K178=0,0,IF(ABS(SUM(L163:L165))=K178,Spielorte!$A$30/2,IF(ABS(SUM(L163:L165))&gt;K178,Spielorte!$A$30,0)))</f>
        <v>0</v>
      </c>
      <c r="N163" s="221">
        <v>143</v>
      </c>
      <c r="O163" s="240">
        <f t="shared" ref="O163:O171" si="148">IF(N163&gt;0,N163+$D163,0)</f>
        <v>143</v>
      </c>
      <c r="P163" s="428">
        <f>IF(SUM(O163:O165)+N178=0,0,IF(ABS(SUM(O163:O165))=N178,Spielorte!$A$30/2,IF(ABS(SUM(O163:O165))&gt;N178,Spielorte!$A$30,0)))</f>
        <v>0</v>
      </c>
      <c r="Q163" s="221">
        <v>169</v>
      </c>
      <c r="R163" s="240">
        <f t="shared" ref="R163:R171" si="149">IF(Q163&gt;0,Q163+$D163,0)</f>
        <v>169</v>
      </c>
      <c r="S163" s="428">
        <f>IF(SUM(R163:R165)+Q178=0,0,IF(ABS(SUM(R163:R165))=Q178,Spielorte!$A$30/2,IF(ABS(SUM(R163:R165))&gt;Q178,Spielorte!$A$30,0)))</f>
        <v>1</v>
      </c>
      <c r="T163" s="221">
        <f t="shared" ref="T163:T171" si="150">ABS(SUM(E163:E163))+ABS(SUM(H163:H163))+ABS(SUM(K163:K163))+ABS(SUM(N163:N163))+ABS(SUM(Q163:Q163))</f>
        <v>708</v>
      </c>
      <c r="U163" s="240">
        <f t="shared" ref="U163:U171" si="151">ABS(SUM(F163:F163))+ABS(SUM(I163:I163))+ABS(SUM(L163:L163))+ABS(SUM(O163:O163))+ABS(SUM(R163:R163))</f>
        <v>708</v>
      </c>
      <c r="V163" s="400">
        <f>SUM(G163+J163+M163+P163+S163)</f>
        <v>1</v>
      </c>
      <c r="W163" s="79"/>
      <c r="X163" s="79"/>
      <c r="Y163" s="79"/>
      <c r="Z163" s="79"/>
      <c r="AA163" s="79"/>
      <c r="AB163" s="79"/>
      <c r="AL163" s="169">
        <f>IF(AU163=0,0,IFERROR(INDEX(RanglisteST4!K:K,MATCH(AU163,RanglisteST4!A:A,0)),0))</f>
        <v>204.93</v>
      </c>
      <c r="AM163" s="169">
        <f>IF(AU163=0,0,SUMIF(AU163:AU171,AU163,AV163:AV171))</f>
        <v>708</v>
      </c>
      <c r="AN163" s="169">
        <f>IF(AU163=0,0,SUMIF(AU163:AU171,AU163,AW163:AW171))</f>
        <v>5</v>
      </c>
      <c r="AO163" s="169">
        <f t="shared" ref="AO163:AO171" si="152">IFERROR(AM163/AN163,0)</f>
        <v>141.6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38708</v>
      </c>
      <c r="AV163" s="167">
        <f t="shared" ref="AV163:AV171" si="154">T163</f>
        <v>708</v>
      </c>
      <c r="AW163" s="169">
        <f t="shared" ref="AW163:AW171" si="155">COUNT(AY163:BC163)</f>
        <v>5</v>
      </c>
      <c r="AX163" s="169">
        <f t="shared" ref="AX163:AX171" si="156">COUNTIF(AY163:BC163,"&gt;0")</f>
        <v>5</v>
      </c>
      <c r="AY163" s="169">
        <f t="shared" ref="AY163:AY171" si="157">IF(E163=0,"",E163)</f>
        <v>115</v>
      </c>
      <c r="AZ163" s="169">
        <f t="shared" ref="AZ163:AZ171" si="158">IF(H163=0,"",H163)</f>
        <v>116</v>
      </c>
      <c r="BA163" s="169">
        <f t="shared" ref="BA163:BA171" si="159">IF(K163=0,"",K163)</f>
        <v>165</v>
      </c>
      <c r="BB163" s="169">
        <f t="shared" ref="BB163:BB171" si="160">IF(N163=0,"",N163)</f>
        <v>143</v>
      </c>
      <c r="BC163" s="169">
        <f t="shared" ref="BC163:BC171" si="161">IF(Q163=0,"",Q163)</f>
        <v>169</v>
      </c>
      <c r="BD163" s="170"/>
      <c r="BE163" s="168"/>
      <c r="BF163" s="169">
        <f t="shared" ref="BF163:BF171" si="162">MAX(AY163:BC163)</f>
        <v>169</v>
      </c>
      <c r="BG163" s="169">
        <f t="shared" ref="BG163:BG171" si="163">IF(BF163&lt;MAX(BF:BF),0,BF163+ROW()/1000000000)</f>
        <v>0</v>
      </c>
      <c r="BH163" s="169" t="str">
        <f>+B159</f>
        <v>BK München 1</v>
      </c>
      <c r="BI163" s="168">
        <f t="shared" ref="BI163:BI171" si="164">RANK(BG163,BG:BG)</f>
        <v>2</v>
      </c>
      <c r="BJ163" s="169">
        <f t="shared" ref="BJ163:BJ171" si="165">SUMIF(AY163:BC163,"&gt;0")</f>
        <v>708</v>
      </c>
      <c r="BK163" s="169">
        <f>IF(COUNTIF(AY163:BC163,"&gt;0")&lt;Spielorte!$A$23,0,AV163/Spielorte!$A$23)</f>
        <v>141.6</v>
      </c>
      <c r="BL163" s="169">
        <f t="shared" ref="BL163:BL171" si="166">IF(BK163&lt;MAX(BK:BK),0,BK163+ROW()/1000000000)</f>
        <v>0</v>
      </c>
      <c r="BM163" s="168">
        <f t="shared" ref="BM163:BM171" si="167">IF(BL163=0,0,RANK(BL163,BL:BL))</f>
        <v>0</v>
      </c>
    </row>
    <row r="164" spans="1:65" ht="16.95" customHeight="1">
      <c r="A164" s="404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9"/>
      <c r="H164" s="222"/>
      <c r="I164" s="241">
        <f t="shared" si="146"/>
        <v>0</v>
      </c>
      <c r="J164" s="429"/>
      <c r="K164" s="222"/>
      <c r="L164" s="241">
        <f t="shared" si="147"/>
        <v>0</v>
      </c>
      <c r="M164" s="429"/>
      <c r="N164" s="222"/>
      <c r="O164" s="241">
        <f t="shared" si="148"/>
        <v>0</v>
      </c>
      <c r="P164" s="429"/>
      <c r="Q164" s="222"/>
      <c r="R164" s="241">
        <f t="shared" si="149"/>
        <v>0</v>
      </c>
      <c r="S164" s="429"/>
      <c r="T164" s="222">
        <f t="shared" si="150"/>
        <v>0</v>
      </c>
      <c r="U164" s="241">
        <f t="shared" si="151"/>
        <v>0</v>
      </c>
      <c r="V164" s="401"/>
      <c r="W164" s="79"/>
      <c r="X164" s="79"/>
      <c r="Y164" s="79"/>
      <c r="Z164" s="79"/>
      <c r="AA164" s="79"/>
      <c r="AB164" s="79"/>
      <c r="AL164" s="169">
        <f>IF(AU164=0,0,IFERROR(INDEX(RanglisteST4!K:K,MATCH(AU164,RanglisteST4!A:A,0)),0))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0</v>
      </c>
      <c r="BH164" s="169" t="str">
        <f t="shared" ref="BH164:BH171" si="168">+BH163</f>
        <v>BK München 1</v>
      </c>
      <c r="BI164" s="168">
        <f t="shared" si="164"/>
        <v>2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0</v>
      </c>
      <c r="BM164" s="168">
        <f t="shared" si="167"/>
        <v>0</v>
      </c>
    </row>
    <row r="165" spans="1:65" ht="16.95" customHeight="1" thickBot="1">
      <c r="A165" s="405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30"/>
      <c r="H165" s="224"/>
      <c r="I165" s="242">
        <f t="shared" si="146"/>
        <v>0</v>
      </c>
      <c r="J165" s="430"/>
      <c r="K165" s="224"/>
      <c r="L165" s="242">
        <f t="shared" si="147"/>
        <v>0</v>
      </c>
      <c r="M165" s="430"/>
      <c r="N165" s="224"/>
      <c r="O165" s="242">
        <f t="shared" si="148"/>
        <v>0</v>
      </c>
      <c r="P165" s="430"/>
      <c r="Q165" s="224"/>
      <c r="R165" s="242">
        <f t="shared" si="149"/>
        <v>0</v>
      </c>
      <c r="S165" s="430"/>
      <c r="T165" s="224">
        <f t="shared" si="150"/>
        <v>0</v>
      </c>
      <c r="U165" s="242">
        <f t="shared" si="151"/>
        <v>0</v>
      </c>
      <c r="V165" s="402"/>
      <c r="W165" s="79"/>
      <c r="X165" s="79"/>
      <c r="Y165" s="79"/>
      <c r="Z165" s="79"/>
      <c r="AA165" s="79"/>
      <c r="AB165" s="79"/>
      <c r="AL165" s="169">
        <f>IF(AU165=0,0,IFERROR(INDEX(RanglisteST4!K:K,MATCH(AU165,RanglisteST4!A:A,0)),0))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0</v>
      </c>
      <c r="BH165" s="169" t="str">
        <f t="shared" si="168"/>
        <v>BK München 1</v>
      </c>
      <c r="BI165" s="168">
        <f t="shared" si="164"/>
        <v>2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0</v>
      </c>
      <c r="BM165" s="168">
        <f t="shared" si="167"/>
        <v>0</v>
      </c>
    </row>
    <row r="166" spans="1:65" ht="16.95" customHeight="1">
      <c r="A166" s="403" t="s">
        <v>2</v>
      </c>
      <c r="B166" s="58" t="str">
        <f>IF(C166=0,"",VLOOKUP(C166,Starter!$A$1:$D$196,2,FALSE))</f>
        <v>Wheeldon, Vincent</v>
      </c>
      <c r="C166" s="235">
        <v>38655</v>
      </c>
      <c r="D166" s="238">
        <f t="shared" si="144"/>
        <v>0</v>
      </c>
      <c r="E166" s="221">
        <v>138</v>
      </c>
      <c r="F166" s="240">
        <f t="shared" si="145"/>
        <v>138</v>
      </c>
      <c r="G166" s="428">
        <f>IF(SUM(F166:F168)+E179=0,0,IF(ABS(SUM(F166:F168))=E179,Spielorte!$A$30/2,IF(ABS(SUM(F166:F168))&gt;E179,Spielorte!$A$30,0)))</f>
        <v>1</v>
      </c>
      <c r="H166" s="221">
        <v>160</v>
      </c>
      <c r="I166" s="240">
        <f t="shared" si="146"/>
        <v>160</v>
      </c>
      <c r="J166" s="428">
        <f>IF(SUM(I166:I168)+H179=0,0,IF(ABS(SUM(I166:I168))=H179,Spielorte!$A$30/2,IF(ABS(SUM(I166:I168))&gt;H179,Spielorte!$A$30,0)))</f>
        <v>1</v>
      </c>
      <c r="K166" s="221">
        <v>178</v>
      </c>
      <c r="L166" s="240">
        <f t="shared" si="147"/>
        <v>178</v>
      </c>
      <c r="M166" s="428">
        <f>IF(SUM(L166:L168)+K179=0,0,IF(ABS(SUM(L166:L168))=K179,Spielorte!$A$30/2,IF(ABS(SUM(L166:L168))&gt;K179,Spielorte!$A$30,0)))</f>
        <v>1</v>
      </c>
      <c r="N166" s="221">
        <v>216</v>
      </c>
      <c r="O166" s="240">
        <f t="shared" si="148"/>
        <v>216</v>
      </c>
      <c r="P166" s="428">
        <f>IF(SUM(O166:O168)+N179=0,0,IF(ABS(SUM(O166:O168))=N179,Spielorte!$A$30/2,IF(ABS(SUM(O166:O168))&gt;N179,Spielorte!$A$30,0)))</f>
        <v>1</v>
      </c>
      <c r="Q166" s="221">
        <v>157</v>
      </c>
      <c r="R166" s="240">
        <f t="shared" si="149"/>
        <v>157</v>
      </c>
      <c r="S166" s="428">
        <f>IF(SUM(R166:R168)+Q179=0,0,IF(ABS(SUM(R166:R168))=Q179,Spielorte!$A$30/2,IF(ABS(SUM(R166:R168))&gt;Q179,Spielorte!$A$30,0)))</f>
        <v>0</v>
      </c>
      <c r="T166" s="221">
        <f t="shared" si="150"/>
        <v>849</v>
      </c>
      <c r="U166" s="240">
        <f t="shared" si="151"/>
        <v>849</v>
      </c>
      <c r="V166" s="400">
        <f>SUM(G166+J166+M166+P166+S166)</f>
        <v>4</v>
      </c>
      <c r="W166" s="79"/>
      <c r="X166" s="79"/>
      <c r="Y166" s="79"/>
      <c r="Z166" s="79"/>
      <c r="AA166" s="79"/>
      <c r="AB166" s="79"/>
      <c r="AL166" s="169">
        <f>IF(AU166=0,0,IFERROR(INDEX(RanglisteST4!K:K,MATCH(AU166,RanglisteST4!A:A,0)),0))</f>
        <v>198.54</v>
      </c>
      <c r="AM166" s="169">
        <f>IF(AU166=0,0,SUMIF(AU163:AU171,AU166,AV163:AV171))</f>
        <v>849</v>
      </c>
      <c r="AN166" s="169">
        <f>IF(AU166=0,0,SUMIF(AU163:AU171,AU166,AW163:AW171))</f>
        <v>5</v>
      </c>
      <c r="AO166" s="169">
        <f t="shared" si="152"/>
        <v>169.8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38655</v>
      </c>
      <c r="AV166" s="167">
        <f t="shared" si="154"/>
        <v>849</v>
      </c>
      <c r="AW166" s="169">
        <f t="shared" si="155"/>
        <v>5</v>
      </c>
      <c r="AX166" s="169">
        <f t="shared" si="156"/>
        <v>5</v>
      </c>
      <c r="AY166" s="169">
        <f t="shared" si="157"/>
        <v>138</v>
      </c>
      <c r="AZ166" s="169">
        <f t="shared" si="158"/>
        <v>160</v>
      </c>
      <c r="BA166" s="169">
        <f t="shared" si="159"/>
        <v>178</v>
      </c>
      <c r="BB166" s="169">
        <f t="shared" si="160"/>
        <v>216</v>
      </c>
      <c r="BC166" s="169">
        <f t="shared" si="161"/>
        <v>157</v>
      </c>
      <c r="BD166" s="170"/>
      <c r="BE166" s="168"/>
      <c r="BF166" s="169">
        <f t="shared" si="162"/>
        <v>216</v>
      </c>
      <c r="BG166" s="169">
        <f t="shared" si="163"/>
        <v>216.00000016600001</v>
      </c>
      <c r="BH166" s="169" t="str">
        <f t="shared" si="168"/>
        <v>BK München 1</v>
      </c>
      <c r="BI166" s="168">
        <f t="shared" si="164"/>
        <v>1</v>
      </c>
      <c r="BJ166" s="169">
        <f t="shared" si="165"/>
        <v>849</v>
      </c>
      <c r="BK166" s="169">
        <f>IF(COUNTIF(AY166:BC166,"&gt;0")&lt;Spielorte!$A$23,0,AV166/Spielorte!$A$23)</f>
        <v>169.8</v>
      </c>
      <c r="BL166" s="169">
        <f t="shared" si="166"/>
        <v>169.80000016600002</v>
      </c>
      <c r="BM166" s="168">
        <f t="shared" si="167"/>
        <v>1</v>
      </c>
    </row>
    <row r="167" spans="1:65" ht="16.95" customHeight="1">
      <c r="A167" s="404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9"/>
      <c r="H167" s="222"/>
      <c r="I167" s="241">
        <f t="shared" si="146"/>
        <v>0</v>
      </c>
      <c r="J167" s="429"/>
      <c r="K167" s="222"/>
      <c r="L167" s="241">
        <f t="shared" si="147"/>
        <v>0</v>
      </c>
      <c r="M167" s="429"/>
      <c r="N167" s="222"/>
      <c r="O167" s="241">
        <f t="shared" si="148"/>
        <v>0</v>
      </c>
      <c r="P167" s="429"/>
      <c r="Q167" s="222"/>
      <c r="R167" s="241">
        <f t="shared" si="149"/>
        <v>0</v>
      </c>
      <c r="S167" s="429"/>
      <c r="T167" s="222">
        <f t="shared" si="150"/>
        <v>0</v>
      </c>
      <c r="U167" s="241">
        <f t="shared" si="151"/>
        <v>0</v>
      </c>
      <c r="V167" s="401"/>
      <c r="W167" s="79"/>
      <c r="X167" s="79"/>
      <c r="Y167" s="79"/>
      <c r="Z167" s="79"/>
      <c r="AA167" s="79"/>
      <c r="AB167" s="79"/>
      <c r="AL167" s="169">
        <f>IF(AU167=0,0,IFERROR(INDEX(RanglisteST4!K:K,MATCH(AU167,RanglisteST4!A:A,0)),0))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0</v>
      </c>
      <c r="BH167" s="169" t="str">
        <f t="shared" si="168"/>
        <v>BK München 1</v>
      </c>
      <c r="BI167" s="168">
        <f t="shared" si="164"/>
        <v>2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0</v>
      </c>
      <c r="BM167" s="168">
        <f t="shared" si="167"/>
        <v>0</v>
      </c>
    </row>
    <row r="168" spans="1:65" ht="16.95" customHeight="1" thickBot="1">
      <c r="A168" s="405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30"/>
      <c r="H168" s="224"/>
      <c r="I168" s="242">
        <f t="shared" si="146"/>
        <v>0</v>
      </c>
      <c r="J168" s="430"/>
      <c r="K168" s="224"/>
      <c r="L168" s="242">
        <f t="shared" si="147"/>
        <v>0</v>
      </c>
      <c r="M168" s="430"/>
      <c r="N168" s="224"/>
      <c r="O168" s="242">
        <f t="shared" si="148"/>
        <v>0</v>
      </c>
      <c r="P168" s="430"/>
      <c r="Q168" s="224"/>
      <c r="R168" s="242">
        <f t="shared" si="149"/>
        <v>0</v>
      </c>
      <c r="S168" s="430"/>
      <c r="T168" s="224">
        <f t="shared" si="150"/>
        <v>0</v>
      </c>
      <c r="U168" s="242">
        <f t="shared" si="151"/>
        <v>0</v>
      </c>
      <c r="V168" s="402"/>
      <c r="W168" s="79"/>
      <c r="X168" s="79"/>
      <c r="Y168" s="79"/>
      <c r="Z168" s="79"/>
      <c r="AA168" s="79"/>
      <c r="AB168" s="79"/>
      <c r="AL168" s="169">
        <f>IF(AU168=0,0,IFERROR(INDEX(RanglisteST4!K:K,MATCH(AU168,RanglisteST4!A:A,0)),0))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0</v>
      </c>
      <c r="BH168" s="169" t="str">
        <f t="shared" si="168"/>
        <v>BK München 1</v>
      </c>
      <c r="BI168" s="168">
        <f t="shared" si="164"/>
        <v>2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0</v>
      </c>
      <c r="BM168" s="168">
        <f t="shared" si="167"/>
        <v>0</v>
      </c>
    </row>
    <row r="169" spans="1:65" ht="16.95" customHeight="1">
      <c r="A169" s="403" t="s">
        <v>3</v>
      </c>
      <c r="B169" s="58" t="str">
        <f>IF(C169=0,"",VLOOKUP(C169,Starter!$A$1:$D$196,2,FALSE))</f>
        <v>Wolf, Alexander</v>
      </c>
      <c r="C169" s="235">
        <v>38626</v>
      </c>
      <c r="D169" s="238">
        <f t="shared" si="144"/>
        <v>0</v>
      </c>
      <c r="E169" s="221">
        <v>166</v>
      </c>
      <c r="F169" s="240">
        <f t="shared" si="145"/>
        <v>166</v>
      </c>
      <c r="G169" s="428">
        <f>IF(SUM(F169:F171)+E180=0,0,IF(ABS(SUM(F169:F171))=E180,Spielorte!$A$30/2,IF(ABS(SUM(F169:F171))&gt;E180,Spielorte!$A$30,0)))</f>
        <v>1</v>
      </c>
      <c r="H169" s="221">
        <v>176</v>
      </c>
      <c r="I169" s="240">
        <f t="shared" si="146"/>
        <v>176</v>
      </c>
      <c r="J169" s="428">
        <f>IF(SUM(I169:I171)+H180=0,0,IF(ABS(SUM(I169:I171))=H180,Spielorte!$A$30/2,IF(ABS(SUM(I169:I171))&gt;H180,Spielorte!$A$30,0)))</f>
        <v>1</v>
      </c>
      <c r="K169" s="221">
        <v>130</v>
      </c>
      <c r="L169" s="240">
        <f t="shared" si="147"/>
        <v>130</v>
      </c>
      <c r="M169" s="428">
        <f>IF(SUM(L169:L171)+K180=0,0,IF(ABS(SUM(L169:L171))=K180,Spielorte!$A$30/2,IF(ABS(SUM(L169:L171))&gt;K180,Spielorte!$A$30,0)))</f>
        <v>1</v>
      </c>
      <c r="N169" s="221">
        <v>135</v>
      </c>
      <c r="O169" s="240">
        <f t="shared" si="148"/>
        <v>135</v>
      </c>
      <c r="P169" s="428">
        <f>IF(SUM(O169:O171)+N180=0,0,IF(ABS(SUM(O169:O171))=N180,Spielorte!$A$30/2,IF(ABS(SUM(O169:O171))&gt;N180,Spielorte!$A$30,0)))</f>
        <v>0</v>
      </c>
      <c r="Q169" s="221">
        <v>187</v>
      </c>
      <c r="R169" s="240">
        <f t="shared" si="149"/>
        <v>187</v>
      </c>
      <c r="S169" s="428">
        <f>IF(SUM(R169:R171)+Q180=0,0,IF(ABS(SUM(R169:R171))=Q180,Spielorte!$A$30/2,IF(ABS(SUM(R169:R171))&gt;Q180,Spielorte!$A$30,0)))</f>
        <v>1</v>
      </c>
      <c r="T169" s="221">
        <f t="shared" si="150"/>
        <v>794</v>
      </c>
      <c r="U169" s="240">
        <f t="shared" si="151"/>
        <v>794</v>
      </c>
      <c r="V169" s="400">
        <f>SUM(G169+J169+M169+P169+S169)</f>
        <v>4</v>
      </c>
      <c r="W169" s="79"/>
      <c r="X169" s="79"/>
      <c r="Y169" s="79"/>
      <c r="Z169" s="79"/>
      <c r="AA169" s="79"/>
      <c r="AB169" s="79"/>
      <c r="AL169" s="169">
        <f>IF(AU169=0,0,IFERROR(INDEX(RanglisteST4!K:K,MATCH(AU169,RanglisteST4!A:A,0)),0))</f>
        <v>189.52</v>
      </c>
      <c r="AM169" s="169">
        <f>IF(AU169=0,0,SUMIF(AU163:AU171,AU169,AV163:AV171))</f>
        <v>794</v>
      </c>
      <c r="AN169" s="169">
        <f>IF(AU169=0,0,SUMIF(AU163:AU171,AU169,AW163:AW171))</f>
        <v>5</v>
      </c>
      <c r="AO169" s="169">
        <f t="shared" si="152"/>
        <v>158.80000000000001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38626</v>
      </c>
      <c r="AV169" s="167">
        <f t="shared" si="154"/>
        <v>794</v>
      </c>
      <c r="AW169" s="169">
        <f t="shared" si="155"/>
        <v>5</v>
      </c>
      <c r="AX169" s="169">
        <f t="shared" si="156"/>
        <v>5</v>
      </c>
      <c r="AY169" s="169">
        <f t="shared" si="157"/>
        <v>166</v>
      </c>
      <c r="AZ169" s="169">
        <f t="shared" si="158"/>
        <v>176</v>
      </c>
      <c r="BA169" s="169">
        <f t="shared" si="159"/>
        <v>130</v>
      </c>
      <c r="BB169" s="169">
        <f t="shared" si="160"/>
        <v>135</v>
      </c>
      <c r="BC169" s="169">
        <f t="shared" si="161"/>
        <v>187</v>
      </c>
      <c r="BD169" s="170"/>
      <c r="BE169" s="168"/>
      <c r="BF169" s="169">
        <f t="shared" si="162"/>
        <v>187</v>
      </c>
      <c r="BG169" s="169">
        <f t="shared" si="163"/>
        <v>0</v>
      </c>
      <c r="BH169" s="169" t="str">
        <f t="shared" si="168"/>
        <v>BK München 1</v>
      </c>
      <c r="BI169" s="168">
        <f t="shared" si="164"/>
        <v>2</v>
      </c>
      <c r="BJ169" s="169">
        <f t="shared" si="165"/>
        <v>794</v>
      </c>
      <c r="BK169" s="169">
        <f>IF(COUNTIF(AY169:BC169,"&gt;0")&lt;Spielorte!$A$23,0,AV169/Spielorte!$A$23)</f>
        <v>158.80000000000001</v>
      </c>
      <c r="BL169" s="169">
        <f t="shared" si="166"/>
        <v>0</v>
      </c>
      <c r="BM169" s="168">
        <f t="shared" si="167"/>
        <v>0</v>
      </c>
    </row>
    <row r="170" spans="1:65" ht="16.95" customHeight="1">
      <c r="A170" s="404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9"/>
      <c r="H170" s="222"/>
      <c r="I170" s="241">
        <f t="shared" si="146"/>
        <v>0</v>
      </c>
      <c r="J170" s="429"/>
      <c r="K170" s="222"/>
      <c r="L170" s="241">
        <f t="shared" si="147"/>
        <v>0</v>
      </c>
      <c r="M170" s="429"/>
      <c r="N170" s="222"/>
      <c r="O170" s="241">
        <f t="shared" si="148"/>
        <v>0</v>
      </c>
      <c r="P170" s="429"/>
      <c r="Q170" s="222"/>
      <c r="R170" s="241">
        <f t="shared" si="149"/>
        <v>0</v>
      </c>
      <c r="S170" s="429"/>
      <c r="T170" s="222">
        <f t="shared" si="150"/>
        <v>0</v>
      </c>
      <c r="U170" s="241">
        <f t="shared" si="151"/>
        <v>0</v>
      </c>
      <c r="V170" s="401"/>
      <c r="W170" s="79"/>
      <c r="X170" s="79"/>
      <c r="Y170" s="79"/>
      <c r="Z170" s="79"/>
      <c r="AA170" s="79"/>
      <c r="AB170" s="79"/>
      <c r="AL170" s="169">
        <f>IF(AU170=0,0,IFERROR(INDEX(RanglisteST4!K:K,MATCH(AU170,RanglisteST4!A:A,0)),0))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0</v>
      </c>
      <c r="BH170" s="169" t="str">
        <f t="shared" si="168"/>
        <v>BK München 1</v>
      </c>
      <c r="BI170" s="168">
        <f t="shared" si="164"/>
        <v>2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0</v>
      </c>
      <c r="BM170" s="168">
        <f t="shared" si="167"/>
        <v>0</v>
      </c>
    </row>
    <row r="171" spans="1:65" ht="16.95" customHeight="1" thickBot="1">
      <c r="A171" s="405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30"/>
      <c r="H171" s="224"/>
      <c r="I171" s="242">
        <f t="shared" si="146"/>
        <v>0</v>
      </c>
      <c r="J171" s="430"/>
      <c r="K171" s="224"/>
      <c r="L171" s="242">
        <f t="shared" si="147"/>
        <v>0</v>
      </c>
      <c r="M171" s="430"/>
      <c r="N171" s="224"/>
      <c r="O171" s="242">
        <f t="shared" si="148"/>
        <v>0</v>
      </c>
      <c r="P171" s="430"/>
      <c r="Q171" s="224"/>
      <c r="R171" s="242">
        <f t="shared" si="149"/>
        <v>0</v>
      </c>
      <c r="S171" s="430"/>
      <c r="T171" s="224">
        <f t="shared" si="150"/>
        <v>0</v>
      </c>
      <c r="U171" s="242">
        <f t="shared" si="151"/>
        <v>0</v>
      </c>
      <c r="V171" s="402"/>
      <c r="W171" s="79"/>
      <c r="X171" s="79"/>
      <c r="Y171" s="79"/>
      <c r="Z171" s="79"/>
      <c r="AA171" s="79"/>
      <c r="AB171" s="79"/>
      <c r="AL171" s="169">
        <f>IF(AU171=0,0,IFERROR(INDEX(RanglisteST4!K:K,MATCH(AU171,RanglisteST4!A:A,0)),0))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0</v>
      </c>
      <c r="BH171" s="169" t="str">
        <f t="shared" si="168"/>
        <v>BK München 1</v>
      </c>
      <c r="BI171" s="168">
        <f t="shared" si="164"/>
        <v>2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0</v>
      </c>
      <c r="BM171" s="168">
        <f t="shared" si="167"/>
        <v>0</v>
      </c>
    </row>
    <row r="172" spans="1:65" ht="27.75" customHeight="1" thickBot="1">
      <c r="B172" s="218" t="s">
        <v>1792</v>
      </c>
      <c r="C172" s="204"/>
      <c r="D172" s="219"/>
      <c r="E172" s="226">
        <f>ABS(SUM(E163:E165))+ABS(SUM(E166:E168))+ABS(SUM(E169:E171))</f>
        <v>419</v>
      </c>
      <c r="F172" s="225">
        <f>ABS(SUM(F163:F165))+ABS(SUM(F166:F168))+ABS(SUM(F169:F171))</f>
        <v>419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452</v>
      </c>
      <c r="I172" s="225">
        <f>ABS(SUM(I163:I165))+ABS(SUM(I166:I168))+ABS(SUM(I169:I171))</f>
        <v>452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473</v>
      </c>
      <c r="L172" s="225">
        <f>ABS(SUM(L163:L165))+ABS(SUM(L166:L168))+ABS(SUM(L169:L171))</f>
        <v>473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494</v>
      </c>
      <c r="O172" s="225">
        <f>ABS(SUM(O163:O165))+ABS(SUM(O166:O168))+ABS(SUM(O169:O171))</f>
        <v>494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513</v>
      </c>
      <c r="R172" s="225">
        <f>ABS(SUM(R163:R165))+ABS(SUM(R166:R168))+ABS(SUM(R169:R171))</f>
        <v>513</v>
      </c>
      <c r="S172" s="81">
        <f>IF(R172+Q181=0,0,IF(R172=Q181,Spielorte!$A$31/2,IF(R172&gt;Q181,Spielorte!$A$31,0)))</f>
        <v>2</v>
      </c>
      <c r="T172" s="228">
        <f>SUM(E172+H172+K172+N172+Q172)</f>
        <v>2351</v>
      </c>
      <c r="U172" s="229">
        <f>SUM(F172+I172+L172+O172+R172)</f>
        <v>2351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>
      <c r="B173" s="230" t="s">
        <v>1803</v>
      </c>
      <c r="C173" s="1"/>
      <c r="D173" s="1"/>
      <c r="E173" s="1"/>
      <c r="F173" s="1"/>
      <c r="G173" s="61">
        <f>SUM(G163:G172)</f>
        <v>4</v>
      </c>
      <c r="H173" s="1"/>
      <c r="I173" s="1"/>
      <c r="J173" s="61">
        <f>SUM(J163:J172)</f>
        <v>4</v>
      </c>
      <c r="K173" s="1"/>
      <c r="L173" s="1"/>
      <c r="M173" s="61">
        <f>SUM(M163:M172)</f>
        <v>4</v>
      </c>
      <c r="N173" s="1"/>
      <c r="O173" s="1"/>
      <c r="P173" s="61">
        <f>SUM(P163:P172)</f>
        <v>3</v>
      </c>
      <c r="Q173" s="1"/>
      <c r="R173" s="1"/>
      <c r="S173" s="61">
        <f>SUM(S163:S172)</f>
        <v>4</v>
      </c>
      <c r="T173" s="1"/>
      <c r="U173" s="1"/>
      <c r="V173" s="61">
        <f>SUM(V163:V172)</f>
        <v>19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19</v>
      </c>
      <c r="AR173" s="167">
        <f>+T172</f>
        <v>2351</v>
      </c>
      <c r="AS173" s="167">
        <f>+U172</f>
        <v>2351</v>
      </c>
      <c r="AT173" s="168">
        <f>+B158</f>
        <v>7</v>
      </c>
      <c r="AW173" s="169">
        <f>SUM(AW157:AW172)</f>
        <v>15</v>
      </c>
      <c r="BD173" s="166">
        <f>+AS173/1000000+AQ173+AR173/1000000000000</f>
        <v>19.002351002351002</v>
      </c>
      <c r="BE173" s="168">
        <f>RANK(BD173,BD:BD)</f>
        <v>1</v>
      </c>
      <c r="BI173" s="168"/>
      <c r="BM173" s="168"/>
    </row>
    <row r="174" spans="1:65" ht="11.25" customHeight="1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>
      <c r="B175" s="231" t="s">
        <v>1790</v>
      </c>
      <c r="C175" s="210"/>
      <c r="D175" s="42"/>
      <c r="E175" s="434">
        <f>VLOOKUP($B158,Schlüssel!$A$5:$EK$12,63)</f>
        <v>2</v>
      </c>
      <c r="F175" s="435"/>
      <c r="G175" s="436"/>
      <c r="H175" s="434">
        <f>VLOOKUP($B158,Schlüssel!$A$5:$EK$12,64)</f>
        <v>1</v>
      </c>
      <c r="I175" s="435"/>
      <c r="J175" s="436"/>
      <c r="K175" s="434">
        <f>VLOOKUP($B158,Schlüssel!$A$5:$EK$12,65)</f>
        <v>6</v>
      </c>
      <c r="L175" s="435"/>
      <c r="M175" s="436"/>
      <c r="N175" s="434">
        <f>VLOOKUP($B158,Schlüssel!$A$5:$EK$12,66)</f>
        <v>4</v>
      </c>
      <c r="O175" s="435"/>
      <c r="P175" s="436"/>
      <c r="Q175" s="434">
        <f>VLOOKUP($B158,Schlüssel!$A$5:$EK$12,67)</f>
        <v>8</v>
      </c>
      <c r="R175" s="435"/>
      <c r="S175" s="436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>
      <c r="B176" s="3" t="s">
        <v>9</v>
      </c>
      <c r="C176" s="1"/>
      <c r="D176" s="1"/>
      <c r="E176" s="395" t="str">
        <f>VLOOKUP(E175,Schlüssel!$A$5:$K$12,2)</f>
        <v>Highroller Rosenheim 1</v>
      </c>
      <c r="F176" s="438"/>
      <c r="G176" s="396"/>
      <c r="H176" s="395" t="str">
        <f>VLOOKUP(H175,Schlüssel!$A$5:$K$12,2)</f>
        <v>Bad Tölz 1</v>
      </c>
      <c r="I176" s="438"/>
      <c r="J176" s="396"/>
      <c r="K176" s="395" t="str">
        <f>VLOOKUP(K175,Schlüssel!$A$5:$K$12,2)</f>
        <v>Bowling Jugend Bayern 1</v>
      </c>
      <c r="L176" s="438"/>
      <c r="M176" s="396"/>
      <c r="N176" s="395" t="str">
        <f>VLOOKUP(N175,Schlüssel!$A$5:$K$12,2)</f>
        <v>Highroller Rosenheim 3</v>
      </c>
      <c r="O176" s="438"/>
      <c r="P176" s="396"/>
      <c r="Q176" s="395" t="str">
        <f>VLOOKUP(Q175,Schlüssel!$A$5:$K$12,2)</f>
        <v>EMAX 1</v>
      </c>
      <c r="R176" s="438"/>
      <c r="S176" s="396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" customHeight="1">
      <c r="B178" s="417" t="s">
        <v>2275</v>
      </c>
      <c r="C178" s="418"/>
      <c r="D178" s="419"/>
      <c r="E178" s="431">
        <f>ABS(INDEX(F:F,MATCH(E175,$B:$B,0)+5)+INDEX(F:F,MATCH(E175,$B:$B,0)+6)+INDEX(F:F,MATCH(E175,$B:$B,0)+7))</f>
        <v>153</v>
      </c>
      <c r="F178" s="432"/>
      <c r="G178" s="433"/>
      <c r="H178" s="431">
        <f>ABS(INDEX(I:I,MATCH(H175,$B:$B,0)+5)+INDEX(I:I,MATCH(H175,$B:$B,0)+6)+INDEX(I:I,MATCH(H175,$B:$B,0)+7))</f>
        <v>175</v>
      </c>
      <c r="I178" s="432"/>
      <c r="J178" s="433"/>
      <c r="K178" s="431">
        <f>ABS(INDEX(L:L,MATCH(K175,$B:$B,0)+5)+INDEX(L:L,MATCH(K175,$B:$B,0)+6)+INDEX(L:L,MATCH(K175,$B:$B,0)+7))</f>
        <v>171</v>
      </c>
      <c r="L178" s="432"/>
      <c r="M178" s="433"/>
      <c r="N178" s="431">
        <f>ABS(INDEX(O:O,MATCH(N175,$B:$B,0)+5)+INDEX(O:O,MATCH(N175,$B:$B,0)+6)+INDEX(O:O,MATCH(N175,$B:$B,0)+7))</f>
        <v>144</v>
      </c>
      <c r="O178" s="432"/>
      <c r="P178" s="433"/>
      <c r="Q178" s="431">
        <f>ABS(INDEX(R:R,MATCH(Q175,$B:$B,0)+5)+INDEX(R:R,MATCH(Q175,$B:$B,0)+6)+INDEX(R:R,MATCH(Q175,$B:$B,0)+7))</f>
        <v>146</v>
      </c>
      <c r="R178" s="432"/>
      <c r="S178" s="433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" customHeight="1">
      <c r="B179" s="417" t="s">
        <v>2276</v>
      </c>
      <c r="C179" s="418"/>
      <c r="D179" s="419"/>
      <c r="E179" s="424">
        <f>ABS(INDEX(F:F,MATCH(E175,$B:$B,0)+8)+INDEX(F:F,MATCH(E175,$B:$B,0)+9)+INDEX(F:F,MATCH(E175,$B:$B,0)+10))</f>
        <v>115</v>
      </c>
      <c r="F179" s="425"/>
      <c r="G179" s="426"/>
      <c r="H179" s="424">
        <f>ABS(INDEX(I:I,MATCH(H175,$B:$B,0)+8)+INDEX(I:I,MATCH(H175,$B:$B,0)+9)+INDEX(I:I,MATCH(H175,$B:$B,0)+10))</f>
        <v>129</v>
      </c>
      <c r="I179" s="425"/>
      <c r="J179" s="426"/>
      <c r="K179" s="424">
        <f>ABS(INDEX(L:L,MATCH(K175,$B:$B,0)+8)+INDEX(L:L,MATCH(K175,$B:$B,0)+9)+INDEX(L:L,MATCH(K175,$B:$B,0)+10))</f>
        <v>150</v>
      </c>
      <c r="L179" s="425"/>
      <c r="M179" s="426"/>
      <c r="N179" s="424">
        <f>ABS(INDEX(O:O,MATCH(N175,$B:$B,0)+8)+INDEX(O:O,MATCH(N175,$B:$B,0)+9)+INDEX(O:O,MATCH(N175,$B:$B,0)+10))</f>
        <v>119</v>
      </c>
      <c r="O179" s="425"/>
      <c r="P179" s="426"/>
      <c r="Q179" s="424">
        <f>ABS(INDEX(R:R,MATCH(Q175,$B:$B,0)+8)+INDEX(R:R,MATCH(Q175,$B:$B,0)+9)+INDEX(R:R,MATCH(Q175,$B:$B,0)+10))</f>
        <v>177</v>
      </c>
      <c r="R179" s="425"/>
      <c r="S179" s="426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" customHeight="1">
      <c r="B180" s="417" t="s">
        <v>2277</v>
      </c>
      <c r="C180" s="418"/>
      <c r="D180" s="419"/>
      <c r="E180" s="424">
        <f>ABS(INDEX(F:F,MATCH(E175,$B:$B,0)+11)+INDEX(F:F,MATCH(E175,$B:$B,0)+12)+INDEX(F:F,MATCH(E175,$B:$B,0)+13))</f>
        <v>128</v>
      </c>
      <c r="F180" s="425"/>
      <c r="G180" s="426"/>
      <c r="H180" s="424">
        <f>ABS(INDEX(I:I,MATCH(H175,$B:$B,0)+11)+INDEX(I:I,MATCH(H175,$B:$B,0)+12)+INDEX(I:I,MATCH(H175,$B:$B,0)+13))</f>
        <v>143</v>
      </c>
      <c r="I180" s="425"/>
      <c r="J180" s="426"/>
      <c r="K180" s="424">
        <f>ABS(INDEX(L:L,MATCH(K175,$B:$B,0)+11)+INDEX(L:L,MATCH(K175,$B:$B,0)+12)+INDEX(L:L,MATCH(K175,$B:$B,0)+13))</f>
        <v>116</v>
      </c>
      <c r="L180" s="425"/>
      <c r="M180" s="426"/>
      <c r="N180" s="424">
        <f>ABS(INDEX(O:O,MATCH(N175,$B:$B,0)+11)+INDEX(O:O,MATCH(N175,$B:$B,0)+12)+INDEX(O:O,MATCH(N175,$B:$B,0)+13))</f>
        <v>158</v>
      </c>
      <c r="O180" s="425"/>
      <c r="P180" s="426"/>
      <c r="Q180" s="424">
        <f>ABS(INDEX(R:R,MATCH(Q175,$B:$B,0)+11)+INDEX(R:R,MATCH(Q175,$B:$B,0)+12)+INDEX(R:R,MATCH(Q175,$B:$B,0)+13))</f>
        <v>116</v>
      </c>
      <c r="R180" s="425"/>
      <c r="S180" s="426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" customHeight="1">
      <c r="B181" s="420" t="s">
        <v>2278</v>
      </c>
      <c r="C181" s="421"/>
      <c r="D181" s="422"/>
      <c r="E181" s="407">
        <f>SUM(E178:E180)</f>
        <v>396</v>
      </c>
      <c r="F181" s="423"/>
      <c r="G181" s="408"/>
      <c r="H181" s="407">
        <f>SUM(H178:H180)</f>
        <v>447</v>
      </c>
      <c r="I181" s="423"/>
      <c r="J181" s="408"/>
      <c r="K181" s="407">
        <f>SUM(K178:K180)</f>
        <v>437</v>
      </c>
      <c r="L181" s="423"/>
      <c r="M181" s="408"/>
      <c r="N181" s="407">
        <f>SUM(N178:N180)</f>
        <v>421</v>
      </c>
      <c r="O181" s="423"/>
      <c r="P181" s="408"/>
      <c r="Q181" s="407">
        <f>SUM(Q178:Q180)</f>
        <v>439</v>
      </c>
      <c r="R181" s="423"/>
      <c r="S181" s="408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>
      <c r="A183" s="255"/>
      <c r="B183" s="7" t="s">
        <v>1802</v>
      </c>
      <c r="C183" s="24"/>
      <c r="D183" s="24"/>
      <c r="E183" s="35" t="s">
        <v>1786</v>
      </c>
      <c r="F183" s="35"/>
      <c r="G183" s="427" t="str">
        <f>Schlüssel!$C$1</f>
        <v>Landesliga Jugend</v>
      </c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06">
        <f>Schlüssel!$BU$1</f>
        <v>45787</v>
      </c>
      <c r="T183" s="406"/>
      <c r="U183" s="406"/>
      <c r="V183" s="406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>
      <c r="A184" s="53"/>
      <c r="B184" s="54">
        <v>8</v>
      </c>
      <c r="E184" s="35" t="s">
        <v>1787</v>
      </c>
      <c r="F184" s="35"/>
      <c r="G184" s="413" t="str">
        <f>Schlüssel!$BK$2</f>
        <v>Bad Tölz Flint Bowling</v>
      </c>
      <c r="H184" s="413"/>
      <c r="I184" s="413"/>
      <c r="J184" s="413"/>
      <c r="K184" s="413"/>
      <c r="L184" s="413"/>
      <c r="M184" s="413"/>
      <c r="N184" s="413"/>
      <c r="O184" s="413"/>
      <c r="P184" s="66"/>
      <c r="Q184" s="411" t="s">
        <v>1785</v>
      </c>
      <c r="R184" s="412"/>
      <c r="S184" s="38">
        <v>4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>
      <c r="B185" s="414" t="str">
        <f>VLOOKUP(B184,Schlüssel!$A$5:$B$12,2)</f>
        <v>EMAX 1</v>
      </c>
      <c r="C185" s="415"/>
      <c r="D185" s="415"/>
      <c r="E185" s="415"/>
      <c r="F185" s="415"/>
      <c r="G185" s="416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3.8" hidden="1" thickBot="1">
      <c r="A186" s="6"/>
      <c r="B186" s="7"/>
      <c r="C186" s="43"/>
      <c r="D186" s="43"/>
      <c r="E186" s="162" t="s">
        <v>10</v>
      </c>
      <c r="F186" s="220"/>
      <c r="G186" s="159">
        <f>VLOOKUP(B184,Schlüssel!$A$5:$EK$12,73)</f>
        <v>6</v>
      </c>
      <c r="H186" s="161" t="s">
        <v>10</v>
      </c>
      <c r="I186" s="220"/>
      <c r="J186" s="159">
        <f>VLOOKUP(B184,Schlüssel!$A$5:$EK$12,74)</f>
        <v>7</v>
      </c>
      <c r="K186" s="161" t="s">
        <v>10</v>
      </c>
      <c r="L186" s="220"/>
      <c r="M186" s="159">
        <f>VLOOKUP(B184,Schlüssel!$A$5:$EK$12,75)</f>
        <v>2</v>
      </c>
      <c r="N186" s="161" t="s">
        <v>10</v>
      </c>
      <c r="O186" s="220"/>
      <c r="P186" s="159">
        <f>VLOOKUP(B184,Schlüssel!$A$5:$EK$12,76)</f>
        <v>8</v>
      </c>
      <c r="Q186" s="161" t="s">
        <v>10</v>
      </c>
      <c r="R186" s="220"/>
      <c r="S186" s="160">
        <f>VLOOKUP(B184,Schlüssel!$A$5:$EK$12,77)</f>
        <v>5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>
      <c r="B187" s="44" t="s">
        <v>1</v>
      </c>
      <c r="C187" s="208"/>
      <c r="D187" s="217"/>
      <c r="E187" s="423" t="s">
        <v>1793</v>
      </c>
      <c r="F187" s="423"/>
      <c r="G187" s="408"/>
      <c r="H187" s="407" t="s">
        <v>1794</v>
      </c>
      <c r="I187" s="423"/>
      <c r="J187" s="408"/>
      <c r="K187" s="407" t="s">
        <v>1795</v>
      </c>
      <c r="L187" s="423"/>
      <c r="M187" s="408"/>
      <c r="N187" s="407" t="s">
        <v>1796</v>
      </c>
      <c r="O187" s="423"/>
      <c r="P187" s="408"/>
      <c r="Q187" s="407" t="s">
        <v>1797</v>
      </c>
      <c r="R187" s="423"/>
      <c r="S187" s="437"/>
      <c r="T187" s="439" t="s">
        <v>1792</v>
      </c>
      <c r="U187" s="440"/>
      <c r="V187" s="410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6.95" customHeight="1">
      <c r="A189" s="403" t="s">
        <v>0</v>
      </c>
      <c r="B189" s="58" t="str">
        <f>IF(C189=0,"",VLOOKUP(C189,Starter!$A$1:$D$196,2,FALSE))</f>
        <v>Mrosek, Laura Maria</v>
      </c>
      <c r="C189" s="232">
        <v>38785</v>
      </c>
      <c r="D189" s="238">
        <f t="shared" ref="D189:D197" si="169">+AP189</f>
        <v>50</v>
      </c>
      <c r="E189" s="221">
        <v>95</v>
      </c>
      <c r="F189" s="240">
        <f t="shared" ref="F189:F197" si="170">IF(E189&gt;0,E189+$D189,0)</f>
        <v>145</v>
      </c>
      <c r="G189" s="428">
        <f>IF(SUM(F189:F191)+E204=0,0,IF(ABS(SUM(F189:F191))=E204,Spielorte!$A$30/2,IF(ABS(SUM(F189:F191))&gt;E204,Spielorte!$A$30,0)))</f>
        <v>1</v>
      </c>
      <c r="H189" s="221">
        <v>116</v>
      </c>
      <c r="I189" s="240">
        <f t="shared" ref="I189:I197" si="171">IF(H189&gt;0,H189+$D189,0)</f>
        <v>166</v>
      </c>
      <c r="J189" s="428">
        <f>IF(SUM(I189:I191)+H204=0,0,IF(ABS(SUM(I189:I191))=H204,Spielorte!$A$30/2,IF(ABS(SUM(I189:I191))&gt;H204,Spielorte!$A$30,0)))</f>
        <v>1</v>
      </c>
      <c r="K189" s="221">
        <v>89</v>
      </c>
      <c r="L189" s="240">
        <f t="shared" ref="L189:L197" si="172">IF(K189&gt;0,K189+$D189,0)</f>
        <v>139</v>
      </c>
      <c r="M189" s="428">
        <f>IF(SUM(L189:L191)+K204=0,0,IF(ABS(SUM(L189:L191))=K204,Spielorte!$A$30/2,IF(ABS(SUM(L189:L191))&gt;K204,Spielorte!$A$30,0)))</f>
        <v>0</v>
      </c>
      <c r="N189" s="221">
        <v>172</v>
      </c>
      <c r="O189" s="240">
        <f t="shared" ref="O189:O197" si="173">IF(N189&gt;0,N189+$D189,0)</f>
        <v>222</v>
      </c>
      <c r="P189" s="428">
        <f>IF(SUM(O189:O191)+N204=0,0,IF(ABS(SUM(O189:O191))=N204,Spielorte!$A$30/2,IF(ABS(SUM(O189:O191))&gt;N204,Spielorte!$A$30,0)))</f>
        <v>1</v>
      </c>
      <c r="Q189" s="221">
        <v>96</v>
      </c>
      <c r="R189" s="240">
        <f t="shared" ref="R189:R197" si="174">IF(Q189&gt;0,Q189+$D189,0)</f>
        <v>146</v>
      </c>
      <c r="S189" s="428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568</v>
      </c>
      <c r="U189" s="240">
        <f t="shared" ref="U189:U197" si="176">ABS(SUM(F189:F189))+ABS(SUM(I189:I189))+ABS(SUM(L189:L189))+ABS(SUM(O189:O189))+ABS(SUM(R189:R189))</f>
        <v>818</v>
      </c>
      <c r="V189" s="400">
        <f>SUM(G189+J189+M189+P189+S189)</f>
        <v>3</v>
      </c>
      <c r="W189" s="79"/>
      <c r="X189" s="79"/>
      <c r="Y189" s="79"/>
      <c r="Z189" s="79"/>
      <c r="AA189" s="79"/>
      <c r="AB189" s="79"/>
      <c r="AL189" s="169">
        <f>IF(AU189=0,0,IFERROR(INDEX(RanglisteST4!K:K,MATCH(AU189,RanglisteST4!A:A,0)),0))</f>
        <v>97.67</v>
      </c>
      <c r="AM189" s="169">
        <f>IF(AU189=0,0,SUMIF(AU189:AU197,AU189,AV189:AV197))</f>
        <v>568</v>
      </c>
      <c r="AN189" s="169">
        <f>IF(AU189=0,0,SUMIF(AU189:AU197,AU189,AW189:AW197))</f>
        <v>5</v>
      </c>
      <c r="AO189" s="169">
        <f t="shared" ref="AO189:AO197" si="177">IFERROR(AM189/AN189,0)</f>
        <v>113.6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50</v>
      </c>
      <c r="AQ189" s="166"/>
      <c r="AR189" s="167"/>
      <c r="AS189" s="167"/>
      <c r="AT189" s="168"/>
      <c r="AU189" s="171">
        <f t="shared" ref="AU189:AU197" si="178">C189</f>
        <v>38785</v>
      </c>
      <c r="AV189" s="167">
        <f t="shared" ref="AV189:AV197" si="179">T189</f>
        <v>568</v>
      </c>
      <c r="AW189" s="169">
        <f t="shared" ref="AW189:AW197" si="180">COUNT(AY189:BC189)</f>
        <v>5</v>
      </c>
      <c r="AX189" s="169">
        <f t="shared" ref="AX189:AX197" si="181">COUNTIF(AY189:BC189,"&gt;0")</f>
        <v>5</v>
      </c>
      <c r="AY189" s="169">
        <f t="shared" ref="AY189:AY197" si="182">IF(E189=0,"",E189)</f>
        <v>95</v>
      </c>
      <c r="AZ189" s="169">
        <f t="shared" ref="AZ189:AZ197" si="183">IF(H189=0,"",H189)</f>
        <v>116</v>
      </c>
      <c r="BA189" s="169">
        <f t="shared" ref="BA189:BA197" si="184">IF(K189=0,"",K189)</f>
        <v>89</v>
      </c>
      <c r="BB189" s="169">
        <f t="shared" ref="BB189:BB197" si="185">IF(N189=0,"",N189)</f>
        <v>172</v>
      </c>
      <c r="BC189" s="169">
        <f t="shared" ref="BC189:BC197" si="186">IF(Q189=0,"",Q189)</f>
        <v>96</v>
      </c>
      <c r="BD189" s="170"/>
      <c r="BE189" s="168"/>
      <c r="BF189" s="169">
        <f t="shared" ref="BF189:BF197" si="187">MAX(AY189:BC189)</f>
        <v>172</v>
      </c>
      <c r="BG189" s="169">
        <f t="shared" ref="BG189:BG197" si="188">IF(BF189&lt;MAX(BF:BF),0,BF189+ROW()/1000000000)</f>
        <v>0</v>
      </c>
      <c r="BH189" s="169" t="str">
        <f>+B185</f>
        <v>EMAX 1</v>
      </c>
      <c r="BI189" s="168">
        <f t="shared" ref="BI189:BI197" si="189">RANK(BG189,BG:BG)</f>
        <v>2</v>
      </c>
      <c r="BJ189" s="169">
        <f t="shared" ref="BJ189:BJ197" si="190">SUMIF(AY189:BC189,"&gt;0")</f>
        <v>568</v>
      </c>
      <c r="BK189" s="169">
        <f>IF(COUNTIF(AY189:BC189,"&gt;0")&lt;Spielorte!$A$23,0,AV189/Spielorte!$A$23)</f>
        <v>113.6</v>
      </c>
      <c r="BL189" s="169">
        <f t="shared" ref="BL189:BL197" si="191">IF(BK189&lt;MAX(BK:BK),0,BK189+ROW()/1000000000)</f>
        <v>0</v>
      </c>
      <c r="BM189" s="168">
        <f t="shared" ref="BM189:BM197" si="192">IF(BL189=0,0,RANK(BL189,BL:BL))</f>
        <v>0</v>
      </c>
    </row>
    <row r="190" spans="1:65" ht="16.95" customHeight="1">
      <c r="A190" s="404"/>
      <c r="B190" s="58" t="str">
        <f>IF(C190=0,"",VLOOKUP(C190,Starter!$A$1:$D$196,2,FALSE))</f>
        <v/>
      </c>
      <c r="C190" s="233"/>
      <c r="D190" s="239">
        <f t="shared" si="169"/>
        <v>0</v>
      </c>
      <c r="E190" s="222"/>
      <c r="F190" s="241">
        <f t="shared" si="170"/>
        <v>0</v>
      </c>
      <c r="G190" s="429"/>
      <c r="H190" s="222"/>
      <c r="I190" s="241">
        <f t="shared" si="171"/>
        <v>0</v>
      </c>
      <c r="J190" s="429"/>
      <c r="K190" s="222"/>
      <c r="L190" s="241">
        <f t="shared" si="172"/>
        <v>0</v>
      </c>
      <c r="M190" s="429"/>
      <c r="N190" s="222"/>
      <c r="O190" s="241">
        <f t="shared" si="173"/>
        <v>0</v>
      </c>
      <c r="P190" s="429"/>
      <c r="Q190" s="222"/>
      <c r="R190" s="241">
        <f t="shared" si="174"/>
        <v>0</v>
      </c>
      <c r="S190" s="429"/>
      <c r="T190" s="222">
        <f t="shared" si="175"/>
        <v>0</v>
      </c>
      <c r="U190" s="241">
        <f t="shared" si="176"/>
        <v>0</v>
      </c>
      <c r="V190" s="401"/>
      <c r="W190" s="79"/>
      <c r="X190" s="79"/>
      <c r="Y190" s="79"/>
      <c r="Z190" s="79"/>
      <c r="AA190" s="79"/>
      <c r="AB190" s="79"/>
      <c r="AL190" s="169">
        <f>IF(AU190=0,0,IFERROR(INDEX(RanglisteST4!K:K,MATCH(AU190,RanglisteST4!A:A,0)),0))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7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8"/>
        <v>0</v>
      </c>
      <c r="AV190" s="167">
        <f t="shared" si="179"/>
        <v>0</v>
      </c>
      <c r="AW190" s="169">
        <f t="shared" si="180"/>
        <v>0</v>
      </c>
      <c r="AX190" s="169">
        <f t="shared" si="181"/>
        <v>0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 t="str">
        <f t="shared" si="185"/>
        <v/>
      </c>
      <c r="BC190" s="169" t="str">
        <f t="shared" si="186"/>
        <v/>
      </c>
      <c r="BD190" s="170"/>
      <c r="BE190" s="168"/>
      <c r="BF190" s="169">
        <f t="shared" si="187"/>
        <v>0</v>
      </c>
      <c r="BG190" s="169">
        <f t="shared" si="188"/>
        <v>0</v>
      </c>
      <c r="BH190" s="169" t="str">
        <f t="shared" ref="BH190:BH197" si="193">+BH189</f>
        <v>EMAX 1</v>
      </c>
      <c r="BI190" s="168">
        <f t="shared" si="189"/>
        <v>2</v>
      </c>
      <c r="BJ190" s="169">
        <f t="shared" si="190"/>
        <v>0</v>
      </c>
      <c r="BK190" s="169">
        <f>IF(COUNTIF(AY190:BC190,"&gt;0")&lt;Spielorte!$A$23,0,AV190/Spielorte!$A$23)</f>
        <v>0</v>
      </c>
      <c r="BL190" s="169">
        <f t="shared" si="191"/>
        <v>0</v>
      </c>
      <c r="BM190" s="168">
        <f t="shared" si="192"/>
        <v>0</v>
      </c>
    </row>
    <row r="191" spans="1:65" ht="16.95" customHeight="1" thickBot="1">
      <c r="A191" s="405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30"/>
      <c r="H191" s="224"/>
      <c r="I191" s="242">
        <f t="shared" si="171"/>
        <v>0</v>
      </c>
      <c r="J191" s="430"/>
      <c r="K191" s="224"/>
      <c r="L191" s="242">
        <f t="shared" si="172"/>
        <v>0</v>
      </c>
      <c r="M191" s="430"/>
      <c r="N191" s="224"/>
      <c r="O191" s="242">
        <f t="shared" si="173"/>
        <v>0</v>
      </c>
      <c r="P191" s="430"/>
      <c r="Q191" s="224"/>
      <c r="R191" s="242">
        <f t="shared" si="174"/>
        <v>0</v>
      </c>
      <c r="S191" s="430"/>
      <c r="T191" s="224">
        <f t="shared" si="175"/>
        <v>0</v>
      </c>
      <c r="U191" s="242">
        <f t="shared" si="176"/>
        <v>0</v>
      </c>
      <c r="V191" s="402"/>
      <c r="W191" s="79"/>
      <c r="X191" s="79"/>
      <c r="Y191" s="79"/>
      <c r="Z191" s="79"/>
      <c r="AA191" s="79"/>
      <c r="AB191" s="79"/>
      <c r="AL191" s="169">
        <f>IF(AU191=0,0,IFERROR(INDEX(RanglisteST4!K:K,MATCH(AU191,RanglisteST4!A:A,0)),0))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0</v>
      </c>
      <c r="BH191" s="169" t="str">
        <f t="shared" si="193"/>
        <v>EMAX 1</v>
      </c>
      <c r="BI191" s="168">
        <f t="shared" si="189"/>
        <v>2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0</v>
      </c>
      <c r="BM191" s="168">
        <f t="shared" si="192"/>
        <v>0</v>
      </c>
    </row>
    <row r="192" spans="1:65" ht="16.95" customHeight="1">
      <c r="A192" s="403" t="s">
        <v>2</v>
      </c>
      <c r="B192" s="58" t="str">
        <f>IF(C192=0,"",VLOOKUP(C192,Starter!$A$1:$D$196,2,FALSE))</f>
        <v>Hofer, Anja</v>
      </c>
      <c r="C192" s="235">
        <v>38890</v>
      </c>
      <c r="D192" s="238">
        <f t="shared" si="169"/>
        <v>54</v>
      </c>
      <c r="E192" s="221">
        <v>55</v>
      </c>
      <c r="F192" s="240">
        <f t="shared" si="170"/>
        <v>109</v>
      </c>
      <c r="G192" s="428">
        <f>IF(SUM(F192:F194)+E205=0,0,IF(ABS(SUM(F192:F194))=E205,Spielorte!$A$30/2,IF(ABS(SUM(F192:F194))&gt;E205,Spielorte!$A$30,0)))</f>
        <v>0</v>
      </c>
      <c r="H192" s="221">
        <v>109</v>
      </c>
      <c r="I192" s="240">
        <f t="shared" si="171"/>
        <v>163</v>
      </c>
      <c r="J192" s="428">
        <f>IF(SUM(I192:I194)+H205=0,0,IF(ABS(SUM(I192:I194))=H205,Spielorte!$A$30/2,IF(ABS(SUM(I192:I194))&gt;H205,Spielorte!$A$30,0)))</f>
        <v>1</v>
      </c>
      <c r="K192" s="221">
        <v>78</v>
      </c>
      <c r="L192" s="240">
        <f t="shared" si="172"/>
        <v>132</v>
      </c>
      <c r="M192" s="428">
        <f>IF(SUM(L192:L194)+K205=0,0,IF(ABS(SUM(L192:L194))=K205,Spielorte!$A$30/2,IF(ABS(SUM(L192:L194))&gt;K205,Spielorte!$A$30,0)))</f>
        <v>0</v>
      </c>
      <c r="N192" s="221">
        <v>77</v>
      </c>
      <c r="O192" s="240">
        <f t="shared" si="173"/>
        <v>131</v>
      </c>
      <c r="P192" s="428">
        <f>IF(SUM(O192:O194)+N205=0,0,IF(ABS(SUM(O192:O194))=N205,Spielorte!$A$30/2,IF(ABS(SUM(O192:O194))&gt;N205,Spielorte!$A$30,0)))</f>
        <v>0</v>
      </c>
      <c r="Q192" s="221">
        <v>123</v>
      </c>
      <c r="R192" s="240">
        <f t="shared" si="174"/>
        <v>177</v>
      </c>
      <c r="S192" s="428">
        <f>IF(SUM(R192:R194)+Q205=0,0,IF(ABS(SUM(R192:R194))=Q205,Spielorte!$A$30/2,IF(ABS(SUM(R192:R194))&gt;Q205,Spielorte!$A$30,0)))</f>
        <v>1</v>
      </c>
      <c r="T192" s="221">
        <f t="shared" si="175"/>
        <v>442</v>
      </c>
      <c r="U192" s="240">
        <f t="shared" si="176"/>
        <v>712</v>
      </c>
      <c r="V192" s="400">
        <f>SUM(G192+J192+M192+P192+S192)</f>
        <v>2</v>
      </c>
      <c r="W192" s="79"/>
      <c r="X192" s="79"/>
      <c r="Y192" s="79"/>
      <c r="Z192" s="79"/>
      <c r="AA192" s="79"/>
      <c r="AB192" s="79"/>
      <c r="AL192" s="169">
        <f>IF(AU192=0,0,IFERROR(INDEX(RanglisteST4!K:K,MATCH(AU192,RanglisteST4!A:A,0)),0))</f>
        <v>92.77</v>
      </c>
      <c r="AM192" s="169">
        <f>IF(AU192=0,0,SUMIF(AU189:AU197,AU192,AV189:AV197))</f>
        <v>442</v>
      </c>
      <c r="AN192" s="169">
        <f>IF(AU192=0,0,SUMIF(AU189:AU197,AU192,AW189:AW197))</f>
        <v>5</v>
      </c>
      <c r="AO192" s="169">
        <f t="shared" si="177"/>
        <v>88.4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54</v>
      </c>
      <c r="AQ192" s="166"/>
      <c r="AR192" s="167"/>
      <c r="AS192" s="167"/>
      <c r="AT192" s="168"/>
      <c r="AU192" s="171">
        <f t="shared" si="178"/>
        <v>38890</v>
      </c>
      <c r="AV192" s="167">
        <f t="shared" si="179"/>
        <v>442</v>
      </c>
      <c r="AW192" s="169">
        <f t="shared" si="180"/>
        <v>5</v>
      </c>
      <c r="AX192" s="169">
        <f t="shared" si="181"/>
        <v>5</v>
      </c>
      <c r="AY192" s="169">
        <f t="shared" si="182"/>
        <v>55</v>
      </c>
      <c r="AZ192" s="169">
        <f t="shared" si="183"/>
        <v>109</v>
      </c>
      <c r="BA192" s="169">
        <f t="shared" si="184"/>
        <v>78</v>
      </c>
      <c r="BB192" s="169">
        <f t="shared" si="185"/>
        <v>77</v>
      </c>
      <c r="BC192" s="169">
        <f t="shared" si="186"/>
        <v>123</v>
      </c>
      <c r="BD192" s="170"/>
      <c r="BE192" s="168"/>
      <c r="BF192" s="169">
        <f t="shared" si="187"/>
        <v>123</v>
      </c>
      <c r="BG192" s="169">
        <f t="shared" si="188"/>
        <v>0</v>
      </c>
      <c r="BH192" s="169" t="str">
        <f t="shared" si="193"/>
        <v>EMAX 1</v>
      </c>
      <c r="BI192" s="168">
        <f t="shared" si="189"/>
        <v>2</v>
      </c>
      <c r="BJ192" s="169">
        <f t="shared" si="190"/>
        <v>442</v>
      </c>
      <c r="BK192" s="169">
        <f>IF(COUNTIF(AY192:BC192,"&gt;0")&lt;Spielorte!$A$23,0,AV192/Spielorte!$A$23)</f>
        <v>88.4</v>
      </c>
      <c r="BL192" s="169">
        <f t="shared" si="191"/>
        <v>0</v>
      </c>
      <c r="BM192" s="168">
        <f t="shared" si="192"/>
        <v>0</v>
      </c>
    </row>
    <row r="193" spans="1:65" ht="16.95" customHeight="1">
      <c r="A193" s="404"/>
      <c r="B193" s="58" t="str">
        <f>IF(C193=0,"",VLOOKUP(C193,Starter!$A$1:$D$196,2,FALSE))</f>
        <v/>
      </c>
      <c r="C193" s="233"/>
      <c r="D193" s="239">
        <f t="shared" si="169"/>
        <v>0</v>
      </c>
      <c r="E193" s="222"/>
      <c r="F193" s="241">
        <f t="shared" si="170"/>
        <v>0</v>
      </c>
      <c r="G193" s="429"/>
      <c r="H193" s="222"/>
      <c r="I193" s="241">
        <f t="shared" si="171"/>
        <v>0</v>
      </c>
      <c r="J193" s="429"/>
      <c r="K193" s="222"/>
      <c r="L193" s="241">
        <f t="shared" si="172"/>
        <v>0</v>
      </c>
      <c r="M193" s="429"/>
      <c r="N193" s="222"/>
      <c r="O193" s="241">
        <f t="shared" si="173"/>
        <v>0</v>
      </c>
      <c r="P193" s="429"/>
      <c r="Q193" s="222"/>
      <c r="R193" s="241">
        <f t="shared" si="174"/>
        <v>0</v>
      </c>
      <c r="S193" s="429"/>
      <c r="T193" s="222">
        <f t="shared" si="175"/>
        <v>0</v>
      </c>
      <c r="U193" s="241">
        <f t="shared" si="176"/>
        <v>0</v>
      </c>
      <c r="V193" s="401"/>
      <c r="W193" s="79"/>
      <c r="X193" s="79"/>
      <c r="Y193" s="79"/>
      <c r="Z193" s="79"/>
      <c r="AA193" s="79"/>
      <c r="AB193" s="79"/>
      <c r="AL193" s="169">
        <f>IF(AU193=0,0,IFERROR(INDEX(RanglisteST4!K:K,MATCH(AU193,RanglisteST4!A:A,0)),0))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7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8"/>
        <v>0</v>
      </c>
      <c r="AV193" s="167">
        <f t="shared" si="179"/>
        <v>0</v>
      </c>
      <c r="AW193" s="169">
        <f t="shared" si="180"/>
        <v>0</v>
      </c>
      <c r="AX193" s="169">
        <f t="shared" si="181"/>
        <v>0</v>
      </c>
      <c r="AY193" s="169" t="str">
        <f t="shared" si="182"/>
        <v/>
      </c>
      <c r="AZ193" s="169" t="str">
        <f t="shared" si="183"/>
        <v/>
      </c>
      <c r="BA193" s="169" t="str">
        <f t="shared" si="184"/>
        <v/>
      </c>
      <c r="BB193" s="169" t="str">
        <f t="shared" si="185"/>
        <v/>
      </c>
      <c r="BC193" s="169" t="str">
        <f t="shared" si="186"/>
        <v/>
      </c>
      <c r="BD193" s="170"/>
      <c r="BE193" s="168"/>
      <c r="BF193" s="169">
        <f t="shared" si="187"/>
        <v>0</v>
      </c>
      <c r="BG193" s="169">
        <f t="shared" si="188"/>
        <v>0</v>
      </c>
      <c r="BH193" s="169" t="str">
        <f t="shared" si="193"/>
        <v>EMAX 1</v>
      </c>
      <c r="BI193" s="168">
        <f t="shared" si="189"/>
        <v>2</v>
      </c>
      <c r="BJ193" s="169">
        <f t="shared" si="190"/>
        <v>0</v>
      </c>
      <c r="BK193" s="169">
        <f>IF(COUNTIF(AY193:BC193,"&gt;0")&lt;Spielorte!$A$23,0,AV193/Spielorte!$A$23)</f>
        <v>0</v>
      </c>
      <c r="BL193" s="169">
        <f t="shared" si="191"/>
        <v>0</v>
      </c>
      <c r="BM193" s="168">
        <f t="shared" si="192"/>
        <v>0</v>
      </c>
    </row>
    <row r="194" spans="1:65" ht="16.95" customHeight="1" thickBot="1">
      <c r="A194" s="405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30"/>
      <c r="H194" s="224"/>
      <c r="I194" s="242">
        <f t="shared" si="171"/>
        <v>0</v>
      </c>
      <c r="J194" s="430"/>
      <c r="K194" s="224"/>
      <c r="L194" s="242">
        <f t="shared" si="172"/>
        <v>0</v>
      </c>
      <c r="M194" s="430"/>
      <c r="N194" s="224"/>
      <c r="O194" s="242">
        <f t="shared" si="173"/>
        <v>0</v>
      </c>
      <c r="P194" s="430"/>
      <c r="Q194" s="224"/>
      <c r="R194" s="242">
        <f t="shared" si="174"/>
        <v>0</v>
      </c>
      <c r="S194" s="430"/>
      <c r="T194" s="224">
        <f t="shared" si="175"/>
        <v>0</v>
      </c>
      <c r="U194" s="242">
        <f t="shared" si="176"/>
        <v>0</v>
      </c>
      <c r="V194" s="402"/>
      <c r="W194" s="79"/>
      <c r="X194" s="79"/>
      <c r="Y194" s="79"/>
      <c r="Z194" s="79"/>
      <c r="AA194" s="79"/>
      <c r="AB194" s="79"/>
      <c r="AL194" s="169">
        <f>IF(AU194=0,0,IFERROR(INDEX(RanglisteST4!K:K,MATCH(AU194,RanglisteST4!A:A,0)),0))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0</v>
      </c>
      <c r="BH194" s="169" t="str">
        <f t="shared" si="193"/>
        <v>EMAX 1</v>
      </c>
      <c r="BI194" s="168">
        <f t="shared" si="189"/>
        <v>2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0</v>
      </c>
      <c r="BM194" s="168">
        <f t="shared" si="192"/>
        <v>0</v>
      </c>
    </row>
    <row r="195" spans="1:65" ht="16.95" customHeight="1">
      <c r="A195" s="403" t="s">
        <v>3</v>
      </c>
      <c r="B195" s="58" t="str">
        <f>IF(C195=0,"",VLOOKUP(C195,Starter!$A$1:$D$196,2,FALSE))</f>
        <v>Vogt, Leonard</v>
      </c>
      <c r="C195" s="235">
        <v>38904</v>
      </c>
      <c r="D195" s="238">
        <f t="shared" si="169"/>
        <v>28</v>
      </c>
      <c r="E195" s="221">
        <v>90</v>
      </c>
      <c r="F195" s="240">
        <f t="shared" si="170"/>
        <v>118</v>
      </c>
      <c r="G195" s="428">
        <f>IF(SUM(F195:F197)+E206=0,0,IF(ABS(SUM(F195:F197))=E206,Spielorte!$A$30/2,IF(ABS(SUM(F195:F197))&gt;E206,Spielorte!$A$30,0)))</f>
        <v>0</v>
      </c>
      <c r="H195" s="221">
        <v>109</v>
      </c>
      <c r="I195" s="240">
        <f t="shared" si="171"/>
        <v>137</v>
      </c>
      <c r="J195" s="428">
        <f>IF(SUM(I195:I197)+H206=0,0,IF(ABS(SUM(I195:I197))=H206,Spielorte!$A$30/2,IF(ABS(SUM(I195:I197))&gt;H206,Spielorte!$A$30,0)))</f>
        <v>1</v>
      </c>
      <c r="K195" s="221">
        <v>95</v>
      </c>
      <c r="L195" s="240">
        <f t="shared" si="172"/>
        <v>123</v>
      </c>
      <c r="M195" s="428">
        <f>IF(SUM(L195:L197)+K206=0,0,IF(ABS(SUM(L195:L197))=K206,Spielorte!$A$30/2,IF(ABS(SUM(L195:L197))&gt;K206,Spielorte!$A$30,0)))</f>
        <v>0</v>
      </c>
      <c r="N195" s="221">
        <v>104</v>
      </c>
      <c r="O195" s="240">
        <f t="shared" si="173"/>
        <v>132</v>
      </c>
      <c r="P195" s="428">
        <f>IF(SUM(O195:O197)+N206=0,0,IF(ABS(SUM(O195:O197))=N206,Spielorte!$A$30/2,IF(ABS(SUM(O195:O197))&gt;N206,Spielorte!$A$30,0)))</f>
        <v>1</v>
      </c>
      <c r="Q195" s="221">
        <v>88</v>
      </c>
      <c r="R195" s="240">
        <f t="shared" si="174"/>
        <v>116</v>
      </c>
      <c r="S195" s="428">
        <f>IF(SUM(R195:R197)+Q206=0,0,IF(ABS(SUM(R195:R197))=Q206,Spielorte!$A$30/2,IF(ABS(SUM(R195:R197))&gt;Q206,Spielorte!$A$30,0)))</f>
        <v>0</v>
      </c>
      <c r="T195" s="221">
        <f t="shared" si="175"/>
        <v>486</v>
      </c>
      <c r="U195" s="240">
        <f t="shared" si="176"/>
        <v>626</v>
      </c>
      <c r="V195" s="400">
        <f>SUM(G195+J195+M195+P195+S195)</f>
        <v>2</v>
      </c>
      <c r="W195" s="79"/>
      <c r="X195" s="79"/>
      <c r="Y195" s="79"/>
      <c r="Z195" s="79"/>
      <c r="AA195" s="79"/>
      <c r="AB195" s="79"/>
      <c r="AL195" s="169">
        <f>IF(AU195=0,0,IFERROR(INDEX(RanglisteST4!K:K,MATCH(AU195,RanglisteST4!A:A,0)),0))</f>
        <v>125.39</v>
      </c>
      <c r="AM195" s="169">
        <f>IF(AU195=0,0,SUMIF(AU189:AU197,AU195,AV189:AV197))</f>
        <v>486</v>
      </c>
      <c r="AN195" s="169">
        <f>IF(AU195=0,0,SUMIF(AU189:AU197,AU195,AW189:AW197))</f>
        <v>5</v>
      </c>
      <c r="AO195" s="169">
        <f t="shared" si="177"/>
        <v>97.2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28</v>
      </c>
      <c r="AQ195" s="166"/>
      <c r="AR195" s="167"/>
      <c r="AS195" s="167"/>
      <c r="AT195" s="168"/>
      <c r="AU195" s="171">
        <f t="shared" si="178"/>
        <v>38904</v>
      </c>
      <c r="AV195" s="167">
        <f t="shared" si="179"/>
        <v>486</v>
      </c>
      <c r="AW195" s="169">
        <f t="shared" si="180"/>
        <v>5</v>
      </c>
      <c r="AX195" s="169">
        <f t="shared" si="181"/>
        <v>5</v>
      </c>
      <c r="AY195" s="169">
        <f t="shared" si="182"/>
        <v>90</v>
      </c>
      <c r="AZ195" s="169">
        <f t="shared" si="183"/>
        <v>109</v>
      </c>
      <c r="BA195" s="169">
        <f t="shared" si="184"/>
        <v>95</v>
      </c>
      <c r="BB195" s="169">
        <f t="shared" si="185"/>
        <v>104</v>
      </c>
      <c r="BC195" s="169">
        <f t="shared" si="186"/>
        <v>88</v>
      </c>
      <c r="BD195" s="170"/>
      <c r="BE195" s="168"/>
      <c r="BF195" s="169">
        <f t="shared" si="187"/>
        <v>109</v>
      </c>
      <c r="BG195" s="169">
        <f t="shared" si="188"/>
        <v>0</v>
      </c>
      <c r="BH195" s="169" t="str">
        <f t="shared" si="193"/>
        <v>EMAX 1</v>
      </c>
      <c r="BI195" s="168">
        <f t="shared" si="189"/>
        <v>2</v>
      </c>
      <c r="BJ195" s="169">
        <f t="shared" si="190"/>
        <v>486</v>
      </c>
      <c r="BK195" s="169">
        <f>IF(COUNTIF(AY195:BC195,"&gt;0")&lt;Spielorte!$A$23,0,AV195/Spielorte!$A$23)</f>
        <v>97.2</v>
      </c>
      <c r="BL195" s="169">
        <f t="shared" si="191"/>
        <v>0</v>
      </c>
      <c r="BM195" s="168">
        <f t="shared" si="192"/>
        <v>0</v>
      </c>
    </row>
    <row r="196" spans="1:65" ht="16.95" customHeight="1">
      <c r="A196" s="404"/>
      <c r="B196" s="58" t="str">
        <f>IF(C196=0,"",VLOOKUP(C196,Starter!$A$1:$D$196,2,FALSE))</f>
        <v/>
      </c>
      <c r="C196" s="233"/>
      <c r="D196" s="239">
        <f t="shared" si="169"/>
        <v>0</v>
      </c>
      <c r="E196" s="222"/>
      <c r="F196" s="241">
        <f t="shared" si="170"/>
        <v>0</v>
      </c>
      <c r="G196" s="429"/>
      <c r="H196" s="222"/>
      <c r="I196" s="241">
        <f t="shared" si="171"/>
        <v>0</v>
      </c>
      <c r="J196" s="429"/>
      <c r="K196" s="222"/>
      <c r="L196" s="241">
        <f t="shared" si="172"/>
        <v>0</v>
      </c>
      <c r="M196" s="429"/>
      <c r="N196" s="222"/>
      <c r="O196" s="241">
        <f t="shared" si="173"/>
        <v>0</v>
      </c>
      <c r="P196" s="429"/>
      <c r="Q196" s="222"/>
      <c r="R196" s="241">
        <f t="shared" si="174"/>
        <v>0</v>
      </c>
      <c r="S196" s="429"/>
      <c r="T196" s="222">
        <f t="shared" si="175"/>
        <v>0</v>
      </c>
      <c r="U196" s="241">
        <f t="shared" si="176"/>
        <v>0</v>
      </c>
      <c r="V196" s="401"/>
      <c r="W196" s="79"/>
      <c r="X196" s="79"/>
      <c r="Y196" s="79"/>
      <c r="Z196" s="79"/>
      <c r="AA196" s="79"/>
      <c r="AB196" s="79"/>
      <c r="AL196" s="169">
        <f>IF(AU196=0,0,IFERROR(INDEX(RanglisteST4!K:K,MATCH(AU196,RanglisteST4!A:A,0)),0))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7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8"/>
        <v>0</v>
      </c>
      <c r="AV196" s="167">
        <f t="shared" si="179"/>
        <v>0</v>
      </c>
      <c r="AW196" s="169">
        <f t="shared" si="180"/>
        <v>0</v>
      </c>
      <c r="AX196" s="169">
        <f t="shared" si="181"/>
        <v>0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 t="str">
        <f t="shared" si="185"/>
        <v/>
      </c>
      <c r="BC196" s="169" t="str">
        <f t="shared" si="186"/>
        <v/>
      </c>
      <c r="BD196" s="170"/>
      <c r="BE196" s="168"/>
      <c r="BF196" s="169">
        <f t="shared" si="187"/>
        <v>0</v>
      </c>
      <c r="BG196" s="169">
        <f t="shared" si="188"/>
        <v>0</v>
      </c>
      <c r="BH196" s="169" t="str">
        <f t="shared" si="193"/>
        <v>EMAX 1</v>
      </c>
      <c r="BI196" s="168">
        <f t="shared" si="189"/>
        <v>2</v>
      </c>
      <c r="BJ196" s="169">
        <f t="shared" si="190"/>
        <v>0</v>
      </c>
      <c r="BK196" s="169">
        <f>IF(COUNTIF(AY196:BC196,"&gt;0")&lt;Spielorte!$A$23,0,AV196/Spielorte!$A$23)</f>
        <v>0</v>
      </c>
      <c r="BL196" s="169">
        <f t="shared" si="191"/>
        <v>0</v>
      </c>
      <c r="BM196" s="168">
        <f t="shared" si="192"/>
        <v>0</v>
      </c>
    </row>
    <row r="197" spans="1:65" ht="16.95" customHeight="1" thickBot="1">
      <c r="A197" s="405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30"/>
      <c r="H197" s="224"/>
      <c r="I197" s="242">
        <f t="shared" si="171"/>
        <v>0</v>
      </c>
      <c r="J197" s="430"/>
      <c r="K197" s="224"/>
      <c r="L197" s="242">
        <f t="shared" si="172"/>
        <v>0</v>
      </c>
      <c r="M197" s="430"/>
      <c r="N197" s="224"/>
      <c r="O197" s="242">
        <f t="shared" si="173"/>
        <v>0</v>
      </c>
      <c r="P197" s="430"/>
      <c r="Q197" s="224"/>
      <c r="R197" s="242">
        <f t="shared" si="174"/>
        <v>0</v>
      </c>
      <c r="S197" s="430"/>
      <c r="T197" s="224">
        <f t="shared" si="175"/>
        <v>0</v>
      </c>
      <c r="U197" s="242">
        <f t="shared" si="176"/>
        <v>0</v>
      </c>
      <c r="V197" s="402"/>
      <c r="W197" s="79"/>
      <c r="X197" s="79"/>
      <c r="Y197" s="79"/>
      <c r="Z197" s="79"/>
      <c r="AA197" s="79"/>
      <c r="AB197" s="79"/>
      <c r="AL197" s="169">
        <f>IF(AU197=0,0,IFERROR(INDEX(RanglisteST4!K:K,MATCH(AU197,RanglisteST4!A:A,0)),0))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0</v>
      </c>
      <c r="BH197" s="169" t="str">
        <f t="shared" si="193"/>
        <v>EMAX 1</v>
      </c>
      <c r="BI197" s="168">
        <f t="shared" si="189"/>
        <v>2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0</v>
      </c>
      <c r="BM197" s="168">
        <f t="shared" si="192"/>
        <v>0</v>
      </c>
    </row>
    <row r="198" spans="1:65" ht="27.75" customHeight="1" thickBot="1">
      <c r="B198" s="218" t="s">
        <v>1792</v>
      </c>
      <c r="C198" s="204"/>
      <c r="D198" s="219"/>
      <c r="E198" s="226">
        <f>ABS(SUM(E189:E191))+ABS(SUM(E192:E194))+ABS(SUM(E195:E197))</f>
        <v>240</v>
      </c>
      <c r="F198" s="225">
        <f>ABS(SUM(F189:F191))+ABS(SUM(F192:F194))+ABS(SUM(F195:F197))</f>
        <v>372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334</v>
      </c>
      <c r="I198" s="225">
        <f>ABS(SUM(I189:I191))+ABS(SUM(I192:I194))+ABS(SUM(I195:I197))</f>
        <v>466</v>
      </c>
      <c r="J198" s="81">
        <f>IF(I198+H207=0,0,IF(I198=H207,Spielorte!$A$31/2,IF(I198&gt;H207,Spielorte!$A$31,0)))</f>
        <v>2</v>
      </c>
      <c r="K198" s="226">
        <f>ABS(SUM(K189:K191))+ABS(SUM(K192:K194))+ABS(SUM(K195:K197))</f>
        <v>262</v>
      </c>
      <c r="L198" s="225">
        <f>ABS(SUM(L189:L191))+ABS(SUM(L192:L194))+ABS(SUM(L195:L197))</f>
        <v>394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353</v>
      </c>
      <c r="O198" s="225">
        <f>ABS(SUM(O189:O191))+ABS(SUM(O192:O194))+ABS(SUM(O195:O197))</f>
        <v>485</v>
      </c>
      <c r="P198" s="81">
        <f>IF(O198+N207=0,0,IF(O198=N207,Spielorte!$A$31/2,IF(O198&gt;N207,Spielorte!$A$31,0)))</f>
        <v>2</v>
      </c>
      <c r="Q198" s="226">
        <f>ABS(SUM(Q189:Q191))+ABS(SUM(Q192:Q194))+ABS(SUM(Q195:Q197))</f>
        <v>307</v>
      </c>
      <c r="R198" s="225">
        <f>ABS(SUM(R189:R191))+ABS(SUM(R192:R194))+ABS(SUM(R195:R197))</f>
        <v>439</v>
      </c>
      <c r="S198" s="81">
        <f>IF(R198+Q207=0,0,IF(R198=Q207,Spielorte!$A$31/2,IF(R198&gt;Q207,Spielorte!$A$31,0)))</f>
        <v>0</v>
      </c>
      <c r="T198" s="228">
        <f>SUM(E198+H198+K198+N198+Q198)</f>
        <v>1496</v>
      </c>
      <c r="U198" s="229">
        <f>SUM(F198+I198+L198+O198+R198)</f>
        <v>2156</v>
      </c>
      <c r="V198" s="12">
        <f>SUM(G198+J198+M198+P198+S198)</f>
        <v>4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>
      <c r="B199" s="230" t="s">
        <v>1803</v>
      </c>
      <c r="C199" s="1"/>
      <c r="D199" s="1"/>
      <c r="E199" s="1"/>
      <c r="F199" s="1"/>
      <c r="G199" s="61">
        <f>SUM(G189:G198)</f>
        <v>1</v>
      </c>
      <c r="H199" s="1"/>
      <c r="I199" s="1"/>
      <c r="J199" s="61">
        <f>SUM(J189:J198)</f>
        <v>5</v>
      </c>
      <c r="K199" s="1"/>
      <c r="L199" s="1"/>
      <c r="M199" s="61">
        <f>SUM(M189:M198)</f>
        <v>0</v>
      </c>
      <c r="N199" s="1"/>
      <c r="O199" s="1"/>
      <c r="P199" s="61">
        <f>SUM(P189:P198)</f>
        <v>4</v>
      </c>
      <c r="Q199" s="1"/>
      <c r="R199" s="1"/>
      <c r="S199" s="61">
        <f>SUM(S189:S198)</f>
        <v>1</v>
      </c>
      <c r="T199" s="1"/>
      <c r="U199" s="1"/>
      <c r="V199" s="61">
        <f>SUM(V189:V198)</f>
        <v>11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11</v>
      </c>
      <c r="AR199" s="167">
        <f>+T198</f>
        <v>1496</v>
      </c>
      <c r="AS199" s="167">
        <f>+U198</f>
        <v>2156</v>
      </c>
      <c r="AT199" s="168">
        <f>+B184</f>
        <v>8</v>
      </c>
      <c r="AW199" s="169">
        <f>SUM(AW183:AW198)</f>
        <v>15</v>
      </c>
      <c r="BD199" s="166">
        <f>+AS199/1000000+AQ199+AR199/1000000000000</f>
        <v>11.002156001495999</v>
      </c>
      <c r="BE199" s="168">
        <f>RANK(BD199,BD:BD)</f>
        <v>6</v>
      </c>
      <c r="BI199" s="168"/>
      <c r="BM199" s="168"/>
    </row>
    <row r="200" spans="1:65" ht="11.25" customHeight="1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>
      <c r="B201" s="231" t="s">
        <v>1790</v>
      </c>
      <c r="C201" s="210"/>
      <c r="D201" s="42"/>
      <c r="E201" s="434">
        <f>VLOOKUP($B184,Schlüssel!$A$5:$EK$12,63)</f>
        <v>4</v>
      </c>
      <c r="F201" s="435"/>
      <c r="G201" s="436"/>
      <c r="H201" s="434">
        <f>VLOOKUP($B184,Schlüssel!$A$5:$EK$12,64)</f>
        <v>3</v>
      </c>
      <c r="I201" s="435"/>
      <c r="J201" s="436"/>
      <c r="K201" s="434">
        <f>VLOOKUP($B184,Schlüssel!$A$5:$EK$12,65)</f>
        <v>5</v>
      </c>
      <c r="L201" s="435"/>
      <c r="M201" s="436"/>
      <c r="N201" s="434">
        <f>VLOOKUP($B184,Schlüssel!$A$5:$EK$12,66)</f>
        <v>2</v>
      </c>
      <c r="O201" s="435"/>
      <c r="P201" s="436"/>
      <c r="Q201" s="434">
        <f>VLOOKUP($B184,Schlüssel!$A$5:$EK$12,67)</f>
        <v>7</v>
      </c>
      <c r="R201" s="435"/>
      <c r="S201" s="436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>
      <c r="B202" s="3" t="s">
        <v>9</v>
      </c>
      <c r="C202" s="1"/>
      <c r="D202" s="1"/>
      <c r="E202" s="395" t="str">
        <f>VLOOKUP(E201,Schlüssel!$A$5:$K$12,2)</f>
        <v>Highroller Rosenheim 3</v>
      </c>
      <c r="F202" s="438"/>
      <c r="G202" s="396"/>
      <c r="H202" s="395" t="str">
        <f>VLOOKUP(H201,Schlüssel!$A$5:$K$12,2)</f>
        <v>Highroller Rosenheim 2</v>
      </c>
      <c r="I202" s="438"/>
      <c r="J202" s="396"/>
      <c r="K202" s="395" t="str">
        <f>VLOOKUP(K201,Schlüssel!$A$5:$K$12,2)</f>
        <v>Berchtesgaden 1</v>
      </c>
      <c r="L202" s="438"/>
      <c r="M202" s="396"/>
      <c r="N202" s="395" t="str">
        <f>VLOOKUP(N201,Schlüssel!$A$5:$K$12,2)</f>
        <v>Highroller Rosenheim 1</v>
      </c>
      <c r="O202" s="438"/>
      <c r="P202" s="396"/>
      <c r="Q202" s="395" t="str">
        <f>VLOOKUP(Q201,Schlüssel!$A$5:$K$12,2)</f>
        <v>BK München 1</v>
      </c>
      <c r="R202" s="438"/>
      <c r="S202" s="396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" customHeight="1">
      <c r="B204" s="417" t="s">
        <v>2275</v>
      </c>
      <c r="C204" s="418"/>
      <c r="D204" s="419"/>
      <c r="E204" s="431">
        <f>ABS(INDEX(F:F,MATCH(E201,$B:$B,0)+5)+INDEX(F:F,MATCH(E201,$B:$B,0)+6)+INDEX(F:F,MATCH(E201,$B:$B,0)+7))</f>
        <v>133</v>
      </c>
      <c r="F204" s="432"/>
      <c r="G204" s="433"/>
      <c r="H204" s="431">
        <f>ABS(INDEX(I:I,MATCH(H201,$B:$B,0)+5)+INDEX(I:I,MATCH(H201,$B:$B,0)+6)+INDEX(I:I,MATCH(H201,$B:$B,0)+7))</f>
        <v>136</v>
      </c>
      <c r="I204" s="432"/>
      <c r="J204" s="433"/>
      <c r="K204" s="431">
        <f>ABS(INDEX(L:L,MATCH(K201,$B:$B,0)+5)+INDEX(L:L,MATCH(K201,$B:$B,0)+6)+INDEX(L:L,MATCH(K201,$B:$B,0)+7))</f>
        <v>140</v>
      </c>
      <c r="L204" s="432"/>
      <c r="M204" s="433"/>
      <c r="N204" s="431">
        <f>ABS(INDEX(O:O,MATCH(N201,$B:$B,0)+5)+INDEX(O:O,MATCH(N201,$B:$B,0)+6)+INDEX(O:O,MATCH(N201,$B:$B,0)+7))</f>
        <v>166</v>
      </c>
      <c r="O204" s="432"/>
      <c r="P204" s="433"/>
      <c r="Q204" s="431">
        <f>ABS(INDEX(R:R,MATCH(Q201,$B:$B,0)+5)+INDEX(R:R,MATCH(Q201,$B:$B,0)+6)+INDEX(R:R,MATCH(Q201,$B:$B,0)+7))</f>
        <v>169</v>
      </c>
      <c r="R204" s="432"/>
      <c r="S204" s="433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" customHeight="1">
      <c r="B205" s="417" t="s">
        <v>2276</v>
      </c>
      <c r="C205" s="418"/>
      <c r="D205" s="419"/>
      <c r="E205" s="424">
        <f>ABS(INDEX(F:F,MATCH(E201,$B:$B,0)+8)+INDEX(F:F,MATCH(E201,$B:$B,0)+9)+INDEX(F:F,MATCH(E201,$B:$B,0)+10))</f>
        <v>139</v>
      </c>
      <c r="F205" s="425"/>
      <c r="G205" s="426"/>
      <c r="H205" s="424">
        <f>ABS(INDEX(I:I,MATCH(H201,$B:$B,0)+8)+INDEX(I:I,MATCH(H201,$B:$B,0)+9)+INDEX(I:I,MATCH(H201,$B:$B,0)+10))</f>
        <v>146</v>
      </c>
      <c r="I205" s="425"/>
      <c r="J205" s="426"/>
      <c r="K205" s="424">
        <f>ABS(INDEX(L:L,MATCH(K201,$B:$B,0)+8)+INDEX(L:L,MATCH(K201,$B:$B,0)+9)+INDEX(L:L,MATCH(K201,$B:$B,0)+10))</f>
        <v>150</v>
      </c>
      <c r="L205" s="425"/>
      <c r="M205" s="426"/>
      <c r="N205" s="424">
        <f>ABS(INDEX(O:O,MATCH(N201,$B:$B,0)+8)+INDEX(O:O,MATCH(N201,$B:$B,0)+9)+INDEX(O:O,MATCH(N201,$B:$B,0)+10))</f>
        <v>173</v>
      </c>
      <c r="O205" s="425"/>
      <c r="P205" s="426"/>
      <c r="Q205" s="424">
        <f>ABS(INDEX(R:R,MATCH(Q201,$B:$B,0)+8)+INDEX(R:R,MATCH(Q201,$B:$B,0)+9)+INDEX(R:R,MATCH(Q201,$B:$B,0)+10))</f>
        <v>157</v>
      </c>
      <c r="R205" s="425"/>
      <c r="S205" s="426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" customHeight="1">
      <c r="B206" s="417" t="s">
        <v>2277</v>
      </c>
      <c r="C206" s="418"/>
      <c r="D206" s="419"/>
      <c r="E206" s="424">
        <f>ABS(INDEX(F:F,MATCH(E201,$B:$B,0)+11)+INDEX(F:F,MATCH(E201,$B:$B,0)+12)+INDEX(F:F,MATCH(E201,$B:$B,0)+13))</f>
        <v>172</v>
      </c>
      <c r="F206" s="425"/>
      <c r="G206" s="426"/>
      <c r="H206" s="424">
        <f>ABS(INDEX(I:I,MATCH(H201,$B:$B,0)+11)+INDEX(I:I,MATCH(H201,$B:$B,0)+12)+INDEX(I:I,MATCH(H201,$B:$B,0)+13))</f>
        <v>130</v>
      </c>
      <c r="I206" s="425"/>
      <c r="J206" s="426"/>
      <c r="K206" s="424">
        <f>ABS(INDEX(L:L,MATCH(K201,$B:$B,0)+11)+INDEX(L:L,MATCH(K201,$B:$B,0)+12)+INDEX(L:L,MATCH(K201,$B:$B,0)+13))</f>
        <v>128</v>
      </c>
      <c r="L206" s="425"/>
      <c r="M206" s="426"/>
      <c r="N206" s="424">
        <f>ABS(INDEX(O:O,MATCH(N201,$B:$B,0)+11)+INDEX(O:O,MATCH(N201,$B:$B,0)+12)+INDEX(O:O,MATCH(N201,$B:$B,0)+13))</f>
        <v>126</v>
      </c>
      <c r="O206" s="425"/>
      <c r="P206" s="426"/>
      <c r="Q206" s="424">
        <f>ABS(INDEX(R:R,MATCH(Q201,$B:$B,0)+11)+INDEX(R:R,MATCH(Q201,$B:$B,0)+12)+INDEX(R:R,MATCH(Q201,$B:$B,0)+13))</f>
        <v>187</v>
      </c>
      <c r="R206" s="425"/>
      <c r="S206" s="426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" customHeight="1">
      <c r="B207" s="420" t="s">
        <v>2278</v>
      </c>
      <c r="C207" s="421"/>
      <c r="D207" s="422"/>
      <c r="E207" s="407">
        <f>SUM(E204:E206)</f>
        <v>444</v>
      </c>
      <c r="F207" s="423"/>
      <c r="G207" s="408"/>
      <c r="H207" s="407">
        <f>SUM(H204:H206)</f>
        <v>412</v>
      </c>
      <c r="I207" s="423"/>
      <c r="J207" s="408"/>
      <c r="K207" s="407">
        <f>SUM(K204:K206)</f>
        <v>418</v>
      </c>
      <c r="L207" s="423"/>
      <c r="M207" s="408"/>
      <c r="N207" s="407">
        <f>SUM(N204:N206)</f>
        <v>465</v>
      </c>
      <c r="O207" s="423"/>
      <c r="P207" s="408"/>
      <c r="Q207" s="407">
        <f>SUM(Q204:Q206)</f>
        <v>513</v>
      </c>
      <c r="R207" s="423"/>
      <c r="S207" s="408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A143:A145"/>
    <mergeCell ref="S114:S116"/>
    <mergeCell ref="S117:S119"/>
    <mergeCell ref="G137:G139"/>
    <mergeCell ref="J137:J139"/>
    <mergeCell ref="M137:M139"/>
    <mergeCell ref="P137:P139"/>
    <mergeCell ref="S137:S139"/>
    <mergeCell ref="A137:A139"/>
    <mergeCell ref="A140:A142"/>
    <mergeCell ref="A114:A116"/>
    <mergeCell ref="A117:A119"/>
    <mergeCell ref="G117:G119"/>
    <mergeCell ref="J117:J119"/>
    <mergeCell ref="M117:M119"/>
    <mergeCell ref="P117:P119"/>
    <mergeCell ref="G131:R131"/>
    <mergeCell ref="G132:O132"/>
    <mergeCell ref="Q132:R132"/>
    <mergeCell ref="E126:G126"/>
    <mergeCell ref="H126:J126"/>
    <mergeCell ref="K126:M126"/>
    <mergeCell ref="N126:P126"/>
    <mergeCell ref="K128:M128"/>
    <mergeCell ref="K98:M98"/>
    <mergeCell ref="N98:P98"/>
    <mergeCell ref="Q98:S98"/>
    <mergeCell ref="H101:J101"/>
    <mergeCell ref="K101:M101"/>
    <mergeCell ref="N101:P101"/>
    <mergeCell ref="H150:J150"/>
    <mergeCell ref="V137:V139"/>
    <mergeCell ref="G140:G142"/>
    <mergeCell ref="J140:J142"/>
    <mergeCell ref="M140:M142"/>
    <mergeCell ref="P140:P142"/>
    <mergeCell ref="S140:S142"/>
    <mergeCell ref="V117:V119"/>
    <mergeCell ref="T109:V109"/>
    <mergeCell ref="E123:G123"/>
    <mergeCell ref="H123:J123"/>
    <mergeCell ref="K123:M123"/>
    <mergeCell ref="N123:P123"/>
    <mergeCell ref="Q123:S123"/>
    <mergeCell ref="Q124:S124"/>
    <mergeCell ref="E124:G124"/>
    <mergeCell ref="H124:J124"/>
    <mergeCell ref="K124:M124"/>
    <mergeCell ref="A111:A113"/>
    <mergeCell ref="A85:A87"/>
    <mergeCell ref="G85:G87"/>
    <mergeCell ref="A88:A90"/>
    <mergeCell ref="A91:A93"/>
    <mergeCell ref="V85:V87"/>
    <mergeCell ref="G88:G90"/>
    <mergeCell ref="J88:J90"/>
    <mergeCell ref="M88:M90"/>
    <mergeCell ref="P88:P90"/>
    <mergeCell ref="J85:J87"/>
    <mergeCell ref="M85:M87"/>
    <mergeCell ref="P85:P87"/>
    <mergeCell ref="M91:M93"/>
    <mergeCell ref="P91:P93"/>
    <mergeCell ref="S91:S93"/>
    <mergeCell ref="H102:J102"/>
    <mergeCell ref="K102:M102"/>
    <mergeCell ref="N102:P102"/>
    <mergeCell ref="Q102:S102"/>
    <mergeCell ref="E101:G101"/>
    <mergeCell ref="V91:V93"/>
    <mergeCell ref="G111:G113"/>
    <mergeCell ref="J111:J113"/>
    <mergeCell ref="E72:G72"/>
    <mergeCell ref="H72:J72"/>
    <mergeCell ref="K72:M72"/>
    <mergeCell ref="N72:P72"/>
    <mergeCell ref="Q72:S72"/>
    <mergeCell ref="E74:G74"/>
    <mergeCell ref="H74:J74"/>
    <mergeCell ref="K74:M74"/>
    <mergeCell ref="N74:P74"/>
    <mergeCell ref="Q74:S74"/>
    <mergeCell ref="A62:A64"/>
    <mergeCell ref="A65:A67"/>
    <mergeCell ref="V59:V61"/>
    <mergeCell ref="G62:G64"/>
    <mergeCell ref="J62:J64"/>
    <mergeCell ref="M62:M64"/>
    <mergeCell ref="P62:P64"/>
    <mergeCell ref="S62:S64"/>
    <mergeCell ref="V62:V64"/>
    <mergeCell ref="G65:G67"/>
    <mergeCell ref="S65:S67"/>
    <mergeCell ref="V65:V67"/>
    <mergeCell ref="J65:J67"/>
    <mergeCell ref="M65:M67"/>
    <mergeCell ref="P65:P67"/>
    <mergeCell ref="G59:G61"/>
    <mergeCell ref="J59:J61"/>
    <mergeCell ref="M59:M61"/>
    <mergeCell ref="P59:P61"/>
    <mergeCell ref="B48:D48"/>
    <mergeCell ref="B49:D49"/>
    <mergeCell ref="B50:D50"/>
    <mergeCell ref="B51:D51"/>
    <mergeCell ref="E48:G48"/>
    <mergeCell ref="H48:J48"/>
    <mergeCell ref="K48:M48"/>
    <mergeCell ref="N48:P48"/>
    <mergeCell ref="A59:A61"/>
    <mergeCell ref="A33:A35"/>
    <mergeCell ref="A36:A38"/>
    <mergeCell ref="A39:A41"/>
    <mergeCell ref="J39:J41"/>
    <mergeCell ref="M39:M41"/>
    <mergeCell ref="P39:P41"/>
    <mergeCell ref="E46:G46"/>
    <mergeCell ref="H46:J46"/>
    <mergeCell ref="K46:M46"/>
    <mergeCell ref="N46:P46"/>
    <mergeCell ref="H20:J20"/>
    <mergeCell ref="T31:V31"/>
    <mergeCell ref="S59:S61"/>
    <mergeCell ref="S53:V53"/>
    <mergeCell ref="E57:G57"/>
    <mergeCell ref="E49:G49"/>
    <mergeCell ref="H49:J49"/>
    <mergeCell ref="K49:M49"/>
    <mergeCell ref="N49:P49"/>
    <mergeCell ref="K45:M45"/>
    <mergeCell ref="N45:P45"/>
    <mergeCell ref="S39:S41"/>
    <mergeCell ref="V39:V41"/>
    <mergeCell ref="T57:V57"/>
    <mergeCell ref="V13:V15"/>
    <mergeCell ref="S10:S12"/>
    <mergeCell ref="A7:A9"/>
    <mergeCell ref="A10:A12"/>
    <mergeCell ref="A13:A15"/>
    <mergeCell ref="V33:V35"/>
    <mergeCell ref="G36:G38"/>
    <mergeCell ref="J36:J38"/>
    <mergeCell ref="M36:M38"/>
    <mergeCell ref="P36:P38"/>
    <mergeCell ref="S36:S38"/>
    <mergeCell ref="V36:V38"/>
    <mergeCell ref="K20:M20"/>
    <mergeCell ref="N20:P20"/>
    <mergeCell ref="Q20:S20"/>
    <mergeCell ref="S27:V27"/>
    <mergeCell ref="M33:M35"/>
    <mergeCell ref="P33:P35"/>
    <mergeCell ref="S33:S35"/>
    <mergeCell ref="Q25:S25"/>
    <mergeCell ref="E31:G31"/>
    <mergeCell ref="E22:G22"/>
    <mergeCell ref="H22:J22"/>
    <mergeCell ref="E20:G20"/>
    <mergeCell ref="E19:G19"/>
    <mergeCell ref="H19:J19"/>
    <mergeCell ref="K19:M19"/>
    <mergeCell ref="N19:P19"/>
    <mergeCell ref="Q19:S19"/>
    <mergeCell ref="S1:V1"/>
    <mergeCell ref="S7:S9"/>
    <mergeCell ref="G1:R1"/>
    <mergeCell ref="G2:O2"/>
    <mergeCell ref="Q2:R2"/>
    <mergeCell ref="B3:G3"/>
    <mergeCell ref="G7:G9"/>
    <mergeCell ref="J7:J9"/>
    <mergeCell ref="M7:M9"/>
    <mergeCell ref="P7:P9"/>
    <mergeCell ref="H5:J5"/>
    <mergeCell ref="K5:M5"/>
    <mergeCell ref="N5:P5"/>
    <mergeCell ref="Q5:S5"/>
    <mergeCell ref="E5:G5"/>
    <mergeCell ref="V10:V12"/>
    <mergeCell ref="S13:S15"/>
    <mergeCell ref="G13:G15"/>
    <mergeCell ref="J13:J15"/>
    <mergeCell ref="M13:M15"/>
    <mergeCell ref="P13:P15"/>
    <mergeCell ref="T5:V5"/>
    <mergeCell ref="Q45:S45"/>
    <mergeCell ref="G33:G35"/>
    <mergeCell ref="J33:J35"/>
    <mergeCell ref="H31:J31"/>
    <mergeCell ref="K31:M31"/>
    <mergeCell ref="N31:P31"/>
    <mergeCell ref="Q31:S31"/>
    <mergeCell ref="K22:M22"/>
    <mergeCell ref="N22:P22"/>
    <mergeCell ref="Q22:S22"/>
    <mergeCell ref="E23:G23"/>
    <mergeCell ref="H23:J23"/>
    <mergeCell ref="K23:M23"/>
    <mergeCell ref="N23:P23"/>
    <mergeCell ref="Q23:S23"/>
    <mergeCell ref="H25:J25"/>
    <mergeCell ref="H45:J45"/>
    <mergeCell ref="V7:V9"/>
    <mergeCell ref="G10:G12"/>
    <mergeCell ref="J10:J12"/>
    <mergeCell ref="M10:M12"/>
    <mergeCell ref="E71:G71"/>
    <mergeCell ref="H71:J71"/>
    <mergeCell ref="K71:M71"/>
    <mergeCell ref="N71:P71"/>
    <mergeCell ref="Q71:S71"/>
    <mergeCell ref="H51:J51"/>
    <mergeCell ref="K51:M51"/>
    <mergeCell ref="N51:P51"/>
    <mergeCell ref="Q51:S51"/>
    <mergeCell ref="H57:J57"/>
    <mergeCell ref="K57:M57"/>
    <mergeCell ref="N57:P57"/>
    <mergeCell ref="Q57:S57"/>
    <mergeCell ref="G53:R53"/>
    <mergeCell ref="G54:O54"/>
    <mergeCell ref="Q54:R54"/>
    <mergeCell ref="B55:G55"/>
    <mergeCell ref="P10:P12"/>
    <mergeCell ref="E100:G100"/>
    <mergeCell ref="H100:J100"/>
    <mergeCell ref="K100:M100"/>
    <mergeCell ref="N100:P100"/>
    <mergeCell ref="Q100:S100"/>
    <mergeCell ref="N75:P75"/>
    <mergeCell ref="Q75:S75"/>
    <mergeCell ref="Q77:S77"/>
    <mergeCell ref="E83:G83"/>
    <mergeCell ref="H83:J83"/>
    <mergeCell ref="K83:M83"/>
    <mergeCell ref="N83:P83"/>
    <mergeCell ref="Q83:S83"/>
    <mergeCell ref="S85:S87"/>
    <mergeCell ref="S79:V79"/>
    <mergeCell ref="E77:G77"/>
    <mergeCell ref="E24:G24"/>
    <mergeCell ref="H24:J24"/>
    <mergeCell ref="K24:M24"/>
    <mergeCell ref="T83:V83"/>
    <mergeCell ref="E97:G97"/>
    <mergeCell ref="S88:S90"/>
    <mergeCell ref="V88:V90"/>
    <mergeCell ref="Q97:S97"/>
    <mergeCell ref="G91:G93"/>
    <mergeCell ref="J91:J93"/>
    <mergeCell ref="E98:G98"/>
    <mergeCell ref="H98:J98"/>
    <mergeCell ref="M111:M113"/>
    <mergeCell ref="P111:P113"/>
    <mergeCell ref="S111:S113"/>
    <mergeCell ref="V111:V113"/>
    <mergeCell ref="Q103:S103"/>
    <mergeCell ref="E109:G109"/>
    <mergeCell ref="H109:J109"/>
    <mergeCell ref="K109:M109"/>
    <mergeCell ref="N109:P109"/>
    <mergeCell ref="Q109:S109"/>
    <mergeCell ref="G105:R105"/>
    <mergeCell ref="H103:J103"/>
    <mergeCell ref="K103:M103"/>
    <mergeCell ref="N103:P103"/>
    <mergeCell ref="G106:O106"/>
    <mergeCell ref="Q106:R106"/>
    <mergeCell ref="B107:G107"/>
    <mergeCell ref="E103:G103"/>
    <mergeCell ref="S105:V105"/>
    <mergeCell ref="G114:G116"/>
    <mergeCell ref="J114:J116"/>
    <mergeCell ref="M114:M116"/>
    <mergeCell ref="P114:P116"/>
    <mergeCell ref="V114:V116"/>
    <mergeCell ref="T135:V135"/>
    <mergeCell ref="E149:G149"/>
    <mergeCell ref="H149:J149"/>
    <mergeCell ref="K149:M149"/>
    <mergeCell ref="N149:P149"/>
    <mergeCell ref="Q149:S149"/>
    <mergeCell ref="E135:G135"/>
    <mergeCell ref="H135:J135"/>
    <mergeCell ref="K135:M135"/>
    <mergeCell ref="N135:P135"/>
    <mergeCell ref="Q135:S135"/>
    <mergeCell ref="V140:V142"/>
    <mergeCell ref="G143:G145"/>
    <mergeCell ref="J143:J145"/>
    <mergeCell ref="M143:M145"/>
    <mergeCell ref="P143:P145"/>
    <mergeCell ref="S143:S145"/>
    <mergeCell ref="V143:V145"/>
    <mergeCell ref="S131:V131"/>
    <mergeCell ref="K150:M150"/>
    <mergeCell ref="N150:P150"/>
    <mergeCell ref="Q150:S150"/>
    <mergeCell ref="E150:G150"/>
    <mergeCell ref="H155:J155"/>
    <mergeCell ref="K155:M155"/>
    <mergeCell ref="N155:P155"/>
    <mergeCell ref="Q155:S155"/>
    <mergeCell ref="E154:G154"/>
    <mergeCell ref="H154:J154"/>
    <mergeCell ref="K154:M154"/>
    <mergeCell ref="N154:P154"/>
    <mergeCell ref="Q154:S154"/>
    <mergeCell ref="E153:G153"/>
    <mergeCell ref="H153:J153"/>
    <mergeCell ref="K153:M153"/>
    <mergeCell ref="N153:P153"/>
    <mergeCell ref="Q153:S153"/>
    <mergeCell ref="H152:J152"/>
    <mergeCell ref="K152:M152"/>
    <mergeCell ref="N152:P152"/>
    <mergeCell ref="Q152:S152"/>
    <mergeCell ref="E129:G129"/>
    <mergeCell ref="H129:J129"/>
    <mergeCell ref="K129:M129"/>
    <mergeCell ref="N129:P129"/>
    <mergeCell ref="Q129:S129"/>
    <mergeCell ref="H127:J127"/>
    <mergeCell ref="K127:M127"/>
    <mergeCell ref="N127:P127"/>
    <mergeCell ref="Q127:S127"/>
    <mergeCell ref="B74:D74"/>
    <mergeCell ref="B75:D75"/>
    <mergeCell ref="B76:D76"/>
    <mergeCell ref="B77:D77"/>
    <mergeCell ref="B81:G81"/>
    <mergeCell ref="E102:G102"/>
    <mergeCell ref="E76:G76"/>
    <mergeCell ref="E75:G75"/>
    <mergeCell ref="G79:R79"/>
    <mergeCell ref="G80:O80"/>
    <mergeCell ref="Q80:R80"/>
    <mergeCell ref="H77:J77"/>
    <mergeCell ref="K77:M77"/>
    <mergeCell ref="N77:P77"/>
    <mergeCell ref="H76:J76"/>
    <mergeCell ref="K76:M76"/>
    <mergeCell ref="N76:P76"/>
    <mergeCell ref="Q76:S76"/>
    <mergeCell ref="H75:J75"/>
    <mergeCell ref="K75:M75"/>
    <mergeCell ref="H97:J97"/>
    <mergeCell ref="K97:M97"/>
    <mergeCell ref="N97:P97"/>
    <mergeCell ref="Q101:S101"/>
    <mergeCell ref="B22:D22"/>
    <mergeCell ref="B23:D23"/>
    <mergeCell ref="B24:D24"/>
    <mergeCell ref="B25:D25"/>
    <mergeCell ref="B29:G29"/>
    <mergeCell ref="E51:G51"/>
    <mergeCell ref="G39:G41"/>
    <mergeCell ref="G27:R27"/>
    <mergeCell ref="G28:O28"/>
    <mergeCell ref="Q28:R28"/>
    <mergeCell ref="E25:G25"/>
    <mergeCell ref="K25:M25"/>
    <mergeCell ref="N25:P25"/>
    <mergeCell ref="Q24:S24"/>
    <mergeCell ref="E50:G50"/>
    <mergeCell ref="H50:J50"/>
    <mergeCell ref="K50:M50"/>
    <mergeCell ref="N50:P50"/>
    <mergeCell ref="Q50:S50"/>
    <mergeCell ref="E45:G45"/>
    <mergeCell ref="N24:P24"/>
    <mergeCell ref="Q49:S49"/>
    <mergeCell ref="Q48:S48"/>
    <mergeCell ref="Q46:S46"/>
    <mergeCell ref="N124:P124"/>
    <mergeCell ref="B100:D100"/>
    <mergeCell ref="B101:D101"/>
    <mergeCell ref="B102:D102"/>
    <mergeCell ref="G157:R157"/>
    <mergeCell ref="S157:V157"/>
    <mergeCell ref="B103:D103"/>
    <mergeCell ref="B152:D152"/>
    <mergeCell ref="B153:D153"/>
    <mergeCell ref="B154:D154"/>
    <mergeCell ref="B155:D155"/>
    <mergeCell ref="B126:D126"/>
    <mergeCell ref="B127:D127"/>
    <mergeCell ref="B128:D128"/>
    <mergeCell ref="B129:D129"/>
    <mergeCell ref="B133:G133"/>
    <mergeCell ref="E155:G155"/>
    <mergeCell ref="E127:G127"/>
    <mergeCell ref="E128:G128"/>
    <mergeCell ref="E152:G152"/>
    <mergeCell ref="N128:P128"/>
    <mergeCell ref="Q128:S128"/>
    <mergeCell ref="Q126:S126"/>
    <mergeCell ref="H128:J128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</mergeCells>
  <conditionalFormatting sqref="D7:D15">
    <cfRule type="cellIs" dxfId="256" priority="72" stopIfTrue="1" operator="equal">
      <formula>0</formula>
    </cfRule>
  </conditionalFormatting>
  <conditionalFormatting sqref="D33:D41">
    <cfRule type="cellIs" dxfId="255" priority="63" stopIfTrue="1" operator="equal">
      <formula>0</formula>
    </cfRule>
  </conditionalFormatting>
  <conditionalFormatting sqref="D59:D67">
    <cfRule type="cellIs" dxfId="254" priority="54" stopIfTrue="1" operator="equal">
      <formula>0</formula>
    </cfRule>
  </conditionalFormatting>
  <conditionalFormatting sqref="D85:D93">
    <cfRule type="cellIs" dxfId="253" priority="45" stopIfTrue="1" operator="equal">
      <formula>0</formula>
    </cfRule>
  </conditionalFormatting>
  <conditionalFormatting sqref="D111:D119">
    <cfRule type="cellIs" dxfId="252" priority="36" stopIfTrue="1" operator="equal">
      <formula>0</formula>
    </cfRule>
  </conditionalFormatting>
  <conditionalFormatting sqref="D137:D145">
    <cfRule type="cellIs" dxfId="251" priority="27" stopIfTrue="1" operator="equal">
      <formula>0</formula>
    </cfRule>
  </conditionalFormatting>
  <conditionalFormatting sqref="D163:D171">
    <cfRule type="cellIs" dxfId="250" priority="18" stopIfTrue="1" operator="equal">
      <formula>0</formula>
    </cfRule>
  </conditionalFormatting>
  <conditionalFormatting sqref="D189:D197">
    <cfRule type="cellIs" dxfId="249" priority="9" stopIfTrue="1" operator="equal">
      <formula>0</formula>
    </cfRule>
  </conditionalFormatting>
  <conditionalFormatting sqref="F7:F15">
    <cfRule type="cellIs" dxfId="248" priority="71" stopIfTrue="1" operator="equal">
      <formula>0</formula>
    </cfRule>
  </conditionalFormatting>
  <conditionalFormatting sqref="F33:F41">
    <cfRule type="cellIs" dxfId="247" priority="62" stopIfTrue="1" operator="equal">
      <formula>0</formula>
    </cfRule>
  </conditionalFormatting>
  <conditionalFormatting sqref="F59:F67">
    <cfRule type="cellIs" dxfId="246" priority="53" stopIfTrue="1" operator="equal">
      <formula>0</formula>
    </cfRule>
  </conditionalFormatting>
  <conditionalFormatting sqref="F85:F93">
    <cfRule type="cellIs" dxfId="245" priority="44" stopIfTrue="1" operator="equal">
      <formula>0</formula>
    </cfRule>
  </conditionalFormatting>
  <conditionalFormatting sqref="F111:F119">
    <cfRule type="cellIs" dxfId="244" priority="35" stopIfTrue="1" operator="equal">
      <formula>0</formula>
    </cfRule>
  </conditionalFormatting>
  <conditionalFormatting sqref="F137:F145">
    <cfRule type="cellIs" dxfId="243" priority="26" stopIfTrue="1" operator="equal">
      <formula>0</formula>
    </cfRule>
  </conditionalFormatting>
  <conditionalFormatting sqref="F163:F171">
    <cfRule type="cellIs" dxfId="242" priority="17" stopIfTrue="1" operator="equal">
      <formula>0</formula>
    </cfRule>
  </conditionalFormatting>
  <conditionalFormatting sqref="F189:F197">
    <cfRule type="cellIs" dxfId="241" priority="8" stopIfTrue="1" operator="equal">
      <formula>0</formula>
    </cfRule>
  </conditionalFormatting>
  <conditionalFormatting sqref="I7:I15">
    <cfRule type="cellIs" dxfId="240" priority="70" stopIfTrue="1" operator="equal">
      <formula>0</formula>
    </cfRule>
  </conditionalFormatting>
  <conditionalFormatting sqref="I33:I41">
    <cfRule type="cellIs" dxfId="239" priority="61" stopIfTrue="1" operator="equal">
      <formula>0</formula>
    </cfRule>
  </conditionalFormatting>
  <conditionalFormatting sqref="I59:I67">
    <cfRule type="cellIs" dxfId="238" priority="52" stopIfTrue="1" operator="equal">
      <formula>0</formula>
    </cfRule>
  </conditionalFormatting>
  <conditionalFormatting sqref="I85:I93">
    <cfRule type="cellIs" dxfId="237" priority="43" stopIfTrue="1" operator="equal">
      <formula>0</formula>
    </cfRule>
  </conditionalFormatting>
  <conditionalFormatting sqref="I111:I119">
    <cfRule type="cellIs" dxfId="236" priority="34" stopIfTrue="1" operator="equal">
      <formula>0</formula>
    </cfRule>
  </conditionalFormatting>
  <conditionalFormatting sqref="I137:I145">
    <cfRule type="cellIs" dxfId="235" priority="25" stopIfTrue="1" operator="equal">
      <formula>0</formula>
    </cfRule>
  </conditionalFormatting>
  <conditionalFormatting sqref="I163:I171">
    <cfRule type="cellIs" dxfId="234" priority="16" stopIfTrue="1" operator="equal">
      <formula>0</formula>
    </cfRule>
  </conditionalFormatting>
  <conditionalFormatting sqref="I189:I197">
    <cfRule type="cellIs" dxfId="233" priority="7" stopIfTrue="1" operator="equal">
      <formula>0</formula>
    </cfRule>
  </conditionalFormatting>
  <conditionalFormatting sqref="L7:L15">
    <cfRule type="cellIs" dxfId="232" priority="69" stopIfTrue="1" operator="equal">
      <formula>0</formula>
    </cfRule>
  </conditionalFormatting>
  <conditionalFormatting sqref="L33:L41">
    <cfRule type="cellIs" dxfId="231" priority="60" stopIfTrue="1" operator="equal">
      <formula>0</formula>
    </cfRule>
  </conditionalFormatting>
  <conditionalFormatting sqref="L59:L67">
    <cfRule type="cellIs" dxfId="230" priority="51" stopIfTrue="1" operator="equal">
      <formula>0</formula>
    </cfRule>
  </conditionalFormatting>
  <conditionalFormatting sqref="L85:L93">
    <cfRule type="cellIs" dxfId="229" priority="42" stopIfTrue="1" operator="equal">
      <formula>0</formula>
    </cfRule>
  </conditionalFormatting>
  <conditionalFormatting sqref="L111:L119">
    <cfRule type="cellIs" dxfId="228" priority="33" stopIfTrue="1" operator="equal">
      <formula>0</formula>
    </cfRule>
  </conditionalFormatting>
  <conditionalFormatting sqref="L137:L145">
    <cfRule type="cellIs" dxfId="227" priority="24" stopIfTrue="1" operator="equal">
      <formula>0</formula>
    </cfRule>
  </conditionalFormatting>
  <conditionalFormatting sqref="L163:L171">
    <cfRule type="cellIs" dxfId="226" priority="15" stopIfTrue="1" operator="equal">
      <formula>0</formula>
    </cfRule>
  </conditionalFormatting>
  <conditionalFormatting sqref="L189:L197">
    <cfRule type="cellIs" dxfId="225" priority="6" stopIfTrue="1" operator="equal">
      <formula>0</formula>
    </cfRule>
  </conditionalFormatting>
  <conditionalFormatting sqref="O7:O15">
    <cfRule type="cellIs" dxfId="224" priority="68" stopIfTrue="1" operator="equal">
      <formula>0</formula>
    </cfRule>
  </conditionalFormatting>
  <conditionalFormatting sqref="O33:O41">
    <cfRule type="cellIs" dxfId="223" priority="59" stopIfTrue="1" operator="equal">
      <formula>0</formula>
    </cfRule>
  </conditionalFormatting>
  <conditionalFormatting sqref="O59:O67">
    <cfRule type="cellIs" dxfId="222" priority="50" stopIfTrue="1" operator="equal">
      <formula>0</formula>
    </cfRule>
  </conditionalFormatting>
  <conditionalFormatting sqref="O85:O93">
    <cfRule type="cellIs" dxfId="221" priority="41" stopIfTrue="1" operator="equal">
      <formula>0</formula>
    </cfRule>
  </conditionalFormatting>
  <conditionalFormatting sqref="O111:O119">
    <cfRule type="cellIs" dxfId="220" priority="32" stopIfTrue="1" operator="equal">
      <formula>0</formula>
    </cfRule>
  </conditionalFormatting>
  <conditionalFormatting sqref="O137:O145">
    <cfRule type="cellIs" dxfId="219" priority="23" stopIfTrue="1" operator="equal">
      <formula>0</formula>
    </cfRule>
  </conditionalFormatting>
  <conditionalFormatting sqref="O163:O171">
    <cfRule type="cellIs" dxfId="218" priority="14" stopIfTrue="1" operator="equal">
      <formula>0</formula>
    </cfRule>
  </conditionalFormatting>
  <conditionalFormatting sqref="O189:O197">
    <cfRule type="cellIs" dxfId="217" priority="5" stopIfTrue="1" operator="equal">
      <formula>0</formula>
    </cfRule>
  </conditionalFormatting>
  <conditionalFormatting sqref="R7:R15">
    <cfRule type="cellIs" dxfId="216" priority="67" stopIfTrue="1" operator="equal">
      <formula>0</formula>
    </cfRule>
  </conditionalFormatting>
  <conditionalFormatting sqref="R33:R41">
    <cfRule type="cellIs" dxfId="215" priority="58" stopIfTrue="1" operator="equal">
      <formula>0</formula>
    </cfRule>
  </conditionalFormatting>
  <conditionalFormatting sqref="R59:R67">
    <cfRule type="cellIs" dxfId="214" priority="49" stopIfTrue="1" operator="equal">
      <formula>0</formula>
    </cfRule>
  </conditionalFormatting>
  <conditionalFormatting sqref="R85:R93">
    <cfRule type="cellIs" dxfId="213" priority="40" stopIfTrue="1" operator="equal">
      <formula>0</formula>
    </cfRule>
  </conditionalFormatting>
  <conditionalFormatting sqref="R111:R119">
    <cfRule type="cellIs" dxfId="212" priority="31" stopIfTrue="1" operator="equal">
      <formula>0</formula>
    </cfRule>
  </conditionalFormatting>
  <conditionalFormatting sqref="R137:R145">
    <cfRule type="cellIs" dxfId="211" priority="22" stopIfTrue="1" operator="equal">
      <formula>0</formula>
    </cfRule>
  </conditionalFormatting>
  <conditionalFormatting sqref="R163:R171">
    <cfRule type="cellIs" dxfId="210" priority="13" stopIfTrue="1" operator="equal">
      <formula>0</formula>
    </cfRule>
  </conditionalFormatting>
  <conditionalFormatting sqref="R189:R197">
    <cfRule type="cellIs" dxfId="209" priority="4" stopIfTrue="1" operator="equal">
      <formula>0</formula>
    </cfRule>
  </conditionalFormatting>
  <conditionalFormatting sqref="U7:U15">
    <cfRule type="cellIs" dxfId="208" priority="64" stopIfTrue="1" operator="equal">
      <formula>0</formula>
    </cfRule>
  </conditionalFormatting>
  <conditionalFormatting sqref="U33:U41">
    <cfRule type="cellIs" dxfId="207" priority="55" stopIfTrue="1" operator="equal">
      <formula>0</formula>
    </cfRule>
  </conditionalFormatting>
  <conditionalFormatting sqref="U59:U67">
    <cfRule type="cellIs" dxfId="206" priority="46" stopIfTrue="1" operator="equal">
      <formula>0</formula>
    </cfRule>
  </conditionalFormatting>
  <conditionalFormatting sqref="U85:U93">
    <cfRule type="cellIs" dxfId="205" priority="37" stopIfTrue="1" operator="equal">
      <formula>0</formula>
    </cfRule>
  </conditionalFormatting>
  <conditionalFormatting sqref="U111:U119">
    <cfRule type="cellIs" dxfId="204" priority="28" stopIfTrue="1" operator="equal">
      <formula>0</formula>
    </cfRule>
  </conditionalFormatting>
  <conditionalFormatting sqref="U137:U145">
    <cfRule type="cellIs" dxfId="203" priority="19" stopIfTrue="1" operator="equal">
      <formula>0</formula>
    </cfRule>
  </conditionalFormatting>
  <conditionalFormatting sqref="U163:U171">
    <cfRule type="cellIs" dxfId="202" priority="10" stopIfTrue="1" operator="equal">
      <formula>0</formula>
    </cfRule>
  </conditionalFormatting>
  <conditionalFormatting sqref="U189:U197">
    <cfRule type="cellIs" dxfId="201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M39 M33 Q33:R41 P39 P33 M65 M59 Q59:R67 P65 P59 M91 M85 Q85:R93 P91 P85 P10 E7:F15 Q137:R145 P143 P137 H7:I15 G13 G7 G10 K7:L15 J13 J7 J10 N7:O15 M10 P36 E33:F41 S13 S7 S10 H33:I41 G39 G33 G36 K33:L41 J39 J33 J36 N33:O41 M36 P62 E59:F67 S39 S33 S36 H59:I67 G65 G59 G62 K59:L67 J65 J59 J62 N59:O67 M62 P88 E85:F93 S65 S59 S62 H85:I93 G91 G85 G88 K85:L93 J91 J85 J88 N85:O93 M88 P114 E111:F119 S91 S85 S88 H111:I119 G117 G111 G114 K111:L119 J117 J111 J114 N111:O119 M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19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AF24"/>
  <sheetViews>
    <sheetView workbookViewId="0">
      <selection activeCell="V24" sqref="V24"/>
    </sheetView>
  </sheetViews>
  <sheetFormatPr baseColWidth="10" defaultRowHeight="13.2"/>
  <cols>
    <col min="1" max="1" width="4.2187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44140625" customWidth="1"/>
    <col min="14" max="14" width="7.6640625" customWidth="1"/>
    <col min="16" max="16" width="4.44140625" customWidth="1"/>
    <col min="17" max="17" width="11.44140625" customWidth="1"/>
    <col min="18" max="18" width="14.33203125" customWidth="1"/>
    <col min="19" max="25" width="11.44140625" customWidth="1"/>
    <col min="26" max="26" width="11.44140625" hidden="1" customWidth="1"/>
    <col min="27" max="27" width="14.44140625" style="169" hidden="1" customWidth="1"/>
    <col min="28" max="28" width="6.44140625" style="169" hidden="1" customWidth="1"/>
    <col min="29" max="29" width="11" style="169" hidden="1" customWidth="1"/>
    <col min="30" max="30" width="5.21875" style="169" hidden="1" customWidth="1"/>
    <col min="31" max="31" width="6" style="169" hidden="1" customWidth="1"/>
    <col min="32" max="32" width="11.44140625" hidden="1" customWidth="1"/>
    <col min="33" max="50" width="11.44140625" customWidth="1"/>
  </cols>
  <sheetData>
    <row r="1" spans="1:31" ht="28.5" customHeight="1">
      <c r="A1" s="449" t="str">
        <f>Schlüssel!$C$1</f>
        <v>Landesliga Jugend</v>
      </c>
      <c r="B1" s="449"/>
      <c r="C1" s="449" t="s">
        <v>1786</v>
      </c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>
        <f>+Erfassung4!S1</f>
        <v>45787</v>
      </c>
      <c r="O1" s="449"/>
      <c r="P1" s="55"/>
      <c r="Q1" s="55"/>
      <c r="AA1" s="169" t="s">
        <v>2091</v>
      </c>
    </row>
    <row r="2" spans="1:31" ht="28.5" customHeight="1">
      <c r="A2" s="450" t="str">
        <f>"Saison "&amp;Spielorte!C18&amp;"     -     Spieltag "&amp;Erfassung4!S2&amp;"     -     "&amp;TEXT(Erfassung4!S1,"T. MMMM JJJJ")</f>
        <v>Saison 2024/2025     -     Spieltag 4     -     10. Mai 2025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55"/>
      <c r="Q2" s="55"/>
    </row>
    <row r="3" spans="1:31" ht="28.5" customHeight="1">
      <c r="A3" s="450" t="str">
        <f>+Erfassung4!G2</f>
        <v>Bad Tölz Flint Bowling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55"/>
      <c r="Q3" s="55"/>
    </row>
    <row r="4" spans="1:31" ht="13.8" thickBot="1"/>
    <row r="5" spans="1:31">
      <c r="A5" s="451" t="s">
        <v>1804</v>
      </c>
      <c r="B5" s="447" t="s">
        <v>1805</v>
      </c>
      <c r="C5" s="443" t="s">
        <v>1793</v>
      </c>
      <c r="D5" s="444"/>
      <c r="E5" s="443" t="s">
        <v>1794</v>
      </c>
      <c r="F5" s="444"/>
      <c r="G5" s="443" t="s">
        <v>1795</v>
      </c>
      <c r="H5" s="444"/>
      <c r="I5" s="443" t="s">
        <v>1796</v>
      </c>
      <c r="J5" s="444"/>
      <c r="K5" s="443" t="s">
        <v>1797</v>
      </c>
      <c r="L5" s="444"/>
      <c r="M5" s="443" t="s">
        <v>1792</v>
      </c>
      <c r="N5" s="444"/>
      <c r="O5" s="445" t="s">
        <v>1806</v>
      </c>
      <c r="P5" s="55"/>
      <c r="Q5" s="55"/>
    </row>
    <row r="6" spans="1:31" ht="13.8" thickBot="1">
      <c r="A6" s="452"/>
      <c r="B6" s="448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6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>
      <c r="A7" s="163">
        <v>1</v>
      </c>
      <c r="B7" s="104" t="str">
        <f>INDEX(Erfassung4!$B:$B,MATCH($A7,Erfassung4!$BE:$BE,0)-14)</f>
        <v>BK München 1</v>
      </c>
      <c r="C7" s="82">
        <f>INDEX(Erfassung4!F:F,MATCH($A7,Erfassung4!$BE:$BE,0)-1)</f>
        <v>419</v>
      </c>
      <c r="D7" s="83">
        <f>INDEX(Erfassung4!G:G,MATCH($A7,Erfassung4!$BE:$BE,0))</f>
        <v>4</v>
      </c>
      <c r="E7" s="82">
        <f>INDEX(Erfassung4!I:I,MATCH($A7,Erfassung4!$BE:$BE,0)-1)</f>
        <v>452</v>
      </c>
      <c r="F7" s="83">
        <f>INDEX(Erfassung4!J:J,MATCH($A7,Erfassung4!$BE:$BE,0))</f>
        <v>4</v>
      </c>
      <c r="G7" s="82">
        <f>INDEX(Erfassung4!L:L,MATCH($A7,Erfassung4!$BE:$BE,0)-1)</f>
        <v>473</v>
      </c>
      <c r="H7" s="83">
        <f>INDEX(Erfassung4!M:M,MATCH($A7,Erfassung4!$BE:$BE,0))</f>
        <v>4</v>
      </c>
      <c r="I7" s="82">
        <f>INDEX(Erfassung4!O:O,MATCH($A7,Erfassung4!$BE:$BE,0)-1)</f>
        <v>494</v>
      </c>
      <c r="J7" s="83">
        <f>INDEX(Erfassung4!P:P,MATCH($A7,Erfassung4!$BE:$BE,0))</f>
        <v>3</v>
      </c>
      <c r="K7" s="82">
        <f>INDEX(Erfassung4!R:R,MATCH($A7,Erfassung4!$BE:$BE,0)-1)</f>
        <v>513</v>
      </c>
      <c r="L7" s="83">
        <f>INDEX(Erfassung4!S:S,MATCH($A7,Erfassung4!$BE:$BE,0))</f>
        <v>4</v>
      </c>
      <c r="M7" s="84">
        <f t="shared" ref="M7:N12" si="0">SUM(C7+E7+G7+I7+K7)</f>
        <v>2351</v>
      </c>
      <c r="N7" s="85">
        <f t="shared" si="0"/>
        <v>19</v>
      </c>
      <c r="O7" s="65">
        <f>IFERROR(M7/INDEX(Erfassung4!AW:AW,MATCH(A7,Erfassung4!BE:BE,0)),0)</f>
        <v>156.73333333333332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INDEX(Tabelle3!AA:AA,MATCH(B7,Tabelle3!B:B,0))+M7</f>
        <v>11402</v>
      </c>
      <c r="AB7" s="167">
        <f>INDEX(Tabelle3!AB:AB,MATCH(B7,Tabelle3!B:B,0))+N7</f>
        <v>85</v>
      </c>
      <c r="AC7" s="169">
        <f>+AB7+AA7/1000000000</f>
        <v>85.000011401999998</v>
      </c>
      <c r="AD7" s="169">
        <f>RANK(AC7,AC:AC)</f>
        <v>1</v>
      </c>
      <c r="AE7" s="169">
        <f>INDEX(Tabelle3!AE:AE,MATCH(B7,Tabelle3!B:B,0))+SUMIF(Erfassung4!BH:BH,B7,Erfassung4!AW:AW)</f>
        <v>60</v>
      </c>
    </row>
    <row r="8" spans="1:31" ht="42" customHeight="1" thickBot="1">
      <c r="A8" s="163">
        <v>2</v>
      </c>
      <c r="B8" s="104" t="str">
        <f>INDEX(Erfassung4!$B:$B,MATCH($A8,Erfassung4!$BE:$BE,0)-14)</f>
        <v>Bad Tölz 1</v>
      </c>
      <c r="C8" s="82">
        <f>INDEX(Erfassung4!F:F,MATCH($A8,Erfassung4!$BE:$BE,0)-1)</f>
        <v>478</v>
      </c>
      <c r="D8" s="83">
        <f>INDEX(Erfassung4!G:G,MATCH($A8,Erfassung4!$BE:$BE,0))</f>
        <v>4</v>
      </c>
      <c r="E8" s="82">
        <f>INDEX(Erfassung4!I:I,MATCH($A8,Erfassung4!$BE:$BE,0)-1)</f>
        <v>447</v>
      </c>
      <c r="F8" s="83">
        <f>INDEX(Erfassung4!J:J,MATCH($A8,Erfassung4!$BE:$BE,0))</f>
        <v>1</v>
      </c>
      <c r="G8" s="82">
        <f>INDEX(Erfassung4!L:L,MATCH($A8,Erfassung4!$BE:$BE,0)-1)</f>
        <v>405</v>
      </c>
      <c r="H8" s="83">
        <f>INDEX(Erfassung4!M:M,MATCH($A8,Erfassung4!$BE:$BE,0))</f>
        <v>1</v>
      </c>
      <c r="I8" s="82">
        <f>INDEX(Erfassung4!O:O,MATCH($A8,Erfassung4!$BE:$BE,0)-1)</f>
        <v>427</v>
      </c>
      <c r="J8" s="83">
        <f>INDEX(Erfassung4!P:P,MATCH($A8,Erfassung4!$BE:$BE,0))</f>
        <v>5</v>
      </c>
      <c r="K8" s="82">
        <f>INDEX(Erfassung4!R:R,MATCH($A8,Erfassung4!$BE:$BE,0)-1)</f>
        <v>509</v>
      </c>
      <c r="L8" s="83">
        <f>INDEX(Erfassung4!S:S,MATCH($A8,Erfassung4!$BE:$BE,0))</f>
        <v>5</v>
      </c>
      <c r="M8" s="84">
        <f t="shared" si="0"/>
        <v>2266</v>
      </c>
      <c r="N8" s="85">
        <f t="shared" si="0"/>
        <v>16</v>
      </c>
      <c r="O8" s="65">
        <f>IFERROR(M8/INDEX(Erfassung4!AW:AW,MATCH(A8,Erfassung4!BE:BE,0)),0)</f>
        <v>151.06666666666666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>
        <f>INDEX(Tabelle3!AA:AA,MATCH(B8,Tabelle3!B:B,0))+M8</f>
        <v>9377</v>
      </c>
      <c r="AB8" s="167">
        <f>INDEX(Tabelle3!AB:AB,MATCH(B8,Tabelle3!B:B,0))+N8</f>
        <v>57.5</v>
      </c>
      <c r="AC8" s="169">
        <f>+AB8+AA8/1000000000</f>
        <v>57.500009376999998</v>
      </c>
      <c r="AD8" s="169">
        <f>RANK(AC8,AC:AC)</f>
        <v>2</v>
      </c>
      <c r="AE8" s="169">
        <f>INDEX(Tabelle3!AE:AE,MATCH(B8,Tabelle3!B:B,0))+SUMIF(Erfassung4!BH:BH,B8,Erfassung4!AW:AW)</f>
        <v>55</v>
      </c>
    </row>
    <row r="9" spans="1:31" ht="42" customHeight="1" thickBot="1">
      <c r="A9" s="163">
        <v>3</v>
      </c>
      <c r="B9" s="104" t="str">
        <f>INDEX(Erfassung4!$B:$B,MATCH($A9,Erfassung4!$BE:$BE,0)-14)</f>
        <v>Highroller Rosenheim 3</v>
      </c>
      <c r="C9" s="82">
        <f>INDEX(Erfassung4!F:F,MATCH($A9,Erfassung4!$BE:$BE,0)-1)</f>
        <v>444</v>
      </c>
      <c r="D9" s="83">
        <f>INDEX(Erfassung4!G:G,MATCH($A9,Erfassung4!$BE:$BE,0))</f>
        <v>4</v>
      </c>
      <c r="E9" s="82">
        <f>INDEX(Erfassung4!I:I,MATCH($A9,Erfassung4!$BE:$BE,0)-1)</f>
        <v>405</v>
      </c>
      <c r="F9" s="83">
        <f>INDEX(Erfassung4!J:J,MATCH($A9,Erfassung4!$BE:$BE,0))</f>
        <v>1</v>
      </c>
      <c r="G9" s="82">
        <f>INDEX(Erfassung4!L:L,MATCH($A9,Erfassung4!$BE:$BE,0)-1)</f>
        <v>480</v>
      </c>
      <c r="H9" s="83">
        <f>INDEX(Erfassung4!M:M,MATCH($A9,Erfassung4!$BE:$BE,0))</f>
        <v>4</v>
      </c>
      <c r="I9" s="82">
        <f>INDEX(Erfassung4!O:O,MATCH($A9,Erfassung4!$BE:$BE,0)-1)</f>
        <v>421</v>
      </c>
      <c r="J9" s="83">
        <f>INDEX(Erfassung4!P:P,MATCH($A9,Erfassung4!$BE:$BE,0))</f>
        <v>2</v>
      </c>
      <c r="K9" s="82">
        <f>INDEX(Erfassung4!R:R,MATCH($A9,Erfassung4!$BE:$BE,0)-1)</f>
        <v>455</v>
      </c>
      <c r="L9" s="83">
        <f>INDEX(Erfassung4!S:S,MATCH($A9,Erfassung4!$BE:$BE,0))</f>
        <v>5</v>
      </c>
      <c r="M9" s="84">
        <f t="shared" si="0"/>
        <v>2205</v>
      </c>
      <c r="N9" s="85">
        <f t="shared" si="0"/>
        <v>16</v>
      </c>
      <c r="O9" s="65">
        <f>IFERROR(M9/INDEX(Erfassung4!AW:AW,MATCH(A9,Erfassung4!BE:BE,0)),0)</f>
        <v>147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>
        <f>INDEX(Tabelle3!AA:AA,MATCH(B9,Tabelle3!B:B,0))+M9</f>
        <v>9136</v>
      </c>
      <c r="AB9" s="167">
        <f>INDEX(Tabelle3!AB:AB,MATCH(B9,Tabelle3!B:B,0))+N9</f>
        <v>38</v>
      </c>
      <c r="AC9" s="169">
        <f>+AB9+AA9/1000000000</f>
        <v>38.000009136000003</v>
      </c>
      <c r="AD9" s="169">
        <f>RANK(AC9,AC:AC)</f>
        <v>7</v>
      </c>
      <c r="AE9" s="169">
        <f>INDEX(Tabelle3!AE:AE,MATCH(B9,Tabelle3!B:B,0))+SUMIF(Erfassung4!BH:BH,B9,Erfassung4!AW:AW)</f>
        <v>60</v>
      </c>
    </row>
    <row r="10" spans="1:31" ht="42" customHeight="1" thickBot="1">
      <c r="A10" s="163">
        <v>4</v>
      </c>
      <c r="B10" s="104" t="str">
        <f>INDEX(Erfassung4!$B:$B,MATCH($A10,Erfassung4!$BE:$BE,0)-14)</f>
        <v>Berchtesgaden 1</v>
      </c>
      <c r="C10" s="82">
        <f>INDEX(Erfassung4!F:F,MATCH($A10,Erfassung4!$BE:$BE,0)-1)</f>
        <v>457</v>
      </c>
      <c r="D10" s="83">
        <f>INDEX(Erfassung4!G:G,MATCH($A10,Erfassung4!$BE:$BE,0))</f>
        <v>1</v>
      </c>
      <c r="E10" s="82">
        <f>INDEX(Erfassung4!I:I,MATCH($A10,Erfassung4!$BE:$BE,0)-1)</f>
        <v>417</v>
      </c>
      <c r="F10" s="83">
        <f>INDEX(Erfassung4!J:J,MATCH($A10,Erfassung4!$BE:$BE,0))</f>
        <v>4</v>
      </c>
      <c r="G10" s="82">
        <f>INDEX(Erfassung4!L:L,MATCH($A10,Erfassung4!$BE:$BE,0)-1)</f>
        <v>418</v>
      </c>
      <c r="H10" s="83">
        <f>INDEX(Erfassung4!M:M,MATCH($A10,Erfassung4!$BE:$BE,0))</f>
        <v>5</v>
      </c>
      <c r="I10" s="82">
        <f>INDEX(Erfassung4!O:O,MATCH($A10,Erfassung4!$BE:$BE,0)-1)</f>
        <v>470</v>
      </c>
      <c r="J10" s="83">
        <f>INDEX(Erfassung4!P:P,MATCH($A10,Erfassung4!$BE:$BE,0))</f>
        <v>1</v>
      </c>
      <c r="K10" s="82">
        <f>INDEX(Erfassung4!R:R,MATCH($A10,Erfassung4!$BE:$BE,0)-1)</f>
        <v>451</v>
      </c>
      <c r="L10" s="83">
        <f>INDEX(Erfassung4!S:S,MATCH($A10,Erfassung4!$BE:$BE,0))</f>
        <v>4</v>
      </c>
      <c r="M10" s="84">
        <f t="shared" si="0"/>
        <v>2213</v>
      </c>
      <c r="N10" s="85">
        <f t="shared" si="0"/>
        <v>15</v>
      </c>
      <c r="O10" s="65">
        <f>IFERROR(M10/INDEX(Erfassung4!AW:AW,MATCH(A10,Erfassung4!BE:BE,0)),0)</f>
        <v>147.53333333333333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>
        <f>INDEX(Tabelle3!AA:AA,MATCH(B10,Tabelle3!B:B,0))+M10</f>
        <v>9242</v>
      </c>
      <c r="AB10" s="167">
        <f>INDEX(Tabelle3!AB:AB,MATCH(B10,Tabelle3!B:B,0))+N10</f>
        <v>51.5</v>
      </c>
      <c r="AC10" s="169">
        <f>+AB10+AA10/1000000000</f>
        <v>51.500009241999997</v>
      </c>
      <c r="AD10" s="169">
        <f>RANK(AC10,AC:AC)</f>
        <v>3</v>
      </c>
      <c r="AE10" s="169">
        <f>INDEX(Tabelle3!AE:AE,MATCH(B10,Tabelle3!B:B,0))+SUMIF(Erfassung4!BH:BH,B10,Erfassung4!AW:AW)</f>
        <v>60</v>
      </c>
    </row>
    <row r="11" spans="1:31" ht="42" customHeight="1" thickBot="1">
      <c r="A11" s="163">
        <v>5</v>
      </c>
      <c r="B11" s="104" t="str">
        <f>INDEX(Erfassung4!$B:$B,MATCH($A11,Erfassung4!$BE:$BE,0)-14)</f>
        <v>Highroller Rosenheim 2</v>
      </c>
      <c r="C11" s="82">
        <f>INDEX(Erfassung4!F:F,MATCH($A11,Erfassung4!$BE:$BE,0)-1)</f>
        <v>393</v>
      </c>
      <c r="D11" s="83">
        <f>INDEX(Erfassung4!G:G,MATCH($A11,Erfassung4!$BE:$BE,0))</f>
        <v>4</v>
      </c>
      <c r="E11" s="82">
        <f>INDEX(Erfassung4!I:I,MATCH($A11,Erfassung4!$BE:$BE,0)-1)</f>
        <v>412</v>
      </c>
      <c r="F11" s="83">
        <f>INDEX(Erfassung4!J:J,MATCH($A11,Erfassung4!$BE:$BE,0))</f>
        <v>0</v>
      </c>
      <c r="G11" s="82">
        <f>INDEX(Erfassung4!L:L,MATCH($A11,Erfassung4!$BE:$BE,0)-1)</f>
        <v>439</v>
      </c>
      <c r="H11" s="83">
        <f>INDEX(Erfassung4!M:M,MATCH($A11,Erfassung4!$BE:$BE,0))</f>
        <v>5</v>
      </c>
      <c r="I11" s="82">
        <f>INDEX(Erfassung4!O:O,MATCH($A11,Erfassung4!$BE:$BE,0)-1)</f>
        <v>510</v>
      </c>
      <c r="J11" s="83">
        <f>INDEX(Erfassung4!P:P,MATCH($A11,Erfassung4!$BE:$BE,0))</f>
        <v>4</v>
      </c>
      <c r="K11" s="82">
        <f>INDEX(Erfassung4!R:R,MATCH($A11,Erfassung4!$BE:$BE,0)-1)</f>
        <v>426</v>
      </c>
      <c r="L11" s="83">
        <f>INDEX(Erfassung4!S:S,MATCH($A11,Erfassung4!$BE:$BE,0))</f>
        <v>0</v>
      </c>
      <c r="M11" s="84">
        <f t="shared" si="0"/>
        <v>2180</v>
      </c>
      <c r="N11" s="85">
        <f t="shared" si="0"/>
        <v>13</v>
      </c>
      <c r="O11" s="65">
        <f>IFERROR(M11/INDEX(Erfassung4!AW:AW,MATCH(A11,Erfassung4!BE:BE,0)),0)</f>
        <v>145.33333333333334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>
        <f>INDEX(Tabelle3!AA:AA,MATCH(B11,Tabelle3!B:B,0))+M11</f>
        <v>8860</v>
      </c>
      <c r="AB11" s="167">
        <f>INDEX(Tabelle3!AB:AB,MATCH(B11,Tabelle3!B:B,0))+N11</f>
        <v>32</v>
      </c>
      <c r="AC11" s="169">
        <f>+AB11+AA11/1000000000</f>
        <v>32.000008860000001</v>
      </c>
      <c r="AD11" s="169">
        <f>RANK(AC11,AC:AC)</f>
        <v>8</v>
      </c>
      <c r="AE11" s="169">
        <f>INDEX(Tabelle3!AE:AE,MATCH(B11,Tabelle3!B:B,0))+SUMIF(Erfassung4!BH:BH,B11,Erfassung4!AW:AW)</f>
        <v>60</v>
      </c>
    </row>
    <row r="12" spans="1:31" ht="42" customHeight="1" thickBot="1">
      <c r="A12" s="163">
        <v>6</v>
      </c>
      <c r="B12" s="104" t="str">
        <f>INDEX(Erfassung4!$B:$B,MATCH($A12,Erfassung4!$BE:$BE,0)-14)</f>
        <v>EMAX 1</v>
      </c>
      <c r="C12" s="82">
        <f>INDEX(Erfassung4!F:F,MATCH($A12,Erfassung4!$BE:$BE,0)-1)</f>
        <v>372</v>
      </c>
      <c r="D12" s="83">
        <f>INDEX(Erfassung4!G:G,MATCH($A12,Erfassung4!$BE:$BE,0))</f>
        <v>1</v>
      </c>
      <c r="E12" s="82">
        <f>INDEX(Erfassung4!I:I,MATCH($A12,Erfassung4!$BE:$BE,0)-1)</f>
        <v>466</v>
      </c>
      <c r="F12" s="83">
        <f>INDEX(Erfassung4!J:J,MATCH($A12,Erfassung4!$BE:$BE,0))</f>
        <v>5</v>
      </c>
      <c r="G12" s="82">
        <f>INDEX(Erfassung4!L:L,MATCH($A12,Erfassung4!$BE:$BE,0)-1)</f>
        <v>394</v>
      </c>
      <c r="H12" s="83">
        <f>INDEX(Erfassung4!M:M,MATCH($A12,Erfassung4!$BE:$BE,0))</f>
        <v>0</v>
      </c>
      <c r="I12" s="82">
        <f>INDEX(Erfassung4!O:O,MATCH($A12,Erfassung4!$BE:$BE,0)-1)</f>
        <v>485</v>
      </c>
      <c r="J12" s="83">
        <f>INDEX(Erfassung4!P:P,MATCH($A12,Erfassung4!$BE:$BE,0))</f>
        <v>4</v>
      </c>
      <c r="K12" s="82">
        <f>INDEX(Erfassung4!R:R,MATCH($A12,Erfassung4!$BE:$BE,0)-1)</f>
        <v>439</v>
      </c>
      <c r="L12" s="83">
        <f>INDEX(Erfassung4!S:S,MATCH($A12,Erfassung4!$BE:$BE,0))</f>
        <v>1</v>
      </c>
      <c r="M12" s="84">
        <f t="shared" si="0"/>
        <v>2156</v>
      </c>
      <c r="N12" s="85">
        <f t="shared" si="0"/>
        <v>11</v>
      </c>
      <c r="O12" s="65">
        <f>IFERROR(M12/INDEX(Erfassung4!AW:AW,MATCH(A12,Erfassung4!BE:BE,0)),0)</f>
        <v>143.73333333333332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>
        <f>INDEX(Tabelle3!AA:AA,MATCH(B12,Tabelle3!B:B,0))+M12</f>
        <v>9200</v>
      </c>
      <c r="AB12" s="167">
        <f>INDEX(Tabelle3!AB:AB,MATCH(B12,Tabelle3!B:B,0))+N12</f>
        <v>49.5</v>
      </c>
      <c r="AC12" s="169">
        <f t="shared" ref="AC12:AC14" si="1">+AB12+AA12/1000000000</f>
        <v>49.500009200000001</v>
      </c>
      <c r="AD12" s="169">
        <f t="shared" ref="AD12:AD14" si="2">RANK(AC12,AC:AC)</f>
        <v>4</v>
      </c>
      <c r="AE12" s="169">
        <f>INDEX(Tabelle3!AE:AE,MATCH(B12,Tabelle3!B:B,0))+SUMIF(Erfassung4!BH:BH,B12,Erfassung4!AW:AW)</f>
        <v>60</v>
      </c>
    </row>
    <row r="13" spans="1:31" ht="42" customHeight="1" thickBot="1">
      <c r="A13" s="163">
        <v>7</v>
      </c>
      <c r="B13" s="104" t="str">
        <f>INDEX(Erfassung4!$B:$B,MATCH($A13,Erfassung4!$BE:$BE,0)-14)</f>
        <v>Bowling Jugend Bayern 1</v>
      </c>
      <c r="C13" s="82">
        <f>INDEX(Erfassung4!F:F,MATCH($A13,Erfassung4!$BE:$BE,0)-1)</f>
        <v>372</v>
      </c>
      <c r="D13" s="83">
        <f>INDEX(Erfassung4!G:G,MATCH($A13,Erfassung4!$BE:$BE,0))</f>
        <v>1</v>
      </c>
      <c r="E13" s="82">
        <f>INDEX(Erfassung4!I:I,MATCH($A13,Erfassung4!$BE:$BE,0)-1)</f>
        <v>468</v>
      </c>
      <c r="F13" s="83">
        <f>INDEX(Erfassung4!J:J,MATCH($A13,Erfassung4!$BE:$BE,0))</f>
        <v>4</v>
      </c>
      <c r="G13" s="82">
        <f>INDEX(Erfassung4!L:L,MATCH($A13,Erfassung4!$BE:$BE,0)-1)</f>
        <v>437</v>
      </c>
      <c r="H13" s="83">
        <f>INDEX(Erfassung4!M:M,MATCH($A13,Erfassung4!$BE:$BE,0))</f>
        <v>1</v>
      </c>
      <c r="I13" s="82">
        <f>INDEX(Erfassung4!O:O,MATCH($A13,Erfassung4!$BE:$BE,0)-1)</f>
        <v>379</v>
      </c>
      <c r="J13" s="83">
        <f>INDEX(Erfassung4!P:P,MATCH($A13,Erfassung4!$BE:$BE,0))</f>
        <v>0</v>
      </c>
      <c r="K13" s="82">
        <f>INDEX(Erfassung4!R:R,MATCH($A13,Erfassung4!$BE:$BE,0)-1)</f>
        <v>435</v>
      </c>
      <c r="L13" s="83">
        <f>INDEX(Erfassung4!S:S,MATCH($A13,Erfassung4!$BE:$BE,0))</f>
        <v>1</v>
      </c>
      <c r="M13" s="84">
        <f t="shared" ref="M13:M14" si="3">SUM(C13+E13+G13+I13+K13)</f>
        <v>2091</v>
      </c>
      <c r="N13" s="85">
        <f t="shared" ref="N13:N14" si="4">SUM(D13+F13+H13+J13+L13)</f>
        <v>7</v>
      </c>
      <c r="O13" s="65">
        <f>IFERROR(M13/INDEX(Erfassung4!AW:AW,MATCH(A13,Erfassung4!BE:BE,0)),0)</f>
        <v>139.4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>
        <f>INDEX(Tabelle3!AA:AA,MATCH(B13,Tabelle3!B:B,0))+M13</f>
        <v>9478</v>
      </c>
      <c r="AB13" s="167">
        <f>INDEX(Tabelle3!AB:AB,MATCH(B13,Tabelle3!B:B,0))+N13</f>
        <v>47.5</v>
      </c>
      <c r="AC13" s="169">
        <f t="shared" si="1"/>
        <v>47.500009478000003</v>
      </c>
      <c r="AD13" s="169">
        <f t="shared" si="2"/>
        <v>5</v>
      </c>
      <c r="AE13" s="169">
        <f>INDEX(Tabelle3!AE:AE,MATCH(B13,Tabelle3!B:B,0))+SUMIF(Erfassung4!BH:BH,B13,Erfassung4!AW:AW)</f>
        <v>60</v>
      </c>
    </row>
    <row r="14" spans="1:31" ht="42" customHeight="1" thickBot="1">
      <c r="A14" s="163">
        <v>8</v>
      </c>
      <c r="B14" s="104" t="str">
        <f>INDEX(Erfassung4!$B:$B,MATCH($A14,Erfassung4!$BE:$BE,0)-14)</f>
        <v>Highroller Rosenheim 1</v>
      </c>
      <c r="C14" s="82">
        <f>INDEX(Erfassung4!F:F,MATCH($A14,Erfassung4!$BE:$BE,0)-1)</f>
        <v>396</v>
      </c>
      <c r="D14" s="83">
        <f>INDEX(Erfassung4!G:G,MATCH($A14,Erfassung4!$BE:$BE,0))</f>
        <v>1</v>
      </c>
      <c r="E14" s="82">
        <f>INDEX(Erfassung4!I:I,MATCH($A14,Erfassung4!$BE:$BE,0)-1)</f>
        <v>403</v>
      </c>
      <c r="F14" s="83">
        <f>INDEX(Erfassung4!J:J,MATCH($A14,Erfassung4!$BE:$BE,0))</f>
        <v>1</v>
      </c>
      <c r="G14" s="82">
        <f>INDEX(Erfassung4!L:L,MATCH($A14,Erfassung4!$BE:$BE,0)-1)</f>
        <v>334</v>
      </c>
      <c r="H14" s="83">
        <f>INDEX(Erfassung4!M:M,MATCH($A14,Erfassung4!$BE:$BE,0))</f>
        <v>0</v>
      </c>
      <c r="I14" s="82">
        <f>INDEX(Erfassung4!O:O,MATCH($A14,Erfassung4!$BE:$BE,0)-1)</f>
        <v>465</v>
      </c>
      <c r="J14" s="83">
        <f>INDEX(Erfassung4!P:P,MATCH($A14,Erfassung4!$BE:$BE,0))</f>
        <v>1</v>
      </c>
      <c r="K14" s="82">
        <f>INDEX(Erfassung4!R:R,MATCH($A14,Erfassung4!$BE:$BE,0)-1)</f>
        <v>428</v>
      </c>
      <c r="L14" s="83">
        <f>INDEX(Erfassung4!S:S,MATCH($A14,Erfassung4!$BE:$BE,0))</f>
        <v>0</v>
      </c>
      <c r="M14" s="84">
        <f t="shared" si="3"/>
        <v>2026</v>
      </c>
      <c r="N14" s="85">
        <f t="shared" si="4"/>
        <v>3</v>
      </c>
      <c r="O14" s="65">
        <f>IFERROR(M14/INDEX(Erfassung4!AW:AW,MATCH(A14,Erfassung4!BE:BE,0)),0)</f>
        <v>135.06666666666666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>
        <f>INDEX(Tabelle3!AA:AA,MATCH(B14,Tabelle3!B:B,0))+M14</f>
        <v>9143</v>
      </c>
      <c r="AB14" s="167">
        <f>INDEX(Tabelle3!AB:AB,MATCH(B14,Tabelle3!B:B,0))+N14</f>
        <v>39</v>
      </c>
      <c r="AC14" s="169">
        <f t="shared" si="1"/>
        <v>39.000009143</v>
      </c>
      <c r="AD14" s="169">
        <f t="shared" si="2"/>
        <v>6</v>
      </c>
      <c r="AE14" s="169">
        <f>INDEX(Tabelle3!AE:AE,MATCH(B14,Tabelle3!B:B,0))+SUMIF(Erfassung4!BH:BH,B14,Erfassung4!AW:AW)</f>
        <v>60</v>
      </c>
    </row>
    <row r="17" spans="2:18" ht="15.6">
      <c r="B17" s="442" t="s">
        <v>2380</v>
      </c>
      <c r="C17" s="442"/>
      <c r="D17" s="442"/>
      <c r="E17" s="442"/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89"/>
      <c r="Q17" s="89"/>
      <c r="R17" s="89"/>
    </row>
    <row r="18" spans="2:18">
      <c r="C18" s="453"/>
      <c r="D18" s="453"/>
      <c r="E18" s="453"/>
      <c r="F18" s="453"/>
      <c r="G18" s="453"/>
      <c r="H18" s="453"/>
    </row>
    <row r="19" spans="2:18">
      <c r="B19" s="89" t="s">
        <v>1817</v>
      </c>
      <c r="C19" t="str">
        <f>IFERROR(INDEX(Erfassung4!B:B,MATCH(1,Erfassung4!BI:BI,0)),"")</f>
        <v>Wheeldon, Vincent</v>
      </c>
      <c r="H19" t="str">
        <f>INDEX(Erfassung4!BH:BH,MATCH(C19,Erfassung4!B:B,0))</f>
        <v>BK München 1</v>
      </c>
      <c r="N19" s="87">
        <f>IFERROR(ROUND(INDEX(Erfassung4!BG:BG,MATCH(1,Erfassung4!BI:BI,0)),0),"")</f>
        <v>216</v>
      </c>
    </row>
    <row r="20" spans="2:18">
      <c r="B20" s="89"/>
      <c r="C20" t="str">
        <f>IF(N20="","",IFERROR(INDEX(Erfassung4!B:B,MATCH(2,Erfassung4!BI:BI,0)),""))</f>
        <v/>
      </c>
      <c r="H20" t="str">
        <f>IF(C20="","",INDEX(Erfassung4!BH:BH,MATCH(C20,Erfassung4!B:B,0)))</f>
        <v/>
      </c>
      <c r="N20" s="88" t="str">
        <f>IF(IFERROR(ROUND(INDEX(Erfassung4!BG:BG,MATCH(2,Erfassung4!BI:BI,0)),0),0)=0,"",IFERROR(ROUND(INDEX(Erfassung4!BG:BG,MATCH(2,Erfassung4!BI:BI,0)),0),0))</f>
        <v/>
      </c>
    </row>
    <row r="21" spans="2:18">
      <c r="B21" s="89"/>
      <c r="C21" t="str">
        <f>IF(N21="","",IFERROR(INDEX(Erfassung4!B:B,MATCH(3,Erfassung4!BI:BI,0)),""))</f>
        <v/>
      </c>
      <c r="H21" t="str">
        <f>IF(C21="","",INDEX(Erfassung4!BH:BH,MATCH(C21,Erfassung4!B:B,0)))</f>
        <v/>
      </c>
      <c r="N21" s="88" t="str">
        <f>IF(IFERROR(ROUND(INDEX(Erfassung4!BG:BG,MATCH(3,Erfassung4!BI:BI,0)),0),0)=0,"",IFERROR(ROUND(INDEX(Erfassung4!BG:BG,MATCH(3,Erfassung4!BI:BI,0)),0),""))</f>
        <v/>
      </c>
    </row>
    <row r="22" spans="2:18">
      <c r="B22" s="89" t="s">
        <v>1818</v>
      </c>
      <c r="C22" t="str">
        <f>IFERROR(INDEX(Erfassung4!B:B,MATCH(1,Erfassung4!BM:BM,0)),"")</f>
        <v>Wheeldon, Vincent</v>
      </c>
      <c r="H22" t="str">
        <f>INDEX(Erfassung4!BH:BH,MATCH(C22,Erfassung4!B:B,0))</f>
        <v>BK München 1</v>
      </c>
      <c r="N22" s="441" t="str">
        <f>IFERROR(ROUND(INDEX(Erfassung4!BJ:BJ,MATCH(1,Erfassung4!BM:BM,0)),0),"")&amp;"  /  "&amp;ROUND(IFERROR(ROUND(INDEX(Erfassung4!BJ:BJ,MATCH(1,Erfassung4!BM:BM,0)),0),"")/5,2)</f>
        <v>849  /  169,8</v>
      </c>
      <c r="O22" s="441"/>
      <c r="P22" s="78"/>
    </row>
    <row r="23" spans="2:18">
      <c r="C23" t="str">
        <f>IF(N23="","",IFERROR(INDEX(Erfassung4!B:B,MATCH(2,Erfassung4!BM:BM,0)),""))</f>
        <v/>
      </c>
      <c r="E23" s="6"/>
      <c r="H23" t="str">
        <f>IF(C23="","",INDEX(Erfassung4!BH:BH,MATCH(C23,Erfassung4!B:B,0)))</f>
        <v/>
      </c>
      <c r="N23" s="88" t="str">
        <f>IF(IFERROR(ROUND(INDEX(Erfassung4!BJ:BJ,MATCH(2,Erfassung4!BM:BM,0)),0),0)=0,"",IFERROR(ROUND(INDEX(Erfassung4!BJ:BJ,MATCH(2,Erfassung4!BM:BM,0)),0),0))</f>
        <v/>
      </c>
    </row>
    <row r="24" spans="2:18">
      <c r="C24" t="str">
        <f>IF(N24="","",IFERROR(INDEX(Erfassung4!B:B,MATCH(3,Erfassung4!BM:BM,0)),""))</f>
        <v/>
      </c>
      <c r="E24" s="6"/>
      <c r="H24" t="str">
        <f>IF(C24="","",INDEX(Erfassung4!BH:BH,MATCH(C24,Erfassung4!B:B,0)))</f>
        <v/>
      </c>
      <c r="N24" s="88" t="str">
        <f>IF(IFERROR(ROUND(INDEX(Erfassung4!BJ:BJ,MATCH(3,Erfassung4!BM:BM,0)),0),0)=0,"",IFERROR(ROUND(INDEX(Erfassung4!BJ:BJ,MATCH(3,Erfassung4!BM:BM,0)),0),0))</f>
        <v/>
      </c>
    </row>
  </sheetData>
  <sheetProtection algorithmName="SHA-512" hashValue="1OSb9vzcKZhTMv68NFBrJBBEHETbEAlHWhp9yP5uf2SGBL1w2itCdG08pZ34DMFgxBzBea51ER9SpFOSO5d4PQ==" saltValue="BIc0O0Ung0FfKDkxAXcSEQ==" spinCount="100000" sheet="1" objects="1" scenarios="1" formatCells="0" formatColumns="0" formatRows="0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C18:H18"/>
    <mergeCell ref="N22:O22"/>
    <mergeCell ref="M5:N5"/>
    <mergeCell ref="O5:O6"/>
    <mergeCell ref="K5:L5"/>
    <mergeCell ref="B17:O17"/>
  </mergeCells>
  <conditionalFormatting sqref="C7:L14">
    <cfRule type="top10" dxfId="200" priority="6" stopIfTrue="1" rank="1"/>
  </conditionalFormatting>
  <conditionalFormatting sqref="M7:M14">
    <cfRule type="top10" dxfId="199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6" fitToWidth="0" orientation="landscape" r:id="rId1"/>
  <headerFooter alignWithMargins="0">
    <oddHeader>&amp;R&amp;G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N14"/>
  <sheetViews>
    <sheetView workbookViewId="0">
      <selection activeCell="V24" sqref="V24"/>
    </sheetView>
  </sheetViews>
  <sheetFormatPr baseColWidth="10" defaultRowHeight="13.2"/>
  <cols>
    <col min="1" max="1" width="4.21875" customWidth="1"/>
    <col min="2" max="2" width="18.44140625" customWidth="1"/>
    <col min="3" max="10" width="8.6640625" customWidth="1"/>
    <col min="11" max="11" width="13.44140625" customWidth="1"/>
    <col min="12" max="12" width="9.44140625" customWidth="1"/>
    <col min="14" max="14" width="6.44140625" customWidth="1"/>
  </cols>
  <sheetData>
    <row r="1" spans="1:14" ht="28.5" customHeight="1">
      <c r="A1" s="449" t="str">
        <f>Schlüssel!$C$1</f>
        <v>Landesliga Jugend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</row>
    <row r="2" spans="1:14" ht="28.5" customHeight="1">
      <c r="A2" s="450" t="str">
        <f>"Saison "&amp;Spielorte!C18&amp;"     -     Spieltag "&amp;Erfassung4!S2&amp;"     -     "&amp;TEXT(Erfassung4!S1,"T. MMMM JJJJ")</f>
        <v>Saison 2024/2025     -     Spieltag 4     -     10. Mai 2025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</row>
    <row r="3" spans="1:14" ht="28.5" customHeight="1">
      <c r="A3" s="449" t="s">
        <v>1863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</row>
    <row r="4" spans="1:14" ht="28.5" customHeight="1" thickBot="1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74"/>
      <c r="M4" s="147"/>
    </row>
    <row r="5" spans="1:14">
      <c r="A5" s="451" t="s">
        <v>1804</v>
      </c>
      <c r="B5" s="447" t="s">
        <v>1805</v>
      </c>
      <c r="C5" s="443" t="s">
        <v>1808</v>
      </c>
      <c r="D5" s="444"/>
      <c r="E5" s="443" t="s">
        <v>1809</v>
      </c>
      <c r="F5" s="444"/>
      <c r="G5" s="443" t="s">
        <v>1810</v>
      </c>
      <c r="H5" s="444"/>
      <c r="I5" s="467" t="s">
        <v>1811</v>
      </c>
      <c r="J5" s="444"/>
      <c r="K5" s="443" t="s">
        <v>1792</v>
      </c>
      <c r="L5" s="444"/>
      <c r="M5" s="445" t="s">
        <v>1806</v>
      </c>
    </row>
    <row r="6" spans="1:14" ht="13.8" thickBot="1">
      <c r="A6" s="452"/>
      <c r="B6" s="448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446"/>
    </row>
    <row r="7" spans="1:14" ht="42" customHeight="1" thickBot="1">
      <c r="A7" s="172">
        <v>1</v>
      </c>
      <c r="B7" s="104" t="str">
        <f>INDEX(Tabelle4!B:B,MATCH(A7,Tabelle4!AD:AD,0))</f>
        <v>BK München 1</v>
      </c>
      <c r="C7" s="148">
        <f>INDEX(Tabelle1!M:M,MATCH(B7,Tabelle1!B:B,0))</f>
        <v>2969</v>
      </c>
      <c r="D7" s="149">
        <f>INDEX(Tabelle1!N:N,MATCH(B7,Tabelle1!B:B,0))</f>
        <v>23</v>
      </c>
      <c r="E7" s="148">
        <f>INDEX(Tabelle2!M:M,MATCH(B7,Tabelle2!B:B,0))</f>
        <v>3146</v>
      </c>
      <c r="F7" s="149">
        <f>INDEX(Tabelle2!N:N,MATCH(B7,Tabelle2!B:B,0))</f>
        <v>22</v>
      </c>
      <c r="G7" s="148">
        <f>INDEX(Tabelle3!M:M,MATCH(B7,Tabelle3!B:B,0))</f>
        <v>2936</v>
      </c>
      <c r="H7" s="150">
        <f>INDEX(Tabelle3!N:N,MATCH(B7,Tabelle3!B:B,0))</f>
        <v>21</v>
      </c>
      <c r="I7" s="148">
        <f>INDEX(Tabelle4!M:M,MATCH(B7,Tabelle4!B:B,0))</f>
        <v>2351</v>
      </c>
      <c r="J7" s="150">
        <f>INDEX(Tabelle4!N:N,MATCH(B7,Tabelle4!B:B,0))</f>
        <v>19</v>
      </c>
      <c r="K7" s="173">
        <f t="shared" ref="K7:L12" si="0">SUM(C7+E7+G7+I7)</f>
        <v>11402</v>
      </c>
      <c r="L7" s="174">
        <f t="shared" si="0"/>
        <v>85</v>
      </c>
      <c r="M7" s="175">
        <f>K7/INDEX(Tabelle4!$AE:$AE,MATCH($B7,Tabelle4!$B:$B,0))</f>
        <v>190.03333333333333</v>
      </c>
      <c r="N7" s="70"/>
    </row>
    <row r="8" spans="1:14" ht="42" customHeight="1" thickBot="1">
      <c r="A8" s="172">
        <v>2</v>
      </c>
      <c r="B8" s="104" t="str">
        <f>INDEX(Tabelle4!B:B,MATCH(A8,Tabelle4!AD:AD,0))</f>
        <v>Bad Tölz 1</v>
      </c>
      <c r="C8" s="148">
        <f>INDEX(Tabelle1!M:M,MATCH(B8,Tabelle1!B:B,0))</f>
        <v>1841</v>
      </c>
      <c r="D8" s="149">
        <f>INDEX(Tabelle1!N:N,MATCH(B8,Tabelle1!B:B,0))</f>
        <v>8</v>
      </c>
      <c r="E8" s="148">
        <f>INDEX(Tabelle2!M:M,MATCH(B8,Tabelle2!B:B,0))</f>
        <v>2616</v>
      </c>
      <c r="F8" s="149">
        <f>INDEX(Tabelle2!N:N,MATCH(B8,Tabelle2!B:B,0))</f>
        <v>17.5</v>
      </c>
      <c r="G8" s="148">
        <f>INDEX(Tabelle3!M:M,MATCH(B8,Tabelle3!B:B,0))</f>
        <v>2654</v>
      </c>
      <c r="H8" s="150">
        <f>INDEX(Tabelle3!N:N,MATCH(B8,Tabelle3!B:B,0))</f>
        <v>16</v>
      </c>
      <c r="I8" s="148">
        <f>INDEX(Tabelle4!M:M,MATCH(B8,Tabelle4!B:B,0))</f>
        <v>2266</v>
      </c>
      <c r="J8" s="150">
        <f>INDEX(Tabelle4!N:N,MATCH(B8,Tabelle4!B:B,0))</f>
        <v>16</v>
      </c>
      <c r="K8" s="173">
        <f t="shared" si="0"/>
        <v>9377</v>
      </c>
      <c r="L8" s="174">
        <f t="shared" si="0"/>
        <v>57.5</v>
      </c>
      <c r="M8" s="175">
        <f>K8/INDEX(Tabelle4!$AE:$AE,MATCH($B8,Tabelle4!$B:$B,0))</f>
        <v>170.4909090909091</v>
      </c>
      <c r="N8" s="70"/>
    </row>
    <row r="9" spans="1:14" ht="42" customHeight="1" thickBot="1">
      <c r="A9" s="172">
        <v>3</v>
      </c>
      <c r="B9" s="104" t="str">
        <f>INDEX(Tabelle4!B:B,MATCH(A9,Tabelle4!AD:AD,0))</f>
        <v>Berchtesgaden 1</v>
      </c>
      <c r="C9" s="148">
        <f>INDEX(Tabelle1!M:M,MATCH(B9,Tabelle1!B:B,0))</f>
        <v>2355</v>
      </c>
      <c r="D9" s="149">
        <f>INDEX(Tabelle1!N:N,MATCH(B9,Tabelle1!B:B,0))</f>
        <v>18</v>
      </c>
      <c r="E9" s="148">
        <f>INDEX(Tabelle2!M:M,MATCH(B9,Tabelle2!B:B,0))</f>
        <v>2389</v>
      </c>
      <c r="F9" s="149">
        <f>INDEX(Tabelle2!N:N,MATCH(B9,Tabelle2!B:B,0))</f>
        <v>7</v>
      </c>
      <c r="G9" s="148">
        <f>INDEX(Tabelle3!M:M,MATCH(B9,Tabelle3!B:B,0))</f>
        <v>2285</v>
      </c>
      <c r="H9" s="150">
        <f>INDEX(Tabelle3!N:N,MATCH(B9,Tabelle3!B:B,0))</f>
        <v>11.5</v>
      </c>
      <c r="I9" s="148">
        <f>INDEX(Tabelle4!M:M,MATCH(B9,Tabelle4!B:B,0))</f>
        <v>2213</v>
      </c>
      <c r="J9" s="150">
        <f>INDEX(Tabelle4!N:N,MATCH(B9,Tabelle4!B:B,0))</f>
        <v>15</v>
      </c>
      <c r="K9" s="173">
        <f t="shared" si="0"/>
        <v>9242</v>
      </c>
      <c r="L9" s="174">
        <f t="shared" si="0"/>
        <v>51.5</v>
      </c>
      <c r="M9" s="175">
        <f>K9/INDEX(Tabelle4!$AE:$AE,MATCH($B9,Tabelle4!$B:$B,0))</f>
        <v>154.03333333333333</v>
      </c>
      <c r="N9" s="70"/>
    </row>
    <row r="10" spans="1:14" ht="42" customHeight="1" thickBot="1">
      <c r="A10" s="172">
        <v>4</v>
      </c>
      <c r="B10" s="104" t="str">
        <f>INDEX(Tabelle4!B:B,MATCH(A10,Tabelle4!AD:AD,0))</f>
        <v>EMAX 1</v>
      </c>
      <c r="C10" s="148">
        <f>INDEX(Tabelle1!M:M,MATCH(B10,Tabelle1!B:B,0))</f>
        <v>2281</v>
      </c>
      <c r="D10" s="149">
        <f>INDEX(Tabelle1!N:N,MATCH(B10,Tabelle1!B:B,0))</f>
        <v>14</v>
      </c>
      <c r="E10" s="148">
        <f>INDEX(Tabelle2!M:M,MATCH(B10,Tabelle2!B:B,0))</f>
        <v>2513</v>
      </c>
      <c r="F10" s="149">
        <f>INDEX(Tabelle2!N:N,MATCH(B10,Tabelle2!B:B,0))</f>
        <v>16</v>
      </c>
      <c r="G10" s="148">
        <f>INDEX(Tabelle3!M:M,MATCH(B10,Tabelle3!B:B,0))</f>
        <v>2250</v>
      </c>
      <c r="H10" s="150">
        <f>INDEX(Tabelle3!N:N,MATCH(B10,Tabelle3!B:B,0))</f>
        <v>8.5</v>
      </c>
      <c r="I10" s="148">
        <f>INDEX(Tabelle4!M:M,MATCH(B10,Tabelle4!B:B,0))</f>
        <v>2156</v>
      </c>
      <c r="J10" s="150">
        <f>INDEX(Tabelle4!N:N,MATCH(B10,Tabelle4!B:B,0))</f>
        <v>11</v>
      </c>
      <c r="K10" s="173">
        <f t="shared" si="0"/>
        <v>9200</v>
      </c>
      <c r="L10" s="174">
        <f t="shared" si="0"/>
        <v>49.5</v>
      </c>
      <c r="M10" s="175">
        <f>K10/INDEX(Tabelle4!$AE:$AE,MATCH($B10,Tabelle4!$B:$B,0))</f>
        <v>153.33333333333334</v>
      </c>
      <c r="N10" s="70"/>
    </row>
    <row r="11" spans="1:14" ht="42" customHeight="1" thickBot="1">
      <c r="A11" s="172">
        <v>5</v>
      </c>
      <c r="B11" s="104" t="str">
        <f>INDEX(Tabelle4!B:B,MATCH(A11,Tabelle4!AD:AD,0))</f>
        <v>Bowling Jugend Bayern 1</v>
      </c>
      <c r="C11" s="148">
        <f>INDEX(Tabelle1!M:M,MATCH(B11,Tabelle1!B:B,0))</f>
        <v>2296</v>
      </c>
      <c r="D11" s="149">
        <f>INDEX(Tabelle1!N:N,MATCH(B11,Tabelle1!B:B,0))</f>
        <v>14</v>
      </c>
      <c r="E11" s="148">
        <f>INDEX(Tabelle2!M:M,MATCH(B11,Tabelle2!B:B,0))</f>
        <v>2557</v>
      </c>
      <c r="F11" s="149">
        <f>INDEX(Tabelle2!N:N,MATCH(B11,Tabelle2!B:B,0))</f>
        <v>14.5</v>
      </c>
      <c r="G11" s="148">
        <f>INDEX(Tabelle3!M:M,MATCH(B11,Tabelle3!B:B,0))</f>
        <v>2534</v>
      </c>
      <c r="H11" s="150">
        <f>INDEX(Tabelle3!N:N,MATCH(B11,Tabelle3!B:B,0))</f>
        <v>12</v>
      </c>
      <c r="I11" s="148">
        <f>INDEX(Tabelle4!M:M,MATCH(B11,Tabelle4!B:B,0))</f>
        <v>2091</v>
      </c>
      <c r="J11" s="150">
        <f>INDEX(Tabelle4!N:N,MATCH(B11,Tabelle4!B:B,0))</f>
        <v>7</v>
      </c>
      <c r="K11" s="173">
        <f t="shared" si="0"/>
        <v>9478</v>
      </c>
      <c r="L11" s="174">
        <f t="shared" si="0"/>
        <v>47.5</v>
      </c>
      <c r="M11" s="175">
        <f>K11/INDEX(Tabelle4!$AE:$AE,MATCH($B11,Tabelle4!$B:$B,0))</f>
        <v>157.96666666666667</v>
      </c>
      <c r="N11" s="70"/>
    </row>
    <row r="12" spans="1:14" ht="42" customHeight="1" thickBot="1">
      <c r="A12" s="172">
        <v>6</v>
      </c>
      <c r="B12" s="104" t="str">
        <f>INDEX(Tabelle4!B:B,MATCH(A12,Tabelle4!AD:AD,0))</f>
        <v>Highroller Rosenheim 1</v>
      </c>
      <c r="C12" s="148">
        <f>INDEX(Tabelle1!M:M,MATCH(B12,Tabelle1!B:B,0))</f>
        <v>2241</v>
      </c>
      <c r="D12" s="149">
        <f>INDEX(Tabelle1!N:N,MATCH(B12,Tabelle1!B:B,0))</f>
        <v>10</v>
      </c>
      <c r="E12" s="148">
        <f>INDEX(Tabelle2!M:M,MATCH(B12,Tabelle2!B:B,0))</f>
        <v>2289</v>
      </c>
      <c r="F12" s="149">
        <f>INDEX(Tabelle2!N:N,MATCH(B12,Tabelle2!B:B,0))</f>
        <v>7</v>
      </c>
      <c r="G12" s="148">
        <f>INDEX(Tabelle3!M:M,MATCH(B12,Tabelle3!B:B,0))</f>
        <v>2587</v>
      </c>
      <c r="H12" s="150">
        <f>INDEX(Tabelle3!N:N,MATCH(B12,Tabelle3!B:B,0))</f>
        <v>19</v>
      </c>
      <c r="I12" s="148">
        <f>INDEX(Tabelle4!M:M,MATCH(B12,Tabelle4!B:B,0))</f>
        <v>2026</v>
      </c>
      <c r="J12" s="150">
        <f>INDEX(Tabelle4!N:N,MATCH(B12,Tabelle4!B:B,0))</f>
        <v>3</v>
      </c>
      <c r="K12" s="173">
        <f t="shared" si="0"/>
        <v>9143</v>
      </c>
      <c r="L12" s="174">
        <f t="shared" si="0"/>
        <v>39</v>
      </c>
      <c r="M12" s="175">
        <f>IFERROR(K12/INDEX(Tabelle4!$AE:$AE,MATCH($B12,Tabelle4!$B:$B,0)),0)</f>
        <v>152.38333333333333</v>
      </c>
      <c r="N12" s="70"/>
    </row>
    <row r="13" spans="1:14" ht="42" customHeight="1" thickBot="1">
      <c r="A13" s="172">
        <v>7</v>
      </c>
      <c r="B13" s="104" t="str">
        <f>INDEX(Tabelle4!B:B,MATCH(A13,Tabelle4!AD:AD,0))</f>
        <v>Highroller Rosenheim 3</v>
      </c>
      <c r="C13" s="148">
        <f>INDEX(Tabelle1!M:M,MATCH(B13,Tabelle1!B:B,0))</f>
        <v>2197</v>
      </c>
      <c r="D13" s="149">
        <f>INDEX(Tabelle1!N:N,MATCH(B13,Tabelle1!B:B,0))</f>
        <v>4.5</v>
      </c>
      <c r="E13" s="148">
        <f>INDEX(Tabelle2!M:M,MATCH(B13,Tabelle2!B:B,0))</f>
        <v>2428</v>
      </c>
      <c r="F13" s="149">
        <f>INDEX(Tabelle2!N:N,MATCH(B13,Tabelle2!B:B,0))</f>
        <v>11.5</v>
      </c>
      <c r="G13" s="148">
        <f>INDEX(Tabelle3!M:M,MATCH(B13,Tabelle3!B:B,0))</f>
        <v>2306</v>
      </c>
      <c r="H13" s="150">
        <f>INDEX(Tabelle3!N:N,MATCH(B13,Tabelle3!B:B,0))</f>
        <v>6</v>
      </c>
      <c r="I13" s="148">
        <f>INDEX(Tabelle4!M:M,MATCH(B13,Tabelle4!B:B,0))</f>
        <v>2205</v>
      </c>
      <c r="J13" s="150">
        <f>INDEX(Tabelle4!N:N,MATCH(B13,Tabelle4!B:B,0))</f>
        <v>16</v>
      </c>
      <c r="K13" s="173">
        <f t="shared" ref="K13:K14" si="1">SUM(C13+E13+G13+I13)</f>
        <v>9136</v>
      </c>
      <c r="L13" s="174">
        <f t="shared" ref="L13:L14" si="2">SUM(D13+F13+H13+J13)</f>
        <v>38</v>
      </c>
      <c r="M13" s="175">
        <f>IFERROR(K13/INDEX(Tabelle4!$AE:$AE,MATCH($B13,Tabelle4!$B:$B,0)),0)</f>
        <v>152.26666666666668</v>
      </c>
      <c r="N13" s="70"/>
    </row>
    <row r="14" spans="1:14" ht="42" customHeight="1" thickBot="1">
      <c r="A14" s="172">
        <v>8</v>
      </c>
      <c r="B14" s="104" t="str">
        <f>INDEX(Tabelle4!B:B,MATCH(A14,Tabelle4!AD:AD,0))</f>
        <v>Highroller Rosenheim 2</v>
      </c>
      <c r="C14" s="148">
        <f>INDEX(Tabelle1!M:M,MATCH(B14,Tabelle1!B:B,0))</f>
        <v>2177</v>
      </c>
      <c r="D14" s="149">
        <f>INDEX(Tabelle1!N:N,MATCH(B14,Tabelle1!B:B,0))</f>
        <v>8.5</v>
      </c>
      <c r="E14" s="148">
        <f>INDEX(Tabelle2!M:M,MATCH(B14,Tabelle2!B:B,0))</f>
        <v>2297</v>
      </c>
      <c r="F14" s="149">
        <f>INDEX(Tabelle2!N:N,MATCH(B14,Tabelle2!B:B,0))</f>
        <v>4.5</v>
      </c>
      <c r="G14" s="148">
        <f>INDEX(Tabelle3!M:M,MATCH(B14,Tabelle3!B:B,0))</f>
        <v>2206</v>
      </c>
      <c r="H14" s="150">
        <f>INDEX(Tabelle3!N:N,MATCH(B14,Tabelle3!B:B,0))</f>
        <v>6</v>
      </c>
      <c r="I14" s="148">
        <f>INDEX(Tabelle4!M:M,MATCH(B14,Tabelle4!B:B,0))</f>
        <v>2180</v>
      </c>
      <c r="J14" s="150">
        <f>INDEX(Tabelle4!N:N,MATCH(B14,Tabelle4!B:B,0))</f>
        <v>13</v>
      </c>
      <c r="K14" s="173">
        <f t="shared" si="1"/>
        <v>8860</v>
      </c>
      <c r="L14" s="174">
        <f t="shared" si="2"/>
        <v>32</v>
      </c>
      <c r="M14" s="175">
        <f>IFERROR(K14/INDEX(Tabelle4!$AE:$AE,MATCH($B14,Tabelle4!$B:$B,0)),0)</f>
        <v>147.66666666666666</v>
      </c>
      <c r="N14" s="70"/>
    </row>
  </sheetData>
  <sheetProtection password="D19C" sheet="1" objects="1" scenarios="1" formatCells="0" formatColumns="0" formatRows="0"/>
  <mergeCells count="11">
    <mergeCell ref="E5:F5"/>
    <mergeCell ref="I5:J5"/>
    <mergeCell ref="A1:M1"/>
    <mergeCell ref="A2:M2"/>
    <mergeCell ref="A3:M3"/>
    <mergeCell ref="M5:M6"/>
    <mergeCell ref="K5:L5"/>
    <mergeCell ref="G5:H5"/>
    <mergeCell ref="A5:A6"/>
    <mergeCell ref="B5:B6"/>
    <mergeCell ref="C5:D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 r:id="rId1"/>
  <headerFooter>
    <oddHeader>&amp;R&amp;G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V24" sqref="V24"/>
    </sheetView>
  </sheetViews>
  <sheetFormatPr baseColWidth="10" defaultColWidth="11.44140625" defaultRowHeight="13.2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44140625" style="91"/>
    <col min="10" max="11" width="11.44140625" style="91" customWidth="1"/>
    <col min="12" max="16" width="11.44140625" style="91" hidden="1" customWidth="1"/>
    <col min="17" max="20" width="11.44140625" style="91" customWidth="1"/>
    <col min="21" max="16384" width="11.44140625" style="91"/>
  </cols>
  <sheetData>
    <row r="1" spans="1:16" ht="28.5" customHeight="1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>
      <c r="A2" s="96" t="s">
        <v>1785</v>
      </c>
      <c r="C2" s="97">
        <v>4</v>
      </c>
      <c r="D2" s="97" t="s">
        <v>1821</v>
      </c>
      <c r="E2" s="98"/>
      <c r="F2" s="99"/>
      <c r="L2" s="91">
        <f>INDEX(Starter!A:A,ROW()-1)</f>
        <v>38890</v>
      </c>
      <c r="M2" s="91">
        <f>SUMIF(Erfassung4!AU:AU,L2,Erfassung4!BJ:BJ)</f>
        <v>442</v>
      </c>
      <c r="N2" s="91">
        <f>SUMIF(Erfassung4!AU:AU,L2,Erfassung4!AX:AX)</f>
        <v>5</v>
      </c>
      <c r="O2" s="91">
        <f t="shared" ref="O2:O65" si="0">IF(N2=0,0,M2/N2-ROW()/1000000000)</f>
        <v>88.399999998000013</v>
      </c>
      <c r="P2" s="91">
        <f t="shared" ref="P2:P65" si="1">RANK(O2,O:O)</f>
        <v>24</v>
      </c>
    </row>
    <row r="3" spans="1:16">
      <c r="L3" s="91">
        <f>INDEX(Starter!A:A,ROW()-1)</f>
        <v>38785</v>
      </c>
      <c r="M3" s="91">
        <f>SUMIF(Erfassung4!AU:AU,L3,Erfassung4!BJ:BJ)</f>
        <v>568</v>
      </c>
      <c r="N3" s="91">
        <f>SUMIF(Erfassung4!AU:AU,L3,Erfassung4!AX:AX)</f>
        <v>5</v>
      </c>
      <c r="O3" s="91">
        <f t="shared" si="0"/>
        <v>113.599999997</v>
      </c>
      <c r="P3" s="91">
        <f t="shared" si="1"/>
        <v>17</v>
      </c>
    </row>
    <row r="4" spans="1:16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SUMIF(Erfassung4!AU:AU,L4,Erfassung4!BJ:BJ)</f>
        <v>0</v>
      </c>
      <c r="N4" s="91">
        <f>SUMIF(Erfassung4!AU:AU,L4,Erfassung4!AX:AX)</f>
        <v>0</v>
      </c>
      <c r="O4" s="91">
        <f t="shared" si="0"/>
        <v>0</v>
      </c>
      <c r="P4" s="91">
        <f t="shared" si="1"/>
        <v>28</v>
      </c>
    </row>
    <row r="5" spans="1:16">
      <c r="A5" s="91">
        <v>1</v>
      </c>
      <c r="B5" s="91">
        <f t="shared" ref="B5:B68" si="2">IFERROR(INDEX(L:L,MATCH(A5,P:P,0)),"")</f>
        <v>38655</v>
      </c>
      <c r="C5" s="91" t="str">
        <f>IFERROR(INDEX(Starter!B:B,MATCH(B5,Starter!A:A,0)),"")</f>
        <v>Wheeldon, Vincent</v>
      </c>
      <c r="D5" s="91" t="str">
        <f>IFERROR(INDEX(Starter!C:C,MATCH(B5,Starter!A:A,0)),"")</f>
        <v>BK München</v>
      </c>
      <c r="E5" s="100">
        <f t="shared" ref="E5:E68" si="3">IFERROR(INDEX(M:M,MATCH(A5,P:P,0)),"")</f>
        <v>849</v>
      </c>
      <c r="F5" s="91">
        <f t="shared" ref="F5:F68" si="4">IFERROR(INDEX(N:N,MATCH(A5,P:P,0)),"")</f>
        <v>5</v>
      </c>
      <c r="G5" s="95">
        <f t="shared" ref="G5:G68" si="5">IFERROR(INDEX(O:O,MATCH(A5,P:P,0)),"")</f>
        <v>169.799999966</v>
      </c>
      <c r="L5" s="91">
        <f>INDEX(Starter!A:A,ROW()-1)</f>
        <v>38904</v>
      </c>
      <c r="M5" s="91">
        <f>SUMIF(Erfassung4!AU:AU,L5,Erfassung4!BJ:BJ)</f>
        <v>486</v>
      </c>
      <c r="N5" s="91">
        <f>SUMIF(Erfassung4!AU:AU,L5,Erfassung4!AX:AX)</f>
        <v>5</v>
      </c>
      <c r="O5" s="91">
        <f t="shared" si="0"/>
        <v>97.199999994999999</v>
      </c>
      <c r="P5" s="91">
        <f t="shared" si="1"/>
        <v>21</v>
      </c>
    </row>
    <row r="6" spans="1:16">
      <c r="A6" s="91">
        <f t="shared" ref="A6:A69" si="6">IFERROR(IF(A5+1&gt;MAX(P:P)-1,"",A5+1),"")</f>
        <v>2</v>
      </c>
      <c r="B6" s="91">
        <f t="shared" si="2"/>
        <v>38845</v>
      </c>
      <c r="C6" s="91" t="str">
        <f>IFERROR(INDEX(Starter!B:B,MATCH(B6,Starter!A:A,0)),"")</f>
        <v>Kugler, Laurin</v>
      </c>
      <c r="D6" s="91" t="str">
        <f>IFERROR(INDEX(Starter!C:C,MATCH(B6,Starter!A:A,0)),"")</f>
        <v>Absolut-Sports.com</v>
      </c>
      <c r="E6" s="100">
        <f t="shared" si="3"/>
        <v>808</v>
      </c>
      <c r="F6" s="91">
        <f t="shared" si="4"/>
        <v>5</v>
      </c>
      <c r="G6" s="95">
        <f t="shared" si="5"/>
        <v>161.59999999199999</v>
      </c>
      <c r="L6" s="91">
        <f>INDEX(Starter!A:A,ROW()-1)</f>
        <v>38910</v>
      </c>
      <c r="M6" s="91">
        <f>SUMIF(Erfassung4!AU:AU,L6,Erfassung4!BJ:BJ)</f>
        <v>0</v>
      </c>
      <c r="N6" s="91">
        <f>SUMIF(Erfassung4!AU:AU,L6,Erfassung4!AX:AX)</f>
        <v>0</v>
      </c>
      <c r="O6" s="91">
        <f t="shared" si="0"/>
        <v>0</v>
      </c>
      <c r="P6" s="91">
        <f t="shared" si="1"/>
        <v>28</v>
      </c>
    </row>
    <row r="7" spans="1:16">
      <c r="A7" s="91">
        <f t="shared" si="6"/>
        <v>3</v>
      </c>
      <c r="B7" s="91">
        <f t="shared" si="2"/>
        <v>38626</v>
      </c>
      <c r="C7" s="91" t="str">
        <f>IFERROR(INDEX(Starter!B:B,MATCH(B7,Starter!A:A,0)),"")</f>
        <v>Wolf, Alexander</v>
      </c>
      <c r="D7" s="91" t="str">
        <f>IFERROR(INDEX(Starter!C:C,MATCH(B7,Starter!A:A,0)),"")</f>
        <v>BK München</v>
      </c>
      <c r="E7" s="100">
        <f t="shared" si="3"/>
        <v>794</v>
      </c>
      <c r="F7" s="91">
        <f t="shared" si="4"/>
        <v>5</v>
      </c>
      <c r="G7" s="95">
        <f t="shared" si="5"/>
        <v>158.79999995300003</v>
      </c>
      <c r="L7" s="91">
        <f>INDEX(Starter!A:A,ROW()-1)</f>
        <v>38861</v>
      </c>
      <c r="M7" s="91">
        <f>SUMIF(Erfassung4!AU:AU,L7,Erfassung4!BJ:BJ)</f>
        <v>0</v>
      </c>
      <c r="N7" s="91">
        <f>SUMIF(Erfassung4!AU:AU,L7,Erfassung4!AX:AX)</f>
        <v>0</v>
      </c>
      <c r="O7" s="91">
        <f t="shared" si="0"/>
        <v>0</v>
      </c>
      <c r="P7" s="91">
        <f t="shared" si="1"/>
        <v>28</v>
      </c>
    </row>
    <row r="8" spans="1:16">
      <c r="A8" s="91">
        <f t="shared" si="6"/>
        <v>4</v>
      </c>
      <c r="B8" s="91">
        <f t="shared" si="2"/>
        <v>38708</v>
      </c>
      <c r="C8" s="91" t="str">
        <f>IFERROR(INDEX(Starter!B:B,MATCH(B8,Starter!A:A,0)),"")</f>
        <v>Gründl, Alexander</v>
      </c>
      <c r="D8" s="91" t="str">
        <f>IFERROR(INDEX(Starter!C:C,MATCH(B8,Starter!A:A,0)),"")</f>
        <v>BK München</v>
      </c>
      <c r="E8" s="100">
        <f t="shared" si="3"/>
        <v>708</v>
      </c>
      <c r="F8" s="91">
        <f t="shared" si="4"/>
        <v>5</v>
      </c>
      <c r="G8" s="95">
        <f t="shared" si="5"/>
        <v>141.59999996499999</v>
      </c>
      <c r="L8" s="91">
        <f>INDEX(Starter!A:A,ROW()-1)</f>
        <v>38845</v>
      </c>
      <c r="M8" s="91">
        <f>SUMIF(Erfassung4!AU:AU,L8,Erfassung4!BJ:BJ)</f>
        <v>808</v>
      </c>
      <c r="N8" s="91">
        <f>SUMIF(Erfassung4!AU:AU,L8,Erfassung4!AX:AX)</f>
        <v>5</v>
      </c>
      <c r="O8" s="91">
        <f t="shared" si="0"/>
        <v>161.59999999199999</v>
      </c>
      <c r="P8" s="91">
        <f t="shared" si="1"/>
        <v>2</v>
      </c>
    </row>
    <row r="9" spans="1:16">
      <c r="A9" s="91">
        <f t="shared" si="6"/>
        <v>5</v>
      </c>
      <c r="B9" s="91">
        <f t="shared" si="2"/>
        <v>38759</v>
      </c>
      <c r="C9" s="91" t="str">
        <f>IFERROR(INDEX(Starter!B:B,MATCH(B9,Starter!A:A,0)),"")</f>
        <v>Stölzel, Celia</v>
      </c>
      <c r="D9" s="91" t="str">
        <f>IFERROR(INDEX(Starter!C:C,MATCH(B9,Starter!A:A,0)),"")</f>
        <v>BSC Highroller Rosenheim</v>
      </c>
      <c r="E9" s="100">
        <f t="shared" si="3"/>
        <v>702</v>
      </c>
      <c r="F9" s="91">
        <f t="shared" si="4"/>
        <v>5</v>
      </c>
      <c r="G9" s="95">
        <f t="shared" si="5"/>
        <v>140.39999998600001</v>
      </c>
      <c r="L9" s="91">
        <f>INDEX(Starter!A:A,ROW()-1)</f>
        <v>38843</v>
      </c>
      <c r="M9" s="91">
        <f>SUMIF(Erfassung4!AU:AU,L9,Erfassung4!BJ:BJ)</f>
        <v>0</v>
      </c>
      <c r="N9" s="91">
        <f>SUMIF(Erfassung4!AU:AU,L9,Erfassung4!AX:AX)</f>
        <v>0</v>
      </c>
      <c r="O9" s="91">
        <f t="shared" si="0"/>
        <v>0</v>
      </c>
      <c r="P9" s="91">
        <f t="shared" si="1"/>
        <v>28</v>
      </c>
    </row>
    <row r="10" spans="1:16">
      <c r="A10" s="91">
        <f t="shared" si="6"/>
        <v>6</v>
      </c>
      <c r="B10" s="91">
        <f t="shared" si="2"/>
        <v>38781</v>
      </c>
      <c r="C10" s="91" t="str">
        <f>IFERROR(INDEX(Starter!B:B,MATCH(B10,Starter!A:A,0)),"")</f>
        <v>Reichenauer, Leon</v>
      </c>
      <c r="D10" s="91" t="str">
        <f>IFERROR(INDEX(Starter!C:C,MATCH(B10,Starter!A:A,0)),"")</f>
        <v>Bowling Jugend Bayern</v>
      </c>
      <c r="E10" s="100">
        <f t="shared" si="3"/>
        <v>407</v>
      </c>
      <c r="F10" s="91">
        <f t="shared" si="4"/>
        <v>3</v>
      </c>
      <c r="G10" s="95">
        <f t="shared" si="5"/>
        <v>135.66666662466665</v>
      </c>
      <c r="L10" s="91">
        <f>INDEX(Starter!A:A,ROW()-1)</f>
        <v>38844</v>
      </c>
      <c r="M10" s="91">
        <f>SUMIF(Erfassung4!AU:AU,L10,Erfassung4!BJ:BJ)</f>
        <v>0</v>
      </c>
      <c r="N10" s="91">
        <f>SUMIF(Erfassung4!AU:AU,L10,Erfassung4!AX:AX)</f>
        <v>0</v>
      </c>
      <c r="O10" s="91">
        <f t="shared" si="0"/>
        <v>0</v>
      </c>
      <c r="P10" s="91">
        <f t="shared" si="1"/>
        <v>28</v>
      </c>
    </row>
    <row r="11" spans="1:16">
      <c r="A11" s="91">
        <f t="shared" si="6"/>
        <v>7</v>
      </c>
      <c r="B11" s="91">
        <f t="shared" si="2"/>
        <v>38772</v>
      </c>
      <c r="C11" s="91" t="str">
        <f>IFERROR(INDEX(Starter!B:B,MATCH(B11,Starter!A:A,0)),"")</f>
        <v>Sturm, Sebastian</v>
      </c>
      <c r="D11" s="91" t="str">
        <f>IFERROR(INDEX(Starter!C:C,MATCH(B11,Starter!A:A,0)),"")</f>
        <v>Absolut-Sports.com</v>
      </c>
      <c r="E11" s="100">
        <f t="shared" si="3"/>
        <v>675</v>
      </c>
      <c r="F11" s="91">
        <f t="shared" si="4"/>
        <v>5</v>
      </c>
      <c r="G11" s="95">
        <f t="shared" si="5"/>
        <v>134.999999989</v>
      </c>
      <c r="L11" s="91">
        <f>INDEX(Starter!A:A,ROW()-1)</f>
        <v>38772</v>
      </c>
      <c r="M11" s="91">
        <f>SUMIF(Erfassung4!AU:AU,L11,Erfassung4!BJ:BJ)</f>
        <v>675</v>
      </c>
      <c r="N11" s="91">
        <f>SUMIF(Erfassung4!AU:AU,L11,Erfassung4!AX:AX)</f>
        <v>5</v>
      </c>
      <c r="O11" s="91">
        <f t="shared" si="0"/>
        <v>134.999999989</v>
      </c>
      <c r="P11" s="91">
        <f t="shared" si="1"/>
        <v>7</v>
      </c>
    </row>
    <row r="12" spans="1:16">
      <c r="A12" s="91">
        <f t="shared" si="6"/>
        <v>8</v>
      </c>
      <c r="B12" s="91">
        <f t="shared" si="2"/>
        <v>38865</v>
      </c>
      <c r="C12" s="91" t="str">
        <f>IFERROR(INDEX(Starter!B:B,MATCH(B12,Starter!A:A,0)),"")</f>
        <v>Labs, Leon</v>
      </c>
      <c r="D12" s="91" t="str">
        <f>IFERROR(INDEX(Starter!C:C,MATCH(B12,Starter!A:A,0)),"")</f>
        <v>BC Berchtesgaden</v>
      </c>
      <c r="E12" s="100">
        <f t="shared" si="3"/>
        <v>649</v>
      </c>
      <c r="F12" s="91">
        <f t="shared" si="4"/>
        <v>5</v>
      </c>
      <c r="G12" s="95">
        <f t="shared" si="5"/>
        <v>129.79999997200002</v>
      </c>
      <c r="L12" s="91">
        <f>INDEX(Starter!A:A,ROW()-1)</f>
        <v>38893</v>
      </c>
      <c r="M12" s="91">
        <f>SUMIF(Erfassung4!AU:AU,L12,Erfassung4!BJ:BJ)</f>
        <v>180</v>
      </c>
      <c r="N12" s="91">
        <f>SUMIF(Erfassung4!AU:AU,L12,Erfassung4!AX:AX)</f>
        <v>2</v>
      </c>
      <c r="O12" s="91">
        <f t="shared" si="0"/>
        <v>89.999999987999999</v>
      </c>
      <c r="P12" s="91">
        <f t="shared" si="1"/>
        <v>23</v>
      </c>
    </row>
    <row r="13" spans="1:16">
      <c r="A13" s="91">
        <f t="shared" si="6"/>
        <v>9</v>
      </c>
      <c r="B13" s="91">
        <f t="shared" si="2"/>
        <v>38773</v>
      </c>
      <c r="C13" s="91" t="str">
        <f>IFERROR(INDEX(Starter!B:B,MATCH(B13,Starter!A:A,0)),"")</f>
        <v>Weiss, Luisa Samira</v>
      </c>
      <c r="D13" s="91" t="str">
        <f>IFERROR(INDEX(Starter!C:C,MATCH(B13,Starter!A:A,0)),"")</f>
        <v>BSC Highroller Rosenheim</v>
      </c>
      <c r="E13" s="100">
        <f t="shared" si="3"/>
        <v>628</v>
      </c>
      <c r="F13" s="91">
        <f t="shared" si="4"/>
        <v>5</v>
      </c>
      <c r="G13" s="95">
        <f t="shared" si="5"/>
        <v>125.59999998399999</v>
      </c>
      <c r="L13" s="91">
        <f>INDEX(Starter!A:A,ROW()-1)</f>
        <v>38760</v>
      </c>
      <c r="M13" s="91">
        <f>SUMIF(Erfassung4!AU:AU,L13,Erfassung4!BJ:BJ)</f>
        <v>611</v>
      </c>
      <c r="N13" s="91">
        <f>SUMIF(Erfassung4!AU:AU,L13,Erfassung4!AX:AX)</f>
        <v>5</v>
      </c>
      <c r="O13" s="91">
        <f t="shared" si="0"/>
        <v>122.199999987</v>
      </c>
      <c r="P13" s="91">
        <f t="shared" si="1"/>
        <v>12</v>
      </c>
    </row>
    <row r="14" spans="1:16">
      <c r="A14" s="91">
        <f t="shared" si="6"/>
        <v>10</v>
      </c>
      <c r="B14" s="91">
        <f t="shared" si="2"/>
        <v>38714</v>
      </c>
      <c r="C14" s="91" t="str">
        <f>IFERROR(INDEX(Starter!B:B,MATCH(B14,Starter!A:A,0)),"")</f>
        <v>Wieser, Lukas</v>
      </c>
      <c r="D14" s="91" t="str">
        <f>IFERROR(INDEX(Starter!C:C,MATCH(B14,Starter!A:A,0)),"")</f>
        <v>BC Berchtesgaden</v>
      </c>
      <c r="E14" s="100">
        <f t="shared" si="3"/>
        <v>618</v>
      </c>
      <c r="F14" s="91">
        <f t="shared" si="4"/>
        <v>5</v>
      </c>
      <c r="G14" s="95">
        <f t="shared" si="5"/>
        <v>123.59999997099999</v>
      </c>
      <c r="L14" s="91">
        <f>INDEX(Starter!A:A,ROW()-1)</f>
        <v>38759</v>
      </c>
      <c r="M14" s="91">
        <f>SUMIF(Erfassung4!AU:AU,L14,Erfassung4!BJ:BJ)</f>
        <v>702</v>
      </c>
      <c r="N14" s="91">
        <f>SUMIF(Erfassung4!AU:AU,L14,Erfassung4!AX:AX)</f>
        <v>5</v>
      </c>
      <c r="O14" s="91">
        <f t="shared" si="0"/>
        <v>140.39999998600001</v>
      </c>
      <c r="P14" s="91">
        <f t="shared" si="1"/>
        <v>5</v>
      </c>
    </row>
    <row r="15" spans="1:16">
      <c r="A15" s="91">
        <f t="shared" si="6"/>
        <v>11</v>
      </c>
      <c r="B15" s="91">
        <f t="shared" si="2"/>
        <v>38927</v>
      </c>
      <c r="C15" s="91" t="str">
        <f>IFERROR(INDEX(Starter!B:B,MATCH(B15,Starter!A:A,0)),"")</f>
        <v>Bonnaire, Ben</v>
      </c>
      <c r="D15" s="91" t="str">
        <f>IFERROR(INDEX(Starter!C:C,MATCH(B15,Starter!A:A,0)),"")</f>
        <v>Bowling Jugend Bayern</v>
      </c>
      <c r="E15" s="100">
        <f t="shared" si="3"/>
        <v>618</v>
      </c>
      <c r="F15" s="91">
        <f t="shared" si="4"/>
        <v>5</v>
      </c>
      <c r="G15" s="95">
        <f t="shared" si="5"/>
        <v>123.59999996299999</v>
      </c>
      <c r="L15" s="91">
        <f>INDEX(Starter!A:A,ROW()-1)</f>
        <v>38831</v>
      </c>
      <c r="M15" s="91">
        <f>SUMIF(Erfassung4!AU:AU,L15,Erfassung4!BJ:BJ)</f>
        <v>0</v>
      </c>
      <c r="N15" s="91">
        <f>SUMIF(Erfassung4!AU:AU,L15,Erfassung4!AX:AX)</f>
        <v>0</v>
      </c>
      <c r="O15" s="91">
        <f t="shared" si="0"/>
        <v>0</v>
      </c>
      <c r="P15" s="91">
        <f t="shared" si="1"/>
        <v>28</v>
      </c>
    </row>
    <row r="16" spans="1:16">
      <c r="A16" s="91">
        <f t="shared" si="6"/>
        <v>12</v>
      </c>
      <c r="B16" s="91">
        <f t="shared" si="2"/>
        <v>38760</v>
      </c>
      <c r="C16" s="91" t="str">
        <f>IFERROR(INDEX(Starter!B:B,MATCH(B16,Starter!A:A,0)),"")</f>
        <v>Achhammer, Klara</v>
      </c>
      <c r="D16" s="91" t="str">
        <f>IFERROR(INDEX(Starter!C:C,MATCH(B16,Starter!A:A,0)),"")</f>
        <v>BSC Highroller Rosenheim</v>
      </c>
      <c r="E16" s="100">
        <f t="shared" si="3"/>
        <v>611</v>
      </c>
      <c r="F16" s="91">
        <f t="shared" si="4"/>
        <v>5</v>
      </c>
      <c r="G16" s="95">
        <f t="shared" si="5"/>
        <v>122.199999987</v>
      </c>
      <c r="L16" s="91">
        <f>INDEX(Starter!A:A,ROW()-1)</f>
        <v>38773</v>
      </c>
      <c r="M16" s="91">
        <f>SUMIF(Erfassung4!AU:AU,L16,Erfassung4!BJ:BJ)</f>
        <v>628</v>
      </c>
      <c r="N16" s="91">
        <f>SUMIF(Erfassung4!AU:AU,L16,Erfassung4!AX:AX)</f>
        <v>5</v>
      </c>
      <c r="O16" s="91">
        <f t="shared" si="0"/>
        <v>125.59999998399999</v>
      </c>
      <c r="P16" s="91">
        <f t="shared" si="1"/>
        <v>9</v>
      </c>
    </row>
    <row r="17" spans="1:16">
      <c r="A17" s="91">
        <f t="shared" si="6"/>
        <v>13</v>
      </c>
      <c r="B17" s="91">
        <f t="shared" si="2"/>
        <v>38940</v>
      </c>
      <c r="C17" s="91" t="str">
        <f>IFERROR(INDEX(Starter!B:B,MATCH(B17,Starter!A:A,0)),"")</f>
        <v>Mengel, Marina</v>
      </c>
      <c r="D17" s="91" t="str">
        <f>IFERROR(INDEX(Starter!C:C,MATCH(B17,Starter!A:A,0)),"")</f>
        <v>Absolut-Sports.com</v>
      </c>
      <c r="E17" s="100">
        <f t="shared" si="3"/>
        <v>364</v>
      </c>
      <c r="F17" s="91">
        <f t="shared" si="4"/>
        <v>3</v>
      </c>
      <c r="G17" s="95">
        <f t="shared" si="5"/>
        <v>121.33333329033333</v>
      </c>
      <c r="L17" s="91">
        <f>INDEX(Starter!A:A,ROW()-1)</f>
        <v>38809</v>
      </c>
      <c r="M17" s="91">
        <f>SUMIF(Erfassung4!AU:AU,L17,Erfassung4!BJ:BJ)</f>
        <v>0</v>
      </c>
      <c r="N17" s="91">
        <f>SUMIF(Erfassung4!AU:AU,L17,Erfassung4!AX:AX)</f>
        <v>0</v>
      </c>
      <c r="O17" s="91">
        <f t="shared" si="0"/>
        <v>0</v>
      </c>
      <c r="P17" s="91">
        <f t="shared" si="1"/>
        <v>28</v>
      </c>
    </row>
    <row r="18" spans="1:16">
      <c r="A18" s="91">
        <f t="shared" si="6"/>
        <v>14</v>
      </c>
      <c r="B18" s="91">
        <f t="shared" si="2"/>
        <v>38848</v>
      </c>
      <c r="C18" s="91" t="str">
        <f>IFERROR(INDEX(Starter!B:B,MATCH(B18,Starter!A:A,0)),"")</f>
        <v>Marker, Anna</v>
      </c>
      <c r="D18" s="91" t="str">
        <f>IFERROR(INDEX(Starter!C:C,MATCH(B18,Starter!A:A,0)),"")</f>
        <v>BSC Highroller Rosenheim</v>
      </c>
      <c r="E18" s="100">
        <f t="shared" si="3"/>
        <v>474</v>
      </c>
      <c r="F18" s="91">
        <f t="shared" si="4"/>
        <v>4</v>
      </c>
      <c r="G18" s="95">
        <f t="shared" si="5"/>
        <v>118.499999976</v>
      </c>
      <c r="L18" s="91">
        <f>INDEX(Starter!A:A,ROW()-1)</f>
        <v>38923</v>
      </c>
      <c r="M18" s="91">
        <f>SUMIF(Erfassung4!AU:AU,L18,Erfassung4!BJ:BJ)</f>
        <v>0</v>
      </c>
      <c r="N18" s="91">
        <f>SUMIF(Erfassung4!AU:AU,L18,Erfassung4!AX:AX)</f>
        <v>0</v>
      </c>
      <c r="O18" s="91">
        <f t="shared" si="0"/>
        <v>0</v>
      </c>
      <c r="P18" s="91">
        <f t="shared" si="1"/>
        <v>28</v>
      </c>
    </row>
    <row r="19" spans="1:16">
      <c r="A19" s="91">
        <f t="shared" si="6"/>
        <v>15</v>
      </c>
      <c r="B19" s="91">
        <f t="shared" si="2"/>
        <v>38808</v>
      </c>
      <c r="C19" s="91" t="str">
        <f>IFERROR(INDEX(Starter!B:B,MATCH(B19,Starter!A:A,0)),"")</f>
        <v>Reinhold, Moritz</v>
      </c>
      <c r="D19" s="91" t="str">
        <f>IFERROR(INDEX(Starter!C:C,MATCH(B19,Starter!A:A,0)),"")</f>
        <v>BSC Highroller Rosenheim</v>
      </c>
      <c r="E19" s="100">
        <f t="shared" si="3"/>
        <v>471</v>
      </c>
      <c r="F19" s="91">
        <f t="shared" si="4"/>
        <v>4</v>
      </c>
      <c r="G19" s="95">
        <f t="shared" si="5"/>
        <v>117.74999997800001</v>
      </c>
      <c r="L19" s="91">
        <f>INDEX(Starter!A:A,ROW()-1)</f>
        <v>38920</v>
      </c>
      <c r="M19" s="91">
        <f>SUMIF(Erfassung4!AU:AU,L19,Erfassung4!BJ:BJ)</f>
        <v>525</v>
      </c>
      <c r="N19" s="91">
        <f>SUMIF(Erfassung4!AU:AU,L19,Erfassung4!AX:AX)</f>
        <v>5</v>
      </c>
      <c r="O19" s="91">
        <f t="shared" si="0"/>
        <v>104.999999981</v>
      </c>
      <c r="P19" s="91">
        <f t="shared" si="1"/>
        <v>19</v>
      </c>
    </row>
    <row r="20" spans="1:16">
      <c r="A20" s="91">
        <f t="shared" si="6"/>
        <v>16</v>
      </c>
      <c r="B20" s="91">
        <f t="shared" si="2"/>
        <v>38942</v>
      </c>
      <c r="C20" s="91" t="str">
        <f>IFERROR(INDEX(Starter!B:B,MATCH(B20,Starter!A:A,0)),"")</f>
        <v>Klettenheimer, Julius</v>
      </c>
      <c r="D20" s="91" t="str">
        <f>IFERROR(INDEX(Starter!C:C,MATCH(B20,Starter!A:A,0)),"")</f>
        <v>Bowling Jugend Bayern</v>
      </c>
      <c r="E20" s="100">
        <f t="shared" si="3"/>
        <v>460</v>
      </c>
      <c r="F20" s="91">
        <f t="shared" si="4"/>
        <v>4</v>
      </c>
      <c r="G20" s="95">
        <f t="shared" si="5"/>
        <v>114.999999956</v>
      </c>
      <c r="L20" s="91">
        <f>INDEX(Starter!A:A,ROW()-1)</f>
        <v>38921</v>
      </c>
      <c r="M20" s="91">
        <f>SUMIF(Erfassung4!AU:AU,L20,Erfassung4!BJ:BJ)</f>
        <v>374</v>
      </c>
      <c r="N20" s="91">
        <f>SUMIF(Erfassung4!AU:AU,L20,Erfassung4!AX:AX)</f>
        <v>5</v>
      </c>
      <c r="O20" s="91">
        <f t="shared" si="0"/>
        <v>74.799999979999996</v>
      </c>
      <c r="P20" s="91">
        <f t="shared" si="1"/>
        <v>27</v>
      </c>
    </row>
    <row r="21" spans="1:16">
      <c r="A21" s="91">
        <f t="shared" si="6"/>
        <v>17</v>
      </c>
      <c r="B21" s="91">
        <f t="shared" si="2"/>
        <v>38785</v>
      </c>
      <c r="C21" s="91" t="str">
        <f>IFERROR(INDEX(Starter!B:B,MATCH(B21,Starter!A:A,0)),"")</f>
        <v>Mrosek, Laura Maria</v>
      </c>
      <c r="D21" s="91" t="str">
        <f>IFERROR(INDEX(Starter!C:C,MATCH(B21,Starter!A:A,0)),"")</f>
        <v>BC EMAX</v>
      </c>
      <c r="E21" s="100">
        <f t="shared" si="3"/>
        <v>568</v>
      </c>
      <c r="F21" s="91">
        <f t="shared" si="4"/>
        <v>5</v>
      </c>
      <c r="G21" s="95">
        <f t="shared" si="5"/>
        <v>113.599999997</v>
      </c>
      <c r="L21" s="91">
        <f>INDEX(Starter!A:A,ROW()-1)</f>
        <v>38922</v>
      </c>
      <c r="M21" s="91">
        <f>SUMIF(Erfassung4!AU:AU,L21,Erfassung4!BJ:BJ)</f>
        <v>456</v>
      </c>
      <c r="N21" s="91">
        <f>SUMIF(Erfassung4!AU:AU,L21,Erfassung4!AX:AX)</f>
        <v>5</v>
      </c>
      <c r="O21" s="91">
        <f t="shared" si="0"/>
        <v>91.199999978999998</v>
      </c>
      <c r="P21" s="91">
        <f t="shared" si="1"/>
        <v>22</v>
      </c>
    </row>
    <row r="22" spans="1:16">
      <c r="A22" s="91">
        <f t="shared" si="6"/>
        <v>18</v>
      </c>
      <c r="B22" s="91">
        <f t="shared" si="2"/>
        <v>38810</v>
      </c>
      <c r="C22" s="91" t="str">
        <f>IFERROR(INDEX(Starter!B:B,MATCH(B22,Starter!A:A,0)),"")</f>
        <v>Vokshi, Finn</v>
      </c>
      <c r="D22" s="91" t="str">
        <f>IFERROR(INDEX(Starter!C:C,MATCH(B22,Starter!A:A,0)),"")</f>
        <v>BSC Highroller Rosenheim</v>
      </c>
      <c r="E22" s="100">
        <f t="shared" si="3"/>
        <v>337</v>
      </c>
      <c r="F22" s="91">
        <f t="shared" si="4"/>
        <v>3</v>
      </c>
      <c r="G22" s="95">
        <f t="shared" si="5"/>
        <v>112.33333331033333</v>
      </c>
      <c r="L22" s="91">
        <f>INDEX(Starter!A:A,ROW()-1)</f>
        <v>38808</v>
      </c>
      <c r="M22" s="91">
        <f>SUMIF(Erfassung4!AU:AU,L22,Erfassung4!BJ:BJ)</f>
        <v>471</v>
      </c>
      <c r="N22" s="91">
        <f>SUMIF(Erfassung4!AU:AU,L22,Erfassung4!AX:AX)</f>
        <v>4</v>
      </c>
      <c r="O22" s="91">
        <f t="shared" si="0"/>
        <v>117.74999997800001</v>
      </c>
      <c r="P22" s="91">
        <f t="shared" si="1"/>
        <v>15</v>
      </c>
    </row>
    <row r="23" spans="1:16">
      <c r="A23" s="91">
        <f t="shared" si="6"/>
        <v>19</v>
      </c>
      <c r="B23" s="91">
        <f t="shared" si="2"/>
        <v>38920</v>
      </c>
      <c r="C23" s="91" t="str">
        <f>IFERROR(INDEX(Starter!B:B,MATCH(B23,Starter!A:A,0)),"")</f>
        <v>Schwarzfischer, Leon</v>
      </c>
      <c r="D23" s="91" t="str">
        <f>IFERROR(INDEX(Starter!C:C,MATCH(B23,Starter!A:A,0)),"")</f>
        <v>BSC Highroller Rosenheim</v>
      </c>
      <c r="E23" s="100">
        <f t="shared" si="3"/>
        <v>525</v>
      </c>
      <c r="F23" s="91">
        <f t="shared" si="4"/>
        <v>5</v>
      </c>
      <c r="G23" s="95">
        <f t="shared" si="5"/>
        <v>104.999999981</v>
      </c>
      <c r="L23" s="91">
        <f>INDEX(Starter!A:A,ROW()-1)</f>
        <v>38810</v>
      </c>
      <c r="M23" s="91">
        <f>SUMIF(Erfassung4!AU:AU,L23,Erfassung4!BJ:BJ)</f>
        <v>337</v>
      </c>
      <c r="N23" s="91">
        <f>SUMIF(Erfassung4!AU:AU,L23,Erfassung4!AX:AX)</f>
        <v>3</v>
      </c>
      <c r="O23" s="91">
        <f t="shared" si="0"/>
        <v>112.33333331033333</v>
      </c>
      <c r="P23" s="91">
        <f t="shared" si="1"/>
        <v>18</v>
      </c>
    </row>
    <row r="24" spans="1:16">
      <c r="A24" s="91">
        <f t="shared" si="6"/>
        <v>20</v>
      </c>
      <c r="B24" s="91">
        <f t="shared" si="2"/>
        <v>38849</v>
      </c>
      <c r="C24" s="91" t="str">
        <f>IFERROR(INDEX(Starter!B:B,MATCH(B24,Starter!A:A,0)),"")</f>
        <v>Marker, Lena</v>
      </c>
      <c r="D24" s="91" t="str">
        <f>IFERROR(INDEX(Starter!C:C,MATCH(B24,Starter!A:A,0)),"")</f>
        <v>BSC Highroller Rosenheim</v>
      </c>
      <c r="E24" s="100">
        <f t="shared" si="3"/>
        <v>411</v>
      </c>
      <c r="F24" s="91">
        <f t="shared" si="4"/>
        <v>4</v>
      </c>
      <c r="G24" s="95">
        <f t="shared" si="5"/>
        <v>102.74999997499999</v>
      </c>
      <c r="L24" s="91">
        <f>INDEX(Starter!A:A,ROW()-1)</f>
        <v>38848</v>
      </c>
      <c r="M24" s="91">
        <f>SUMIF(Erfassung4!AU:AU,L24,Erfassung4!BJ:BJ)</f>
        <v>474</v>
      </c>
      <c r="N24" s="91">
        <f>SUMIF(Erfassung4!AU:AU,L24,Erfassung4!AX:AX)</f>
        <v>4</v>
      </c>
      <c r="O24" s="91">
        <f t="shared" si="0"/>
        <v>118.499999976</v>
      </c>
      <c r="P24" s="91">
        <f t="shared" si="1"/>
        <v>14</v>
      </c>
    </row>
    <row r="25" spans="1:16">
      <c r="A25" s="91">
        <f t="shared" si="6"/>
        <v>21</v>
      </c>
      <c r="B25" s="91">
        <f t="shared" si="2"/>
        <v>38904</v>
      </c>
      <c r="C25" s="91" t="str">
        <f>IFERROR(INDEX(Starter!B:B,MATCH(B25,Starter!A:A,0)),"")</f>
        <v>Vogt, Leonard</v>
      </c>
      <c r="D25" s="91" t="str">
        <f>IFERROR(INDEX(Starter!C:C,MATCH(B25,Starter!A:A,0)),"")</f>
        <v>BC EMAX</v>
      </c>
      <c r="E25" s="100">
        <f t="shared" si="3"/>
        <v>486</v>
      </c>
      <c r="F25" s="91">
        <f t="shared" si="4"/>
        <v>5</v>
      </c>
      <c r="G25" s="95">
        <f t="shared" si="5"/>
        <v>97.199999994999999</v>
      </c>
      <c r="L25" s="91">
        <f>INDEX(Starter!A:A,ROW()-1)</f>
        <v>38849</v>
      </c>
      <c r="M25" s="91">
        <f>SUMIF(Erfassung4!AU:AU,L25,Erfassung4!BJ:BJ)</f>
        <v>411</v>
      </c>
      <c r="N25" s="91">
        <f>SUMIF(Erfassung4!AU:AU,L25,Erfassung4!AX:AX)</f>
        <v>4</v>
      </c>
      <c r="O25" s="91">
        <f t="shared" si="0"/>
        <v>102.74999997499999</v>
      </c>
      <c r="P25" s="91">
        <f t="shared" si="1"/>
        <v>20</v>
      </c>
    </row>
    <row r="26" spans="1:16">
      <c r="A26" s="91">
        <f t="shared" si="6"/>
        <v>22</v>
      </c>
      <c r="B26" s="91">
        <f t="shared" si="2"/>
        <v>38922</v>
      </c>
      <c r="C26" s="91" t="str">
        <f>IFERROR(INDEX(Starter!B:B,MATCH(B26,Starter!A:A,0)),"")</f>
        <v>Schimanski, Theodor</v>
      </c>
      <c r="D26" s="91" t="str">
        <f>IFERROR(INDEX(Starter!C:C,MATCH(B26,Starter!A:A,0)),"")</f>
        <v>BSC Highroller Rosenheim</v>
      </c>
      <c r="E26" s="100">
        <f t="shared" si="3"/>
        <v>456</v>
      </c>
      <c r="F26" s="91">
        <f t="shared" si="4"/>
        <v>5</v>
      </c>
      <c r="G26" s="95">
        <f t="shared" si="5"/>
        <v>91.199999978999998</v>
      </c>
      <c r="L26" s="91">
        <f>INDEX(Starter!A:A,ROW()-1)</f>
        <v>38925</v>
      </c>
      <c r="M26" s="91">
        <f>SUMIF(Erfassung4!AU:AU,L26,Erfassung4!BJ:BJ)</f>
        <v>0</v>
      </c>
      <c r="N26" s="91">
        <f>SUMIF(Erfassung4!AU:AU,L26,Erfassung4!AX:AX)</f>
        <v>0</v>
      </c>
      <c r="O26" s="91">
        <f t="shared" si="0"/>
        <v>0</v>
      </c>
      <c r="P26" s="91">
        <f t="shared" si="1"/>
        <v>28</v>
      </c>
    </row>
    <row r="27" spans="1:16">
      <c r="A27" s="91">
        <f t="shared" si="6"/>
        <v>23</v>
      </c>
      <c r="B27" s="91">
        <f t="shared" si="2"/>
        <v>38893</v>
      </c>
      <c r="C27" s="91" t="str">
        <f>IFERROR(INDEX(Starter!B:B,MATCH(B27,Starter!A:A,0)),"")</f>
        <v>Rothemund, Louis</v>
      </c>
      <c r="D27" s="91" t="str">
        <f>IFERROR(INDEX(Starter!C:C,MATCH(B27,Starter!A:A,0)),"")</f>
        <v>Absolut-Sports.com</v>
      </c>
      <c r="E27" s="100">
        <f t="shared" si="3"/>
        <v>180</v>
      </c>
      <c r="F27" s="91">
        <f t="shared" si="4"/>
        <v>2</v>
      </c>
      <c r="G27" s="95">
        <f t="shared" si="5"/>
        <v>89.999999987999999</v>
      </c>
      <c r="L27" s="91">
        <f>INDEX(Starter!A:A,ROW()-1)</f>
        <v>38924</v>
      </c>
      <c r="M27" s="91">
        <f>SUMIF(Erfassung4!AU:AU,L27,Erfassung4!BJ:BJ)</f>
        <v>0</v>
      </c>
      <c r="N27" s="91">
        <f>SUMIF(Erfassung4!AU:AU,L27,Erfassung4!AX:AX)</f>
        <v>0</v>
      </c>
      <c r="O27" s="91">
        <f t="shared" si="0"/>
        <v>0</v>
      </c>
      <c r="P27" s="91">
        <f t="shared" si="1"/>
        <v>28</v>
      </c>
    </row>
    <row r="28" spans="1:16">
      <c r="A28" s="91">
        <f t="shared" si="6"/>
        <v>24</v>
      </c>
      <c r="B28" s="91">
        <f t="shared" si="2"/>
        <v>38890</v>
      </c>
      <c r="C28" s="91" t="str">
        <f>IFERROR(INDEX(Starter!B:B,MATCH(B28,Starter!A:A,0)),"")</f>
        <v>Hofer, Anja</v>
      </c>
      <c r="D28" s="91" t="str">
        <f>IFERROR(INDEX(Starter!C:C,MATCH(B28,Starter!A:A,0)),"")</f>
        <v>BC EMAX</v>
      </c>
      <c r="E28" s="100">
        <f t="shared" si="3"/>
        <v>442</v>
      </c>
      <c r="F28" s="91">
        <f t="shared" si="4"/>
        <v>5</v>
      </c>
      <c r="G28" s="95">
        <f t="shared" si="5"/>
        <v>88.399999998000013</v>
      </c>
      <c r="L28" s="91">
        <f>INDEX(Starter!A:A,ROW()-1)</f>
        <v>38865</v>
      </c>
      <c r="M28" s="91">
        <f>SUMIF(Erfassung4!AU:AU,L28,Erfassung4!BJ:BJ)</f>
        <v>649</v>
      </c>
      <c r="N28" s="91">
        <f>SUMIF(Erfassung4!AU:AU,L28,Erfassung4!AX:AX)</f>
        <v>5</v>
      </c>
      <c r="O28" s="91">
        <f t="shared" si="0"/>
        <v>129.79999997200002</v>
      </c>
      <c r="P28" s="91">
        <f t="shared" si="1"/>
        <v>8</v>
      </c>
    </row>
    <row r="29" spans="1:16">
      <c r="A29" s="91">
        <f t="shared" si="6"/>
        <v>25</v>
      </c>
      <c r="B29" s="91">
        <f t="shared" si="2"/>
        <v>38941</v>
      </c>
      <c r="C29" s="91" t="str">
        <f>IFERROR(INDEX(Starter!B:B,MATCH(B29,Starter!A:A,0)),"")</f>
        <v>Calik, Ilay</v>
      </c>
      <c r="D29" s="91" t="str">
        <f>IFERROR(INDEX(Starter!C:C,MATCH(B29,Starter!A:A,0)),"")</f>
        <v>Bowling Jugend Bayern</v>
      </c>
      <c r="E29" s="100">
        <f t="shared" si="3"/>
        <v>262</v>
      </c>
      <c r="F29" s="91">
        <f t="shared" si="4"/>
        <v>3</v>
      </c>
      <c r="G29" s="95">
        <f t="shared" si="5"/>
        <v>87.333333287333332</v>
      </c>
      <c r="L29" s="91">
        <f>INDEX(Starter!A:A,ROW()-1)</f>
        <v>38714</v>
      </c>
      <c r="M29" s="91">
        <f>SUMIF(Erfassung4!AU:AU,L29,Erfassung4!BJ:BJ)</f>
        <v>618</v>
      </c>
      <c r="N29" s="91">
        <f>SUMIF(Erfassung4!AU:AU,L29,Erfassung4!AX:AX)</f>
        <v>5</v>
      </c>
      <c r="O29" s="91">
        <f t="shared" si="0"/>
        <v>123.59999997099999</v>
      </c>
      <c r="P29" s="91">
        <f t="shared" si="1"/>
        <v>10</v>
      </c>
    </row>
    <row r="30" spans="1:16">
      <c r="A30" s="91">
        <f t="shared" si="6"/>
        <v>26</v>
      </c>
      <c r="B30" s="91">
        <f t="shared" si="2"/>
        <v>38905</v>
      </c>
      <c r="C30" s="91" t="str">
        <f>IFERROR(INDEX(Starter!B:B,MATCH(B30,Starter!A:A,0)),"")</f>
        <v>Laubach, Nina</v>
      </c>
      <c r="D30" s="91" t="str">
        <f>IFERROR(INDEX(Starter!C:C,MATCH(B30,Starter!A:A,0)),"")</f>
        <v>BC Berchtesgaden</v>
      </c>
      <c r="E30" s="100">
        <f t="shared" si="3"/>
        <v>396</v>
      </c>
      <c r="F30" s="91">
        <f t="shared" si="4"/>
        <v>5</v>
      </c>
      <c r="G30" s="95">
        <f t="shared" si="5"/>
        <v>79.199999968</v>
      </c>
      <c r="L30" s="91">
        <f>INDEX(Starter!A:A,ROW()-1)</f>
        <v>38819</v>
      </c>
      <c r="M30" s="91">
        <f>SUMIF(Erfassung4!AU:AU,L30,Erfassung4!BJ:BJ)</f>
        <v>0</v>
      </c>
      <c r="N30" s="91">
        <f>SUMIF(Erfassung4!AU:AU,L30,Erfassung4!AX:AX)</f>
        <v>0</v>
      </c>
      <c r="O30" s="91">
        <f t="shared" si="0"/>
        <v>0</v>
      </c>
      <c r="P30" s="91">
        <f t="shared" si="1"/>
        <v>28</v>
      </c>
    </row>
    <row r="31" spans="1:16">
      <c r="A31" s="91">
        <f t="shared" si="6"/>
        <v>27</v>
      </c>
      <c r="B31" s="91">
        <f t="shared" si="2"/>
        <v>38921</v>
      </c>
      <c r="C31" s="91" t="str">
        <f>IFERROR(INDEX(Starter!B:B,MATCH(B31,Starter!A:A,0)),"")</f>
        <v>Schimanski, Johanna</v>
      </c>
      <c r="D31" s="91" t="str">
        <f>IFERROR(INDEX(Starter!C:C,MATCH(B31,Starter!A:A,0)),"")</f>
        <v>BSC Highroller Rosenheim</v>
      </c>
      <c r="E31" s="100">
        <f t="shared" si="3"/>
        <v>374</v>
      </c>
      <c r="F31" s="91">
        <f t="shared" si="4"/>
        <v>5</v>
      </c>
      <c r="G31" s="95">
        <f t="shared" si="5"/>
        <v>74.799999979999996</v>
      </c>
      <c r="L31" s="91">
        <f>INDEX(Starter!A:A,ROW()-1)</f>
        <v>38817</v>
      </c>
      <c r="M31" s="91">
        <f>SUMIF(Erfassung4!AU:AU,L31,Erfassung4!BJ:BJ)</f>
        <v>0</v>
      </c>
      <c r="N31" s="91">
        <f>SUMIF(Erfassung4!AU:AU,L31,Erfassung4!AX:AX)</f>
        <v>0</v>
      </c>
      <c r="O31" s="91">
        <f t="shared" si="0"/>
        <v>0</v>
      </c>
      <c r="P31" s="91">
        <f t="shared" si="1"/>
        <v>28</v>
      </c>
    </row>
    <row r="32" spans="1:16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SUMIF(Erfassung4!AU:AU,L32,Erfassung4!BJ:BJ)</f>
        <v>396</v>
      </c>
      <c r="N32" s="91">
        <f>SUMIF(Erfassung4!AU:AU,L32,Erfassung4!AX:AX)</f>
        <v>5</v>
      </c>
      <c r="O32" s="91">
        <f t="shared" si="0"/>
        <v>79.199999968</v>
      </c>
      <c r="P32" s="91">
        <f t="shared" si="1"/>
        <v>26</v>
      </c>
    </row>
    <row r="33" spans="1:16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SUMIF(Erfassung4!AU:AU,L33,Erfassung4!BJ:BJ)</f>
        <v>0</v>
      </c>
      <c r="N33" s="91">
        <f>SUMIF(Erfassung4!AU:AU,L33,Erfassung4!AX:AX)</f>
        <v>0</v>
      </c>
      <c r="O33" s="91">
        <f t="shared" si="0"/>
        <v>0</v>
      </c>
      <c r="P33" s="91">
        <f t="shared" si="1"/>
        <v>28</v>
      </c>
    </row>
    <row r="34" spans="1:16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SUMIF(Erfassung4!AU:AU,L34,Erfassung4!BJ:BJ)</f>
        <v>849</v>
      </c>
      <c r="N34" s="91">
        <f>SUMIF(Erfassung4!AU:AU,L34,Erfassung4!AX:AX)</f>
        <v>5</v>
      </c>
      <c r="O34" s="91">
        <f t="shared" si="0"/>
        <v>169.799999966</v>
      </c>
      <c r="P34" s="91">
        <f t="shared" si="1"/>
        <v>1</v>
      </c>
    </row>
    <row r="35" spans="1:16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SUMIF(Erfassung4!AU:AU,L35,Erfassung4!BJ:BJ)</f>
        <v>708</v>
      </c>
      <c r="N35" s="91">
        <f>SUMIF(Erfassung4!AU:AU,L35,Erfassung4!AX:AX)</f>
        <v>5</v>
      </c>
      <c r="O35" s="91">
        <f t="shared" si="0"/>
        <v>141.59999996499999</v>
      </c>
      <c r="P35" s="91">
        <f t="shared" si="1"/>
        <v>4</v>
      </c>
    </row>
    <row r="36" spans="1:16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SUMIF(Erfassung4!AU:AU,L36,Erfassung4!BJ:BJ)</f>
        <v>0</v>
      </c>
      <c r="N36" s="91">
        <f>SUMIF(Erfassung4!AU:AU,L36,Erfassung4!AX:AX)</f>
        <v>0</v>
      </c>
      <c r="O36" s="91">
        <f t="shared" si="0"/>
        <v>0</v>
      </c>
      <c r="P36" s="91">
        <f t="shared" si="1"/>
        <v>28</v>
      </c>
    </row>
    <row r="37" spans="1:16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SUMIF(Erfassung4!AU:AU,L37,Erfassung4!BJ:BJ)</f>
        <v>618</v>
      </c>
      <c r="N37" s="91">
        <f>SUMIF(Erfassung4!AU:AU,L37,Erfassung4!AX:AX)</f>
        <v>5</v>
      </c>
      <c r="O37" s="91">
        <f t="shared" si="0"/>
        <v>123.59999996299999</v>
      </c>
      <c r="P37" s="91">
        <f t="shared" si="1"/>
        <v>11</v>
      </c>
    </row>
    <row r="38" spans="1:16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SUMIF(Erfassung4!AU:AU,L38,Erfassung4!BJ:BJ)</f>
        <v>0</v>
      </c>
      <c r="N38" s="91">
        <f>SUMIF(Erfassung4!AU:AU,L38,Erfassung4!AX:AX)</f>
        <v>0</v>
      </c>
      <c r="O38" s="91">
        <f t="shared" si="0"/>
        <v>0</v>
      </c>
      <c r="P38" s="91">
        <f t="shared" si="1"/>
        <v>28</v>
      </c>
    </row>
    <row r="39" spans="1:16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SUMIF(Erfassung4!AU:AU,L39,Erfassung4!BJ:BJ)</f>
        <v>0</v>
      </c>
      <c r="N39" s="91">
        <f>SUMIF(Erfassung4!AU:AU,L39,Erfassung4!AX:AX)</f>
        <v>0</v>
      </c>
      <c r="O39" s="91">
        <f t="shared" si="0"/>
        <v>0</v>
      </c>
      <c r="P39" s="91">
        <f t="shared" si="1"/>
        <v>28</v>
      </c>
    </row>
    <row r="40" spans="1:16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SUMIF(Erfassung4!AU:AU,L40,Erfassung4!BJ:BJ)</f>
        <v>0</v>
      </c>
      <c r="N40" s="91">
        <f>SUMIF(Erfassung4!AU:AU,L40,Erfassung4!AX:AX)</f>
        <v>0</v>
      </c>
      <c r="O40" s="91">
        <f t="shared" si="0"/>
        <v>0</v>
      </c>
      <c r="P40" s="91">
        <f t="shared" si="1"/>
        <v>28</v>
      </c>
    </row>
    <row r="41" spans="1:16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SUMIF(Erfassung4!AU:AU,L41,Erfassung4!BJ:BJ)</f>
        <v>0</v>
      </c>
      <c r="N41" s="91">
        <f>SUMIF(Erfassung4!AU:AU,L41,Erfassung4!AX:AX)</f>
        <v>0</v>
      </c>
      <c r="O41" s="91">
        <f t="shared" si="0"/>
        <v>0</v>
      </c>
      <c r="P41" s="91">
        <f t="shared" si="1"/>
        <v>28</v>
      </c>
    </row>
    <row r="42" spans="1:16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SUMIF(Erfassung4!AU:AU,L42,Erfassung4!BJ:BJ)</f>
        <v>407</v>
      </c>
      <c r="N42" s="91">
        <f>SUMIF(Erfassung4!AU:AU,L42,Erfassung4!AX:AX)</f>
        <v>3</v>
      </c>
      <c r="O42" s="91">
        <f t="shared" si="0"/>
        <v>135.66666662466665</v>
      </c>
      <c r="P42" s="91">
        <f t="shared" si="1"/>
        <v>6</v>
      </c>
    </row>
    <row r="43" spans="1:16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SUMIF(Erfassung4!AU:AU,L43,Erfassung4!BJ:BJ)</f>
        <v>364</v>
      </c>
      <c r="N43" s="91">
        <f>SUMIF(Erfassung4!AU:AU,L43,Erfassung4!AX:AX)</f>
        <v>3</v>
      </c>
      <c r="O43" s="91">
        <f t="shared" si="0"/>
        <v>121.33333329033333</v>
      </c>
      <c r="P43" s="91">
        <f t="shared" si="1"/>
        <v>13</v>
      </c>
    </row>
    <row r="44" spans="1:16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SUMIF(Erfassung4!AU:AU,L44,Erfassung4!BJ:BJ)</f>
        <v>460</v>
      </c>
      <c r="N44" s="91">
        <f>SUMIF(Erfassung4!AU:AU,L44,Erfassung4!AX:AX)</f>
        <v>4</v>
      </c>
      <c r="O44" s="91">
        <f t="shared" si="0"/>
        <v>114.999999956</v>
      </c>
      <c r="P44" s="91">
        <f t="shared" si="1"/>
        <v>16</v>
      </c>
    </row>
    <row r="45" spans="1:16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SUMIF(Erfassung4!AU:AU,L45,Erfassung4!BJ:BJ)</f>
        <v>0</v>
      </c>
      <c r="N45" s="91">
        <f>SUMIF(Erfassung4!AU:AU,L45,Erfassung4!AX:AX)</f>
        <v>0</v>
      </c>
      <c r="O45" s="91">
        <f t="shared" si="0"/>
        <v>0</v>
      </c>
      <c r="P45" s="91">
        <f t="shared" si="1"/>
        <v>28</v>
      </c>
    </row>
    <row r="46" spans="1:16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SUMIF(Erfassung4!AU:AU,L46,Erfassung4!BJ:BJ)</f>
        <v>262</v>
      </c>
      <c r="N46" s="91">
        <f>SUMIF(Erfassung4!AU:AU,L46,Erfassung4!AX:AX)</f>
        <v>3</v>
      </c>
      <c r="O46" s="91">
        <f t="shared" si="0"/>
        <v>87.333333287333332</v>
      </c>
      <c r="P46" s="91">
        <f t="shared" si="1"/>
        <v>25</v>
      </c>
    </row>
    <row r="47" spans="1:16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SUMIF(Erfassung4!AU:AU,L47,Erfassung4!BJ:BJ)</f>
        <v>794</v>
      </c>
      <c r="N47" s="91">
        <f>SUMIF(Erfassung4!AU:AU,L47,Erfassung4!AX:AX)</f>
        <v>5</v>
      </c>
      <c r="O47" s="91">
        <f t="shared" si="0"/>
        <v>158.79999995300003</v>
      </c>
      <c r="P47" s="91">
        <f t="shared" si="1"/>
        <v>3</v>
      </c>
    </row>
    <row r="48" spans="1:16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SUMIF(Erfassung4!AU:AU,L48,Erfassung4!BJ:BJ)</f>
        <v>0</v>
      </c>
      <c r="N48" s="91">
        <f>SUMIF(Erfassung4!AU:AU,L48,Erfassung4!AX:AX)</f>
        <v>0</v>
      </c>
      <c r="O48" s="91">
        <f t="shared" si="0"/>
        <v>0</v>
      </c>
      <c r="P48" s="91">
        <f t="shared" si="1"/>
        <v>28</v>
      </c>
    </row>
    <row r="49" spans="1:16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SUMIF(Erfassung4!AU:AU,L49,Erfassung4!BJ:BJ)</f>
        <v>0</v>
      </c>
      <c r="N49" s="91">
        <f>SUMIF(Erfassung4!AU:AU,L49,Erfassung4!AX:AX)</f>
        <v>0</v>
      </c>
      <c r="O49" s="91">
        <f t="shared" si="0"/>
        <v>0</v>
      </c>
      <c r="P49" s="91">
        <f t="shared" si="1"/>
        <v>28</v>
      </c>
    </row>
    <row r="50" spans="1:16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SUMIF(Erfassung4!AU:AU,L50,Erfassung4!BJ:BJ)</f>
        <v>0</v>
      </c>
      <c r="N50" s="91">
        <f>SUMIF(Erfassung4!AU:AU,L50,Erfassung4!AX:AX)</f>
        <v>0</v>
      </c>
      <c r="O50" s="91">
        <f t="shared" si="0"/>
        <v>0</v>
      </c>
      <c r="P50" s="91">
        <f t="shared" si="1"/>
        <v>28</v>
      </c>
    </row>
    <row r="51" spans="1:16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SUMIF(Erfassung4!AU:AU,L51,Erfassung4!BJ:BJ)</f>
        <v>0</v>
      </c>
      <c r="N51" s="91">
        <f>SUMIF(Erfassung4!AU:AU,L51,Erfassung4!AX:AX)</f>
        <v>0</v>
      </c>
      <c r="O51" s="91">
        <f t="shared" si="0"/>
        <v>0</v>
      </c>
      <c r="P51" s="91">
        <f t="shared" si="1"/>
        <v>28</v>
      </c>
    </row>
    <row r="52" spans="1:16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SUMIF(Erfassung4!AU:AU,L52,Erfassung4!BJ:BJ)</f>
        <v>0</v>
      </c>
      <c r="N52" s="91">
        <f>SUMIF(Erfassung4!AU:AU,L52,Erfassung4!AX:AX)</f>
        <v>0</v>
      </c>
      <c r="O52" s="91">
        <f t="shared" si="0"/>
        <v>0</v>
      </c>
      <c r="P52" s="91">
        <f t="shared" si="1"/>
        <v>28</v>
      </c>
    </row>
    <row r="53" spans="1:16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SUMIF(Erfassung4!AU:AU,L53,Erfassung4!BJ:BJ)</f>
        <v>0</v>
      </c>
      <c r="N53" s="91">
        <f>SUMIF(Erfassung4!AU:AU,L53,Erfassung4!AX:AX)</f>
        <v>0</v>
      </c>
      <c r="O53" s="91">
        <f t="shared" si="0"/>
        <v>0</v>
      </c>
      <c r="P53" s="91">
        <f t="shared" si="1"/>
        <v>28</v>
      </c>
    </row>
    <row r="54" spans="1:16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SUMIF(Erfassung4!AU:AU,L54,Erfassung4!BJ:BJ)</f>
        <v>0</v>
      </c>
      <c r="N54" s="91">
        <f>SUMIF(Erfassung4!AU:AU,L54,Erfassung4!AX:AX)</f>
        <v>0</v>
      </c>
      <c r="O54" s="91">
        <f t="shared" si="0"/>
        <v>0</v>
      </c>
      <c r="P54" s="91">
        <f t="shared" si="1"/>
        <v>28</v>
      </c>
    </row>
    <row r="55" spans="1:16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SUMIF(Erfassung4!AU:AU,L55,Erfassung4!BJ:BJ)</f>
        <v>0</v>
      </c>
      <c r="N55" s="91">
        <f>SUMIF(Erfassung4!AU:AU,L55,Erfassung4!AX:AX)</f>
        <v>0</v>
      </c>
      <c r="O55" s="91">
        <f t="shared" si="0"/>
        <v>0</v>
      </c>
      <c r="P55" s="91">
        <f t="shared" si="1"/>
        <v>28</v>
      </c>
    </row>
    <row r="56" spans="1:16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SUMIF(Erfassung4!AU:AU,L56,Erfassung4!BJ:BJ)</f>
        <v>0</v>
      </c>
      <c r="N56" s="91">
        <f>SUMIF(Erfassung4!AU:AU,L56,Erfassung4!AX:AX)</f>
        <v>0</v>
      </c>
      <c r="O56" s="91">
        <f t="shared" si="0"/>
        <v>0</v>
      </c>
      <c r="P56" s="91">
        <f t="shared" si="1"/>
        <v>28</v>
      </c>
    </row>
    <row r="57" spans="1:16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SUMIF(Erfassung4!AU:AU,L57,Erfassung4!BJ:BJ)</f>
        <v>0</v>
      </c>
      <c r="N57" s="91">
        <f>SUMIF(Erfassung4!AU:AU,L57,Erfassung4!AX:AX)</f>
        <v>0</v>
      </c>
      <c r="O57" s="91">
        <f t="shared" si="0"/>
        <v>0</v>
      </c>
      <c r="P57" s="91">
        <f t="shared" si="1"/>
        <v>28</v>
      </c>
    </row>
    <row r="58" spans="1:16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SUMIF(Erfassung4!AU:AU,L58,Erfassung4!BJ:BJ)</f>
        <v>0</v>
      </c>
      <c r="N58" s="91">
        <f>SUMIF(Erfassung4!AU:AU,L58,Erfassung4!AX:AX)</f>
        <v>0</v>
      </c>
      <c r="O58" s="91">
        <f t="shared" si="0"/>
        <v>0</v>
      </c>
      <c r="P58" s="91">
        <f t="shared" si="1"/>
        <v>28</v>
      </c>
    </row>
    <row r="59" spans="1:16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SUMIF(Erfassung4!AU:AU,L59,Erfassung4!BJ:BJ)</f>
        <v>0</v>
      </c>
      <c r="N59" s="91">
        <f>SUMIF(Erfassung4!AU:AU,L59,Erfassung4!AX:AX)</f>
        <v>0</v>
      </c>
      <c r="O59" s="91">
        <f t="shared" si="0"/>
        <v>0</v>
      </c>
      <c r="P59" s="91">
        <f t="shared" si="1"/>
        <v>28</v>
      </c>
    </row>
    <row r="60" spans="1:16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SUMIF(Erfassung4!AU:AU,L60,Erfassung4!BJ:BJ)</f>
        <v>0</v>
      </c>
      <c r="N60" s="91">
        <f>SUMIF(Erfassung4!AU:AU,L60,Erfassung4!AX:AX)</f>
        <v>0</v>
      </c>
      <c r="O60" s="91">
        <f t="shared" si="0"/>
        <v>0</v>
      </c>
      <c r="P60" s="91">
        <f t="shared" si="1"/>
        <v>28</v>
      </c>
    </row>
    <row r="61" spans="1:16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SUMIF(Erfassung4!AU:AU,L61,Erfassung4!BJ:BJ)</f>
        <v>0</v>
      </c>
      <c r="N61" s="91">
        <f>SUMIF(Erfassung4!AU:AU,L61,Erfassung4!AX:AX)</f>
        <v>0</v>
      </c>
      <c r="O61" s="91">
        <f t="shared" si="0"/>
        <v>0</v>
      </c>
      <c r="P61" s="91">
        <f t="shared" si="1"/>
        <v>28</v>
      </c>
    </row>
    <row r="62" spans="1:16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SUMIF(Erfassung4!AU:AU,L62,Erfassung4!BJ:BJ)</f>
        <v>0</v>
      </c>
      <c r="N62" s="91">
        <f>SUMIF(Erfassung4!AU:AU,L62,Erfassung4!AX:AX)</f>
        <v>0</v>
      </c>
      <c r="O62" s="91">
        <f t="shared" si="0"/>
        <v>0</v>
      </c>
      <c r="P62" s="91">
        <f t="shared" si="1"/>
        <v>28</v>
      </c>
    </row>
    <row r="63" spans="1:16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SUMIF(Erfassung4!AU:AU,L63,Erfassung4!BJ:BJ)</f>
        <v>0</v>
      </c>
      <c r="N63" s="91">
        <f>SUMIF(Erfassung4!AU:AU,L63,Erfassung4!AX:AX)</f>
        <v>0</v>
      </c>
      <c r="O63" s="91">
        <f t="shared" si="0"/>
        <v>0</v>
      </c>
      <c r="P63" s="91">
        <f t="shared" si="1"/>
        <v>28</v>
      </c>
    </row>
    <row r="64" spans="1:16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SUMIF(Erfassung4!AU:AU,L64,Erfassung4!BJ:BJ)</f>
        <v>0</v>
      </c>
      <c r="N64" s="91">
        <f>SUMIF(Erfassung4!AU:AU,L64,Erfassung4!AX:AX)</f>
        <v>0</v>
      </c>
      <c r="O64" s="91">
        <f t="shared" si="0"/>
        <v>0</v>
      </c>
      <c r="P64" s="91">
        <f t="shared" si="1"/>
        <v>28</v>
      </c>
    </row>
    <row r="65" spans="1:16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SUMIF(Erfassung4!AU:AU,L65,Erfassung4!BJ:BJ)</f>
        <v>0</v>
      </c>
      <c r="N65" s="91">
        <f>SUMIF(Erfassung4!AU:AU,L65,Erfassung4!AX:AX)</f>
        <v>0</v>
      </c>
      <c r="O65" s="91">
        <f t="shared" si="0"/>
        <v>0</v>
      </c>
      <c r="P65" s="91">
        <f t="shared" si="1"/>
        <v>28</v>
      </c>
    </row>
    <row r="66" spans="1:16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SUMIF(Erfassung4!AU:AU,L66,Erfassung4!BJ:BJ)</f>
        <v>0</v>
      </c>
      <c r="N66" s="91">
        <f>SUMIF(Erfassung4!AU:AU,L66,Erfassung4!AX:AX)</f>
        <v>0</v>
      </c>
      <c r="O66" s="91">
        <f t="shared" ref="O66:O104" si="7">IF(N66=0,0,M66/N66-ROW()/1000000000)</f>
        <v>0</v>
      </c>
      <c r="P66" s="91">
        <f t="shared" ref="P66:P104" si="8">RANK(O66,O:O)</f>
        <v>28</v>
      </c>
    </row>
    <row r="67" spans="1:16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SUMIF(Erfassung4!AU:AU,L67,Erfassung4!BJ:BJ)</f>
        <v>0</v>
      </c>
      <c r="N67" s="91">
        <f>SUMIF(Erfassung4!AU:AU,L67,Erfassung4!AX:AX)</f>
        <v>0</v>
      </c>
      <c r="O67" s="91">
        <f t="shared" si="7"/>
        <v>0</v>
      </c>
      <c r="P67" s="91">
        <f t="shared" si="8"/>
        <v>28</v>
      </c>
    </row>
    <row r="68" spans="1:16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SUMIF(Erfassung4!AU:AU,L68,Erfassung4!BJ:BJ)</f>
        <v>0</v>
      </c>
      <c r="N68" s="91">
        <f>SUMIF(Erfassung4!AU:AU,L68,Erfassung4!AX:AX)</f>
        <v>0</v>
      </c>
      <c r="O68" s="91">
        <f t="shared" si="7"/>
        <v>0</v>
      </c>
      <c r="P68" s="91">
        <f t="shared" si="8"/>
        <v>28</v>
      </c>
    </row>
    <row r="69" spans="1:16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SUMIF(Erfassung4!AU:AU,L69,Erfassung4!BJ:BJ)</f>
        <v>0</v>
      </c>
      <c r="N69" s="91">
        <f>SUMIF(Erfassung4!AU:AU,L69,Erfassung4!AX:AX)</f>
        <v>0</v>
      </c>
      <c r="O69" s="91">
        <f t="shared" si="7"/>
        <v>0</v>
      </c>
      <c r="P69" s="91">
        <f t="shared" si="8"/>
        <v>28</v>
      </c>
    </row>
    <row r="70" spans="1:16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SUMIF(Erfassung4!AU:AU,L70,Erfassung4!BJ:BJ)</f>
        <v>0</v>
      </c>
      <c r="N70" s="91">
        <f>SUMIF(Erfassung4!AU:AU,L70,Erfassung4!AX:AX)</f>
        <v>0</v>
      </c>
      <c r="O70" s="91">
        <f t="shared" si="7"/>
        <v>0</v>
      </c>
      <c r="P70" s="91">
        <f t="shared" si="8"/>
        <v>28</v>
      </c>
    </row>
    <row r="71" spans="1:16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SUMIF(Erfassung4!AU:AU,L71,Erfassung4!BJ:BJ)</f>
        <v>0</v>
      </c>
      <c r="N71" s="91">
        <f>SUMIF(Erfassung4!AU:AU,L71,Erfassung4!AX:AX)</f>
        <v>0</v>
      </c>
      <c r="O71" s="91">
        <f t="shared" si="7"/>
        <v>0</v>
      </c>
      <c r="P71" s="91">
        <f t="shared" si="8"/>
        <v>28</v>
      </c>
    </row>
    <row r="72" spans="1:16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SUMIF(Erfassung4!AU:AU,L72,Erfassung4!BJ:BJ)</f>
        <v>0</v>
      </c>
      <c r="N72" s="91">
        <f>SUMIF(Erfassung4!AU:AU,L72,Erfassung4!AX:AX)</f>
        <v>0</v>
      </c>
      <c r="O72" s="91">
        <f t="shared" si="7"/>
        <v>0</v>
      </c>
      <c r="P72" s="91">
        <f t="shared" si="8"/>
        <v>28</v>
      </c>
    </row>
    <row r="73" spans="1:16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SUMIF(Erfassung4!AU:AU,L73,Erfassung4!BJ:BJ)</f>
        <v>0</v>
      </c>
      <c r="N73" s="91">
        <f>SUMIF(Erfassung4!AU:AU,L73,Erfassung4!AX:AX)</f>
        <v>0</v>
      </c>
      <c r="O73" s="91">
        <f t="shared" si="7"/>
        <v>0</v>
      </c>
      <c r="P73" s="91">
        <f t="shared" si="8"/>
        <v>28</v>
      </c>
    </row>
    <row r="74" spans="1:16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SUMIF(Erfassung4!AU:AU,L74,Erfassung4!BJ:BJ)</f>
        <v>0</v>
      </c>
      <c r="N74" s="91">
        <f>SUMIF(Erfassung4!AU:AU,L74,Erfassung4!AX:AX)</f>
        <v>0</v>
      </c>
      <c r="O74" s="91">
        <f t="shared" si="7"/>
        <v>0</v>
      </c>
      <c r="P74" s="91">
        <f t="shared" si="8"/>
        <v>28</v>
      </c>
    </row>
    <row r="75" spans="1:16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SUMIF(Erfassung4!AU:AU,L75,Erfassung4!BJ:BJ)</f>
        <v>0</v>
      </c>
      <c r="N75" s="91">
        <f>SUMIF(Erfassung4!AU:AU,L75,Erfassung4!AX:AX)</f>
        <v>0</v>
      </c>
      <c r="O75" s="91">
        <f t="shared" si="7"/>
        <v>0</v>
      </c>
      <c r="P75" s="91">
        <f t="shared" si="8"/>
        <v>28</v>
      </c>
    </row>
    <row r="76" spans="1:16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SUMIF(Erfassung4!AU:AU,L76,Erfassung4!BJ:BJ)</f>
        <v>0</v>
      </c>
      <c r="N76" s="91">
        <f>SUMIF(Erfassung4!AU:AU,L76,Erfassung4!AX:AX)</f>
        <v>0</v>
      </c>
      <c r="O76" s="91">
        <f t="shared" si="7"/>
        <v>0</v>
      </c>
      <c r="P76" s="91">
        <f t="shared" si="8"/>
        <v>28</v>
      </c>
    </row>
    <row r="77" spans="1:16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SUMIF(Erfassung4!AU:AU,L77,Erfassung4!BJ:BJ)</f>
        <v>0</v>
      </c>
      <c r="N77" s="91">
        <f>SUMIF(Erfassung4!AU:AU,L77,Erfassung4!AX:AX)</f>
        <v>0</v>
      </c>
      <c r="O77" s="91">
        <f t="shared" si="7"/>
        <v>0</v>
      </c>
      <c r="P77" s="91">
        <f t="shared" si="8"/>
        <v>28</v>
      </c>
    </row>
    <row r="78" spans="1:16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SUMIF(Erfassung4!AU:AU,L78,Erfassung4!BJ:BJ)</f>
        <v>0</v>
      </c>
      <c r="N78" s="91">
        <f>SUMIF(Erfassung4!AU:AU,L78,Erfassung4!AX:AX)</f>
        <v>0</v>
      </c>
      <c r="O78" s="91">
        <f t="shared" si="7"/>
        <v>0</v>
      </c>
      <c r="P78" s="91">
        <f t="shared" si="8"/>
        <v>28</v>
      </c>
    </row>
    <row r="79" spans="1:16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SUMIF(Erfassung4!AU:AU,L79,Erfassung4!BJ:BJ)</f>
        <v>0</v>
      </c>
      <c r="N79" s="91">
        <f>SUMIF(Erfassung4!AU:AU,L79,Erfassung4!AX:AX)</f>
        <v>0</v>
      </c>
      <c r="O79" s="91">
        <f t="shared" si="7"/>
        <v>0</v>
      </c>
      <c r="P79" s="91">
        <f t="shared" si="8"/>
        <v>28</v>
      </c>
    </row>
    <row r="80" spans="1:16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SUMIF(Erfassung4!AU:AU,L80,Erfassung4!BJ:BJ)</f>
        <v>0</v>
      </c>
      <c r="N80" s="91">
        <f>SUMIF(Erfassung4!AU:AU,L80,Erfassung4!AX:AX)</f>
        <v>0</v>
      </c>
      <c r="O80" s="91">
        <f t="shared" si="7"/>
        <v>0</v>
      </c>
      <c r="P80" s="91">
        <f t="shared" si="8"/>
        <v>28</v>
      </c>
    </row>
    <row r="81" spans="1:16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SUMIF(Erfassung4!AU:AU,L81,Erfassung4!BJ:BJ)</f>
        <v>0</v>
      </c>
      <c r="N81" s="91">
        <f>SUMIF(Erfassung4!AU:AU,L81,Erfassung4!AX:AX)</f>
        <v>0</v>
      </c>
      <c r="O81" s="91">
        <f t="shared" si="7"/>
        <v>0</v>
      </c>
      <c r="P81" s="91">
        <f t="shared" si="8"/>
        <v>28</v>
      </c>
    </row>
    <row r="82" spans="1:16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SUMIF(Erfassung4!AU:AU,L82,Erfassung4!BJ:BJ)</f>
        <v>0</v>
      </c>
      <c r="N82" s="91">
        <f>SUMIF(Erfassung4!AU:AU,L82,Erfassung4!AX:AX)</f>
        <v>0</v>
      </c>
      <c r="O82" s="91">
        <f t="shared" si="7"/>
        <v>0</v>
      </c>
      <c r="P82" s="91">
        <f t="shared" si="8"/>
        <v>28</v>
      </c>
    </row>
    <row r="83" spans="1:16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SUMIF(Erfassung4!AU:AU,L83,Erfassung4!BJ:BJ)</f>
        <v>0</v>
      </c>
      <c r="N83" s="91">
        <f>SUMIF(Erfassung4!AU:AU,L83,Erfassung4!AX:AX)</f>
        <v>0</v>
      </c>
      <c r="O83" s="91">
        <f t="shared" si="7"/>
        <v>0</v>
      </c>
      <c r="P83" s="91">
        <f t="shared" si="8"/>
        <v>28</v>
      </c>
    </row>
    <row r="84" spans="1:16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SUMIF(Erfassung4!AU:AU,L84,Erfassung4!BJ:BJ)</f>
        <v>0</v>
      </c>
      <c r="N84" s="91">
        <f>SUMIF(Erfassung4!AU:AU,L84,Erfassung4!AX:AX)</f>
        <v>0</v>
      </c>
      <c r="O84" s="91">
        <f t="shared" si="7"/>
        <v>0</v>
      </c>
      <c r="P84" s="91">
        <f t="shared" si="8"/>
        <v>28</v>
      </c>
    </row>
    <row r="85" spans="1:16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SUMIF(Erfassung4!AU:AU,L85,Erfassung4!BJ:BJ)</f>
        <v>0</v>
      </c>
      <c r="N85" s="91">
        <f>SUMIF(Erfassung4!AU:AU,L85,Erfassung4!AX:AX)</f>
        <v>0</v>
      </c>
      <c r="O85" s="91">
        <f t="shared" si="7"/>
        <v>0</v>
      </c>
      <c r="P85" s="91">
        <f t="shared" si="8"/>
        <v>28</v>
      </c>
    </row>
    <row r="86" spans="1:16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SUMIF(Erfassung4!AU:AU,L86,Erfassung4!BJ:BJ)</f>
        <v>0</v>
      </c>
      <c r="N86" s="91">
        <f>SUMIF(Erfassung4!AU:AU,L86,Erfassung4!AX:AX)</f>
        <v>0</v>
      </c>
      <c r="O86" s="91">
        <f t="shared" si="7"/>
        <v>0</v>
      </c>
      <c r="P86" s="91">
        <f t="shared" si="8"/>
        <v>28</v>
      </c>
    </row>
    <row r="87" spans="1:16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SUMIF(Erfassung4!AU:AU,L87,Erfassung4!BJ:BJ)</f>
        <v>0</v>
      </c>
      <c r="N87" s="91">
        <f>SUMIF(Erfassung4!AU:AU,L87,Erfassung4!AX:AX)</f>
        <v>0</v>
      </c>
      <c r="O87" s="91">
        <f t="shared" si="7"/>
        <v>0</v>
      </c>
      <c r="P87" s="91">
        <f t="shared" si="8"/>
        <v>28</v>
      </c>
    </row>
    <row r="88" spans="1:16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SUMIF(Erfassung4!AU:AU,L88,Erfassung4!BJ:BJ)</f>
        <v>0</v>
      </c>
      <c r="N88" s="91">
        <f>SUMIF(Erfassung4!AU:AU,L88,Erfassung4!AX:AX)</f>
        <v>0</v>
      </c>
      <c r="O88" s="91">
        <f t="shared" si="7"/>
        <v>0</v>
      </c>
      <c r="P88" s="91">
        <f t="shared" si="8"/>
        <v>28</v>
      </c>
    </row>
    <row r="89" spans="1:16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SUMIF(Erfassung4!AU:AU,L89,Erfassung4!BJ:BJ)</f>
        <v>0</v>
      </c>
      <c r="N89" s="91">
        <f>SUMIF(Erfassung4!AU:AU,L89,Erfassung4!AX:AX)</f>
        <v>0</v>
      </c>
      <c r="O89" s="91">
        <f t="shared" si="7"/>
        <v>0</v>
      </c>
      <c r="P89" s="91">
        <f t="shared" si="8"/>
        <v>28</v>
      </c>
    </row>
    <row r="90" spans="1:16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SUMIF(Erfassung4!AU:AU,L90,Erfassung4!BJ:BJ)</f>
        <v>0</v>
      </c>
      <c r="N90" s="91">
        <f>SUMIF(Erfassung4!AU:AU,L90,Erfassung4!AX:AX)</f>
        <v>0</v>
      </c>
      <c r="O90" s="91">
        <f t="shared" si="7"/>
        <v>0</v>
      </c>
      <c r="P90" s="91">
        <f t="shared" si="8"/>
        <v>28</v>
      </c>
    </row>
    <row r="91" spans="1:16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SUMIF(Erfassung4!AU:AU,L91,Erfassung4!BJ:BJ)</f>
        <v>0</v>
      </c>
      <c r="N91" s="91">
        <f>SUMIF(Erfassung4!AU:AU,L91,Erfassung4!AX:AX)</f>
        <v>0</v>
      </c>
      <c r="O91" s="91">
        <f t="shared" si="7"/>
        <v>0</v>
      </c>
      <c r="P91" s="91">
        <f t="shared" si="8"/>
        <v>28</v>
      </c>
    </row>
    <row r="92" spans="1:16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SUMIF(Erfassung4!AU:AU,L92,Erfassung4!BJ:BJ)</f>
        <v>0</v>
      </c>
      <c r="N92" s="91">
        <f>SUMIF(Erfassung4!AU:AU,L92,Erfassung4!AX:AX)</f>
        <v>0</v>
      </c>
      <c r="O92" s="91">
        <f t="shared" si="7"/>
        <v>0</v>
      </c>
      <c r="P92" s="91">
        <f t="shared" si="8"/>
        <v>28</v>
      </c>
    </row>
    <row r="93" spans="1:16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SUMIF(Erfassung4!AU:AU,L93,Erfassung4!BJ:BJ)</f>
        <v>0</v>
      </c>
      <c r="N93" s="91">
        <f>SUMIF(Erfassung4!AU:AU,L93,Erfassung4!AX:AX)</f>
        <v>0</v>
      </c>
      <c r="O93" s="91">
        <f t="shared" si="7"/>
        <v>0</v>
      </c>
      <c r="P93" s="91">
        <f t="shared" si="8"/>
        <v>28</v>
      </c>
    </row>
    <row r="94" spans="1:16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SUMIF(Erfassung4!AU:AU,L94,Erfassung4!BJ:BJ)</f>
        <v>0</v>
      </c>
      <c r="N94" s="91">
        <f>SUMIF(Erfassung4!AU:AU,L94,Erfassung4!AX:AX)</f>
        <v>0</v>
      </c>
      <c r="O94" s="91">
        <f t="shared" si="7"/>
        <v>0</v>
      </c>
      <c r="P94" s="91">
        <f t="shared" si="8"/>
        <v>28</v>
      </c>
    </row>
    <row r="95" spans="1:16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SUMIF(Erfassung4!AU:AU,L95,Erfassung4!BJ:BJ)</f>
        <v>0</v>
      </c>
      <c r="N95" s="91">
        <f>SUMIF(Erfassung4!AU:AU,L95,Erfassung4!AX:AX)</f>
        <v>0</v>
      </c>
      <c r="O95" s="91">
        <f t="shared" si="7"/>
        <v>0</v>
      </c>
      <c r="P95" s="91">
        <f t="shared" si="8"/>
        <v>28</v>
      </c>
    </row>
    <row r="96" spans="1:16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SUMIF(Erfassung4!AU:AU,L96,Erfassung4!BJ:BJ)</f>
        <v>0</v>
      </c>
      <c r="N96" s="91">
        <f>SUMIF(Erfassung4!AU:AU,L96,Erfassung4!AX:AX)</f>
        <v>0</v>
      </c>
      <c r="O96" s="91">
        <f t="shared" si="7"/>
        <v>0</v>
      </c>
      <c r="P96" s="91">
        <f t="shared" si="8"/>
        <v>28</v>
      </c>
    </row>
    <row r="97" spans="1:16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SUMIF(Erfassung4!AU:AU,L97,Erfassung4!BJ:BJ)</f>
        <v>0</v>
      </c>
      <c r="N97" s="91">
        <f>SUMIF(Erfassung4!AU:AU,L97,Erfassung4!AX:AX)</f>
        <v>0</v>
      </c>
      <c r="O97" s="91">
        <f t="shared" si="7"/>
        <v>0</v>
      </c>
      <c r="P97" s="91">
        <f t="shared" si="8"/>
        <v>28</v>
      </c>
    </row>
    <row r="98" spans="1:16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SUMIF(Erfassung4!AU:AU,L98,Erfassung4!BJ:BJ)</f>
        <v>0</v>
      </c>
      <c r="N98" s="91">
        <f>SUMIF(Erfassung4!AU:AU,L98,Erfassung4!AX:AX)</f>
        <v>0</v>
      </c>
      <c r="O98" s="91">
        <f t="shared" si="7"/>
        <v>0</v>
      </c>
      <c r="P98" s="91">
        <f t="shared" si="8"/>
        <v>28</v>
      </c>
    </row>
    <row r="99" spans="1:16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SUMIF(Erfassung4!AU:AU,L99,Erfassung4!BJ:BJ)</f>
        <v>0</v>
      </c>
      <c r="N99" s="91">
        <f>SUMIF(Erfassung4!AU:AU,L99,Erfassung4!AX:AX)</f>
        <v>0</v>
      </c>
      <c r="O99" s="91">
        <f t="shared" si="7"/>
        <v>0</v>
      </c>
      <c r="P99" s="91">
        <f t="shared" si="8"/>
        <v>28</v>
      </c>
    </row>
    <row r="100" spans="1:16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SUMIF(Erfassung4!AU:AU,L100,Erfassung4!BJ:BJ)</f>
        <v>0</v>
      </c>
      <c r="N100" s="91">
        <f>SUMIF(Erfassung4!AU:AU,L100,Erfassung4!AX:AX)</f>
        <v>0</v>
      </c>
      <c r="O100" s="91">
        <f t="shared" si="7"/>
        <v>0</v>
      </c>
      <c r="P100" s="91">
        <f t="shared" si="8"/>
        <v>28</v>
      </c>
    </row>
    <row r="101" spans="1:16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SUMIF(Erfassung4!AU:AU,L101,Erfassung4!BJ:BJ)</f>
        <v>0</v>
      </c>
      <c r="N101" s="91">
        <f>SUMIF(Erfassung4!AU:AU,L101,Erfassung4!AX:AX)</f>
        <v>0</v>
      </c>
      <c r="O101" s="91">
        <f t="shared" si="7"/>
        <v>0</v>
      </c>
      <c r="P101" s="91">
        <f t="shared" si="8"/>
        <v>28</v>
      </c>
    </row>
    <row r="102" spans="1:16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SUMIF(Erfassung4!AU:AU,L102,Erfassung4!BJ:BJ)</f>
        <v>0</v>
      </c>
      <c r="N102" s="91">
        <f>SUMIF(Erfassung4!AU:AU,L102,Erfassung4!AX:AX)</f>
        <v>0</v>
      </c>
      <c r="O102" s="91">
        <f t="shared" si="7"/>
        <v>0</v>
      </c>
      <c r="P102" s="91">
        <f t="shared" si="8"/>
        <v>28</v>
      </c>
    </row>
    <row r="103" spans="1:16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SUMIF(Erfassung4!AU:AU,L103,Erfassung4!BJ:BJ)</f>
        <v>0</v>
      </c>
      <c r="N103" s="91">
        <f>SUMIF(Erfassung4!AU:AU,L103,Erfassung4!AX:AX)</f>
        <v>0</v>
      </c>
      <c r="O103" s="91">
        <f t="shared" si="7"/>
        <v>0</v>
      </c>
      <c r="P103" s="91">
        <f t="shared" si="8"/>
        <v>28</v>
      </c>
    </row>
    <row r="104" spans="1:16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SUMIF(Erfassung4!AU:AU,L104,Erfassung4!BJ:BJ)</f>
        <v>0</v>
      </c>
      <c r="N104" s="91">
        <f>SUMIF(Erfassung4!AU:AU,L104,Erfassung4!AX:AX)</f>
        <v>0</v>
      </c>
      <c r="O104" s="91">
        <f t="shared" si="7"/>
        <v>0</v>
      </c>
      <c r="P104" s="91">
        <f t="shared" si="8"/>
        <v>28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EL30"/>
  <sheetViews>
    <sheetView zoomScaleNormal="100" workbookViewId="0">
      <pane xSplit="2" ySplit="4" topLeftCell="BJ5" activePane="bottomRight" state="frozen"/>
      <selection activeCell="C4" sqref="C4:J4"/>
      <selection pane="topRight" activeCell="C4" sqref="C4:J4"/>
      <selection pane="bottomLeft" activeCell="C4" sqref="C4:J4"/>
      <selection pane="bottomRight" activeCell="CG11" sqref="CG11"/>
    </sheetView>
  </sheetViews>
  <sheetFormatPr baseColWidth="10" defaultColWidth="11.44140625" defaultRowHeight="13.2"/>
  <cols>
    <col min="1" max="1" width="3.6640625" customWidth="1"/>
    <col min="2" max="2" width="28.21875" style="6" customWidth="1"/>
    <col min="3" max="11" width="3.6640625" customWidth="1"/>
    <col min="12" max="12" width="3.6640625" style="268" customWidth="1"/>
    <col min="13" max="21" width="3.6640625" customWidth="1"/>
    <col min="22" max="22" width="5.6640625" customWidth="1"/>
    <col min="23" max="26" width="3.6640625" customWidth="1"/>
    <col min="27" max="27" width="5.21875" bestFit="1" customWidth="1"/>
    <col min="28" max="31" width="3.6640625" customWidth="1"/>
    <col min="32" max="32" width="3.6640625" style="268" customWidth="1"/>
    <col min="33" max="36" width="4.33203125" bestFit="1" customWidth="1"/>
    <col min="37" max="37" width="5.21875" bestFit="1" customWidth="1"/>
    <col min="38" max="41" width="3.6640625" customWidth="1"/>
    <col min="42" max="42" width="5.6640625" customWidth="1"/>
    <col min="43" max="47" width="5.21875" bestFit="1" customWidth="1"/>
    <col min="48" max="51" width="3.6640625" customWidth="1"/>
    <col min="52" max="52" width="3.6640625" style="268" customWidth="1"/>
    <col min="53" max="57" width="5.21875" bestFit="1" customWidth="1"/>
    <col min="58" max="61" width="3.6640625" customWidth="1"/>
    <col min="62" max="62" width="5.6640625" customWidth="1"/>
    <col min="63" max="67" width="5.21875" bestFit="1" customWidth="1"/>
    <col min="68" max="71" width="3.6640625" customWidth="1"/>
    <col min="72" max="72" width="3.6640625" style="268" customWidth="1"/>
    <col min="73" max="77" width="5.21875" bestFit="1" customWidth="1"/>
    <col min="78" max="81" width="3.6640625" customWidth="1"/>
    <col min="82" max="82" width="5.6640625" customWidth="1"/>
    <col min="83" max="87" width="5.21875" bestFit="1" customWidth="1"/>
    <col min="88" max="91" width="3.6640625" customWidth="1"/>
    <col min="92" max="92" width="3.6640625" style="268" customWidth="1"/>
    <col min="93" max="97" width="5.21875" bestFit="1" customWidth="1"/>
    <col min="98" max="101" width="3.6640625" customWidth="1"/>
    <col min="102" max="102" width="5.6640625" customWidth="1"/>
    <col min="103" max="107" width="5.21875" bestFit="1" customWidth="1"/>
    <col min="108" max="111" width="3.6640625" customWidth="1"/>
    <col min="112" max="112" width="3.6640625" style="268" customWidth="1"/>
    <col min="113" max="117" width="5.21875" bestFit="1" customWidth="1"/>
    <col min="118" max="121" width="3.6640625" customWidth="1"/>
    <col min="122" max="122" width="5.6640625" customWidth="1"/>
    <col min="123" max="127" width="5.21875" bestFit="1" customWidth="1"/>
    <col min="128" max="131" width="3.6640625" customWidth="1"/>
    <col min="132" max="132" width="3.6640625" style="268" customWidth="1"/>
    <col min="133" max="137" width="5.21875" bestFit="1" customWidth="1"/>
    <col min="138" max="141" width="3.6640625" customWidth="1"/>
    <col min="142" max="142" width="5.6640625" customWidth="1"/>
  </cols>
  <sheetData>
    <row r="1" spans="1:142" ht="24" customHeight="1">
      <c r="C1" s="355" t="s">
        <v>2344</v>
      </c>
      <c r="D1" s="356"/>
      <c r="E1" s="356"/>
      <c r="F1" s="356"/>
      <c r="G1" s="356"/>
      <c r="H1" s="356"/>
      <c r="I1" s="356"/>
      <c r="J1" s="356"/>
      <c r="K1" s="356"/>
      <c r="L1" s="357"/>
      <c r="M1" s="349">
        <f>VLOOKUP($S$2,Spielorte!$A$1:$C$6,2)</f>
        <v>45211</v>
      </c>
      <c r="N1" s="350"/>
      <c r="O1" s="350"/>
      <c r="P1" s="350"/>
      <c r="Q1" s="350"/>
      <c r="R1" s="350"/>
      <c r="S1" s="350"/>
      <c r="T1" s="350"/>
      <c r="U1" s="350"/>
      <c r="V1" s="351"/>
      <c r="W1" s="346" t="str">
        <f>+C1</f>
        <v>Landesliga Jugend</v>
      </c>
      <c r="X1" s="347"/>
      <c r="Y1" s="347"/>
      <c r="Z1" s="347"/>
      <c r="AA1" s="347"/>
      <c r="AB1" s="347"/>
      <c r="AC1" s="347"/>
      <c r="AD1" s="347"/>
      <c r="AE1" s="347"/>
      <c r="AF1" s="348"/>
      <c r="AG1" s="349">
        <f>VLOOKUP($AM$2,Spielorte!$A$1:$C$6,2)</f>
        <v>45717</v>
      </c>
      <c r="AH1" s="350"/>
      <c r="AI1" s="350"/>
      <c r="AJ1" s="350"/>
      <c r="AK1" s="350"/>
      <c r="AL1" s="350"/>
      <c r="AM1" s="350"/>
      <c r="AN1" s="350"/>
      <c r="AO1" s="350"/>
      <c r="AP1" s="351"/>
      <c r="AQ1" s="346" t="str">
        <f>+W1</f>
        <v>Landesliga Jugend</v>
      </c>
      <c r="AR1" s="347"/>
      <c r="AS1" s="347"/>
      <c r="AT1" s="347"/>
      <c r="AU1" s="347"/>
      <c r="AV1" s="347"/>
      <c r="AW1" s="347"/>
      <c r="AX1" s="347"/>
      <c r="AY1" s="347"/>
      <c r="AZ1" s="348"/>
      <c r="BA1" s="349">
        <f>VLOOKUP($BG$2,Spielorte!$A$1:$C$6,2)</f>
        <v>45752</v>
      </c>
      <c r="BB1" s="350"/>
      <c r="BC1" s="350"/>
      <c r="BD1" s="350"/>
      <c r="BE1" s="350"/>
      <c r="BF1" s="350"/>
      <c r="BG1" s="350"/>
      <c r="BH1" s="350"/>
      <c r="BI1" s="350"/>
      <c r="BJ1" s="351"/>
      <c r="BK1" s="346" t="str">
        <f>+AQ1</f>
        <v>Landesliga Jugend</v>
      </c>
      <c r="BL1" s="347"/>
      <c r="BM1" s="347"/>
      <c r="BN1" s="347"/>
      <c r="BO1" s="347"/>
      <c r="BP1" s="347"/>
      <c r="BQ1" s="347"/>
      <c r="BR1" s="347"/>
      <c r="BS1" s="347"/>
      <c r="BT1" s="348"/>
      <c r="BU1" s="349">
        <f>VLOOKUP($CA$2,Spielorte!$A$1:$C$6,2)</f>
        <v>45787</v>
      </c>
      <c r="BV1" s="350"/>
      <c r="BW1" s="350"/>
      <c r="BX1" s="350"/>
      <c r="BY1" s="350"/>
      <c r="BZ1" s="350"/>
      <c r="CA1" s="350"/>
      <c r="CB1" s="350"/>
      <c r="CC1" s="350"/>
      <c r="CD1" s="351"/>
      <c r="CE1" s="346" t="str">
        <f>+BK1</f>
        <v>Landesliga Jugend</v>
      </c>
      <c r="CF1" s="347"/>
      <c r="CG1" s="347"/>
      <c r="CH1" s="347"/>
      <c r="CI1" s="347"/>
      <c r="CJ1" s="347"/>
      <c r="CK1" s="347"/>
      <c r="CL1" s="347"/>
      <c r="CM1" s="347"/>
      <c r="CN1" s="348"/>
      <c r="CO1" s="349">
        <f>VLOOKUP($CU$2,Spielorte!$A$1:$C$6,2)</f>
        <v>45794</v>
      </c>
      <c r="CP1" s="350"/>
      <c r="CQ1" s="350"/>
      <c r="CR1" s="350"/>
      <c r="CS1" s="350"/>
      <c r="CT1" s="350"/>
      <c r="CU1" s="350"/>
      <c r="CV1" s="350"/>
      <c r="CW1" s="350"/>
      <c r="CX1" s="351"/>
      <c r="CY1" s="346" t="str">
        <f>+CE1</f>
        <v>Landesliga Jugend</v>
      </c>
      <c r="CZ1" s="347"/>
      <c r="DA1" s="347"/>
      <c r="DB1" s="347"/>
      <c r="DC1" s="347"/>
      <c r="DD1" s="347"/>
      <c r="DE1" s="347"/>
      <c r="DF1" s="347"/>
      <c r="DG1" s="347"/>
      <c r="DH1" s="348"/>
      <c r="DI1" s="349">
        <f>VLOOKUP($DO$2,Spielorte!$A$1:$C$6,2)</f>
        <v>45808</v>
      </c>
      <c r="DJ1" s="350"/>
      <c r="DK1" s="350"/>
      <c r="DL1" s="350"/>
      <c r="DM1" s="350"/>
      <c r="DN1" s="350"/>
      <c r="DO1" s="350"/>
      <c r="DP1" s="350"/>
      <c r="DQ1" s="350"/>
      <c r="DR1" s="351"/>
      <c r="DS1" s="346" t="str">
        <f>+CY1</f>
        <v>Landesliga Jugend</v>
      </c>
      <c r="DT1" s="347"/>
      <c r="DU1" s="347"/>
      <c r="DV1" s="347"/>
      <c r="DW1" s="347"/>
      <c r="DX1" s="347"/>
      <c r="DY1" s="347"/>
      <c r="DZ1" s="347"/>
      <c r="EA1" s="347"/>
      <c r="EB1" s="348"/>
      <c r="EC1" s="349">
        <f>VLOOKUP($EI$2,Spielorte!$A$1:$C$7,2)</f>
        <v>45829</v>
      </c>
      <c r="ED1" s="350"/>
      <c r="EE1" s="350"/>
      <c r="EF1" s="350"/>
      <c r="EG1" s="350"/>
      <c r="EH1" s="350"/>
      <c r="EI1" s="350"/>
      <c r="EJ1" s="350"/>
      <c r="EK1" s="350"/>
      <c r="EL1" s="351"/>
    </row>
    <row r="2" spans="1:142" ht="24" customHeight="1">
      <c r="C2" s="352" t="str">
        <f>VLOOKUP($S$2,Spielorte!$A$1:$C$6,3)</f>
        <v>Brunnthal Max Munich</v>
      </c>
      <c r="D2" s="353"/>
      <c r="E2" s="353"/>
      <c r="F2" s="353"/>
      <c r="G2" s="353"/>
      <c r="H2" s="353"/>
      <c r="I2" s="353"/>
      <c r="J2" s="353"/>
      <c r="K2" s="353"/>
      <c r="L2" s="354"/>
      <c r="M2" s="344" t="s">
        <v>1788</v>
      </c>
      <c r="N2" s="345"/>
      <c r="O2" s="345"/>
      <c r="P2" s="345"/>
      <c r="Q2" s="345"/>
      <c r="R2" s="345"/>
      <c r="S2" s="263">
        <v>1</v>
      </c>
      <c r="T2" s="2"/>
      <c r="U2" s="2"/>
      <c r="V2" s="264"/>
      <c r="W2" s="352" t="str">
        <f>VLOOKUP($AM$2,Spielorte!$A$1:$C$6,3)</f>
        <v>Unterföhring Dreambowl Palace</v>
      </c>
      <c r="X2" s="353"/>
      <c r="Y2" s="353"/>
      <c r="Z2" s="353"/>
      <c r="AA2" s="353"/>
      <c r="AB2" s="353"/>
      <c r="AC2" s="353"/>
      <c r="AD2" s="353"/>
      <c r="AE2" s="353"/>
      <c r="AF2" s="354"/>
      <c r="AG2" s="344" t="s">
        <v>1788</v>
      </c>
      <c r="AH2" s="345"/>
      <c r="AI2" s="345"/>
      <c r="AJ2" s="345"/>
      <c r="AK2" s="345"/>
      <c r="AL2" s="345"/>
      <c r="AM2" s="263">
        <v>2</v>
      </c>
      <c r="AN2" s="2"/>
      <c r="AO2" s="2"/>
      <c r="AP2" s="264"/>
      <c r="AQ2" s="352" t="str">
        <f>VLOOKUP($BG$2,Spielorte!$A$1:$C$6,3)</f>
        <v>München Hollywood Super Bowling</v>
      </c>
      <c r="AR2" s="353"/>
      <c r="AS2" s="353"/>
      <c r="AT2" s="353"/>
      <c r="AU2" s="353"/>
      <c r="AV2" s="353"/>
      <c r="AW2" s="353"/>
      <c r="AX2" s="353"/>
      <c r="AY2" s="353"/>
      <c r="AZ2" s="354"/>
      <c r="BA2" s="344" t="s">
        <v>1788</v>
      </c>
      <c r="BB2" s="345"/>
      <c r="BC2" s="345"/>
      <c r="BD2" s="345"/>
      <c r="BE2" s="345"/>
      <c r="BF2" s="345"/>
      <c r="BG2" s="263">
        <v>3</v>
      </c>
      <c r="BH2" s="2"/>
      <c r="BI2" s="2"/>
      <c r="BJ2" s="264"/>
      <c r="BK2" s="352" t="str">
        <f>VLOOKUP($CA$2,Spielorte!$A$1:$C$6,3)</f>
        <v>Bad Tölz Flint Bowling</v>
      </c>
      <c r="BL2" s="353"/>
      <c r="BM2" s="353"/>
      <c r="BN2" s="353"/>
      <c r="BO2" s="353"/>
      <c r="BP2" s="353"/>
      <c r="BQ2" s="353"/>
      <c r="BR2" s="353"/>
      <c r="BS2" s="353"/>
      <c r="BT2" s="354"/>
      <c r="BU2" s="344" t="s">
        <v>1788</v>
      </c>
      <c r="BV2" s="345"/>
      <c r="BW2" s="345"/>
      <c r="BX2" s="345"/>
      <c r="BY2" s="345"/>
      <c r="BZ2" s="345"/>
      <c r="CA2" s="263">
        <v>4</v>
      </c>
      <c r="CB2" s="2"/>
      <c r="CC2" s="2"/>
      <c r="CD2" s="264"/>
      <c r="CE2" s="352" t="str">
        <f>VLOOKUP($CU$2,Spielorte!$A$1:$C$6,3)</f>
        <v>Olching 5005 Bowling</v>
      </c>
      <c r="CF2" s="353"/>
      <c r="CG2" s="353"/>
      <c r="CH2" s="353"/>
      <c r="CI2" s="353"/>
      <c r="CJ2" s="353"/>
      <c r="CK2" s="353"/>
      <c r="CL2" s="353"/>
      <c r="CM2" s="353"/>
      <c r="CN2" s="354"/>
      <c r="CO2" s="344" t="s">
        <v>1788</v>
      </c>
      <c r="CP2" s="345"/>
      <c r="CQ2" s="345"/>
      <c r="CR2" s="345"/>
      <c r="CS2" s="345"/>
      <c r="CT2" s="345"/>
      <c r="CU2" s="263">
        <v>5</v>
      </c>
      <c r="CV2" s="2"/>
      <c r="CW2" s="2"/>
      <c r="CX2" s="264"/>
      <c r="CY2" s="352" t="str">
        <f>VLOOKUP($DO$2,Spielorte!$A$1:$C$6,3)</f>
        <v>Rosenheim In(n) Bowling</v>
      </c>
      <c r="CZ2" s="353"/>
      <c r="DA2" s="353"/>
      <c r="DB2" s="353"/>
      <c r="DC2" s="353"/>
      <c r="DD2" s="353"/>
      <c r="DE2" s="353"/>
      <c r="DF2" s="353"/>
      <c r="DG2" s="353"/>
      <c r="DH2" s="354"/>
      <c r="DI2" s="344" t="s">
        <v>1788</v>
      </c>
      <c r="DJ2" s="345"/>
      <c r="DK2" s="345"/>
      <c r="DL2" s="345"/>
      <c r="DM2" s="345"/>
      <c r="DN2" s="345"/>
      <c r="DO2" s="263">
        <v>6</v>
      </c>
      <c r="DP2" s="2"/>
      <c r="DQ2" s="2"/>
      <c r="DR2" s="264"/>
      <c r="DS2" s="352" t="str">
        <f>VLOOKUP($EI$2,Spielorte!$A$1:$C$7,3)</f>
        <v>Brunnthal Max Munich</v>
      </c>
      <c r="DT2" s="353"/>
      <c r="DU2" s="353"/>
      <c r="DV2" s="353"/>
      <c r="DW2" s="353"/>
      <c r="DX2" s="353"/>
      <c r="DY2" s="353"/>
      <c r="DZ2" s="353"/>
      <c r="EA2" s="353"/>
      <c r="EB2" s="354"/>
      <c r="EC2" s="344" t="s">
        <v>1788</v>
      </c>
      <c r="ED2" s="345"/>
      <c r="EE2" s="345"/>
      <c r="EF2" s="345"/>
      <c r="EG2" s="345"/>
      <c r="EH2" s="345"/>
      <c r="EI2" s="263">
        <v>7</v>
      </c>
      <c r="EJ2" s="2"/>
      <c r="EK2" s="2"/>
      <c r="EL2" s="264"/>
    </row>
    <row r="3" spans="1:142" ht="12.75" customHeight="1">
      <c r="C3" s="340" t="s">
        <v>9</v>
      </c>
      <c r="D3" s="341"/>
      <c r="E3" s="341"/>
      <c r="F3" s="341"/>
      <c r="G3" s="341"/>
      <c r="H3" s="341"/>
      <c r="I3" s="341"/>
      <c r="J3" s="341"/>
      <c r="K3" s="341"/>
      <c r="L3" s="342"/>
      <c r="M3" s="343" t="s">
        <v>10</v>
      </c>
      <c r="N3" s="341"/>
      <c r="O3" s="341"/>
      <c r="P3" s="341"/>
      <c r="Q3" s="341"/>
      <c r="R3" s="341"/>
      <c r="S3" s="341"/>
      <c r="T3" s="341"/>
      <c r="V3" s="265" t="s">
        <v>1789</v>
      </c>
      <c r="W3" s="340" t="s">
        <v>9</v>
      </c>
      <c r="X3" s="341"/>
      <c r="Y3" s="341"/>
      <c r="Z3" s="341"/>
      <c r="AA3" s="341"/>
      <c r="AB3" s="341"/>
      <c r="AC3" s="341"/>
      <c r="AD3" s="341"/>
      <c r="AE3" s="341"/>
      <c r="AF3" s="342"/>
      <c r="AG3" s="343" t="s">
        <v>10</v>
      </c>
      <c r="AH3" s="341"/>
      <c r="AI3" s="341"/>
      <c r="AJ3" s="341"/>
      <c r="AK3" s="341"/>
      <c r="AL3" s="341"/>
      <c r="AM3" s="341"/>
      <c r="AN3" s="341"/>
      <c r="AP3" s="265" t="s">
        <v>1789</v>
      </c>
      <c r="AQ3" s="340" t="s">
        <v>9</v>
      </c>
      <c r="AR3" s="341"/>
      <c r="AS3" s="341"/>
      <c r="AT3" s="341"/>
      <c r="AU3" s="341"/>
      <c r="AV3" s="341"/>
      <c r="AW3" s="341"/>
      <c r="AX3" s="341"/>
      <c r="AY3" s="341"/>
      <c r="AZ3" s="342"/>
      <c r="BA3" s="343" t="s">
        <v>10</v>
      </c>
      <c r="BB3" s="341"/>
      <c r="BC3" s="341"/>
      <c r="BD3" s="341"/>
      <c r="BE3" s="341"/>
      <c r="BF3" s="341"/>
      <c r="BG3" s="341"/>
      <c r="BH3" s="341"/>
      <c r="BJ3" s="265" t="s">
        <v>1789</v>
      </c>
      <c r="BK3" s="340" t="s">
        <v>9</v>
      </c>
      <c r="BL3" s="341"/>
      <c r="BM3" s="341"/>
      <c r="BN3" s="341"/>
      <c r="BO3" s="341"/>
      <c r="BP3" s="341"/>
      <c r="BQ3" s="341"/>
      <c r="BR3" s="341"/>
      <c r="BS3" s="341"/>
      <c r="BT3" s="342"/>
      <c r="BU3" s="343" t="s">
        <v>10</v>
      </c>
      <c r="BV3" s="341"/>
      <c r="BW3" s="341"/>
      <c r="BX3" s="341"/>
      <c r="BY3" s="341"/>
      <c r="BZ3" s="341"/>
      <c r="CA3" s="341"/>
      <c r="CB3" s="341"/>
      <c r="CD3" s="265" t="s">
        <v>1789</v>
      </c>
      <c r="CE3" s="340" t="s">
        <v>9</v>
      </c>
      <c r="CF3" s="341"/>
      <c r="CG3" s="341"/>
      <c r="CH3" s="341"/>
      <c r="CI3" s="341"/>
      <c r="CJ3" s="341"/>
      <c r="CK3" s="341"/>
      <c r="CL3" s="341"/>
      <c r="CM3" s="341"/>
      <c r="CN3" s="342"/>
      <c r="CO3" s="343" t="s">
        <v>10</v>
      </c>
      <c r="CP3" s="341"/>
      <c r="CQ3" s="341"/>
      <c r="CR3" s="341"/>
      <c r="CS3" s="341"/>
      <c r="CT3" s="341"/>
      <c r="CU3" s="341"/>
      <c r="CV3" s="341"/>
      <c r="CX3" s="265" t="s">
        <v>1789</v>
      </c>
      <c r="CY3" s="340" t="s">
        <v>9</v>
      </c>
      <c r="CZ3" s="341"/>
      <c r="DA3" s="341"/>
      <c r="DB3" s="341"/>
      <c r="DC3" s="341"/>
      <c r="DD3" s="341"/>
      <c r="DE3" s="341"/>
      <c r="DF3" s="341"/>
      <c r="DG3" s="341"/>
      <c r="DH3" s="342"/>
      <c r="DI3" s="343" t="s">
        <v>10</v>
      </c>
      <c r="DJ3" s="341"/>
      <c r="DK3" s="341"/>
      <c r="DL3" s="341"/>
      <c r="DM3" s="341"/>
      <c r="DN3" s="341"/>
      <c r="DO3" s="341"/>
      <c r="DP3" s="341"/>
      <c r="DR3" s="265" t="s">
        <v>1789</v>
      </c>
      <c r="DS3" s="340" t="s">
        <v>9</v>
      </c>
      <c r="DT3" s="341"/>
      <c r="DU3" s="341"/>
      <c r="DV3" s="341"/>
      <c r="DW3" s="341"/>
      <c r="DX3" s="341"/>
      <c r="DY3" s="341"/>
      <c r="DZ3" s="341"/>
      <c r="EA3" s="341"/>
      <c r="EB3" s="342"/>
      <c r="EC3" s="343" t="s">
        <v>10</v>
      </c>
      <c r="ED3" s="341"/>
      <c r="EE3" s="341"/>
      <c r="EF3" s="341"/>
      <c r="EG3" s="341"/>
      <c r="EH3" s="341"/>
      <c r="EI3" s="341"/>
      <c r="EJ3" s="341"/>
      <c r="EL3" s="265" t="s">
        <v>1789</v>
      </c>
    </row>
    <row r="4" spans="1:142" ht="12.75" customHeight="1">
      <c r="B4" s="263"/>
      <c r="C4" s="266" t="s">
        <v>4</v>
      </c>
      <c r="D4" s="267" t="s">
        <v>5</v>
      </c>
      <c r="E4" s="267" t="s">
        <v>6</v>
      </c>
      <c r="F4" s="267" t="s">
        <v>7</v>
      </c>
      <c r="G4" s="267" t="s">
        <v>8</v>
      </c>
      <c r="H4" s="267"/>
      <c r="I4" s="267"/>
      <c r="J4" s="267"/>
      <c r="K4" s="267"/>
      <c r="M4" s="267" t="str">
        <f>+C4</f>
        <v>Sp 1</v>
      </c>
      <c r="N4" s="267" t="str">
        <f>+D4</f>
        <v>Sp 2</v>
      </c>
      <c r="O4" s="267" t="str">
        <f>+E4</f>
        <v>Sp 3</v>
      </c>
      <c r="P4" s="267" t="str">
        <f>+F4</f>
        <v>Sp 4</v>
      </c>
      <c r="Q4" s="267" t="str">
        <f>+G4</f>
        <v>Sp 5</v>
      </c>
      <c r="R4" s="267"/>
      <c r="S4" s="267"/>
      <c r="T4" s="267"/>
      <c r="U4" s="267"/>
      <c r="V4" s="269">
        <f>+Spielzettel1!$AD$2</f>
        <v>9</v>
      </c>
      <c r="W4" s="266" t="s">
        <v>1781</v>
      </c>
      <c r="X4" s="267" t="s">
        <v>1782</v>
      </c>
      <c r="Y4" s="267" t="s">
        <v>1783</v>
      </c>
      <c r="Z4" s="267" t="s">
        <v>1784</v>
      </c>
      <c r="AA4" s="267" t="s">
        <v>2350</v>
      </c>
      <c r="AB4" s="267"/>
      <c r="AC4" s="267"/>
      <c r="AD4" s="267"/>
      <c r="AE4" s="267"/>
      <c r="AG4" s="267" t="str">
        <f>+W4</f>
        <v>Sp 6</v>
      </c>
      <c r="AH4" s="267" t="str">
        <f>+X4</f>
        <v>Sp 7</v>
      </c>
      <c r="AI4" s="267" t="str">
        <f>+Y4</f>
        <v>Sp 8</v>
      </c>
      <c r="AJ4" s="267" t="str">
        <f>+Z4</f>
        <v>Sp 9</v>
      </c>
      <c r="AK4" s="267" t="str">
        <f>+AA4</f>
        <v>Sp 10</v>
      </c>
      <c r="AL4" s="267"/>
      <c r="AM4" s="267"/>
      <c r="AN4" s="267"/>
      <c r="AO4" s="267"/>
      <c r="AP4" s="269">
        <f>+Spielzettel2!$AD$2</f>
        <v>9</v>
      </c>
      <c r="AQ4" s="266" t="s">
        <v>2351</v>
      </c>
      <c r="AR4" s="267" t="s">
        <v>2352</v>
      </c>
      <c r="AS4" s="267" t="s">
        <v>2353</v>
      </c>
      <c r="AT4" s="267" t="s">
        <v>2354</v>
      </c>
      <c r="AU4" s="267" t="s">
        <v>2355</v>
      </c>
      <c r="AV4" s="267"/>
      <c r="AW4" s="267"/>
      <c r="AX4" s="267"/>
      <c r="AY4" s="267"/>
      <c r="BA4" s="267" t="str">
        <f>+AQ4</f>
        <v>Sp 11</v>
      </c>
      <c r="BB4" s="267" t="str">
        <f>+AR4</f>
        <v>Sp 12</v>
      </c>
      <c r="BC4" s="267" t="str">
        <f>+AS4</f>
        <v>Sp 13</v>
      </c>
      <c r="BD4" s="267" t="str">
        <f>+AT4</f>
        <v>Sp 14</v>
      </c>
      <c r="BE4" s="267" t="str">
        <f>+AU4</f>
        <v>Sp 15</v>
      </c>
      <c r="BF4" s="267"/>
      <c r="BG4" s="267"/>
      <c r="BH4" s="267"/>
      <c r="BI4" s="267"/>
      <c r="BJ4" s="269">
        <f>+Spielzettel3!$AD$2</f>
        <v>13</v>
      </c>
      <c r="BK4" s="266" t="s">
        <v>2356</v>
      </c>
      <c r="BL4" s="267" t="s">
        <v>2357</v>
      </c>
      <c r="BM4" s="267" t="s">
        <v>2358</v>
      </c>
      <c r="BN4" s="267" t="s">
        <v>2359</v>
      </c>
      <c r="BO4" s="267" t="s">
        <v>2360</v>
      </c>
      <c r="BP4" s="267"/>
      <c r="BQ4" s="267"/>
      <c r="BR4" s="267"/>
      <c r="BS4" s="267"/>
      <c r="BU4" s="267" t="str">
        <f>+BK4</f>
        <v>Sp 16</v>
      </c>
      <c r="BV4" s="267" t="str">
        <f>+BL4</f>
        <v>Sp 17</v>
      </c>
      <c r="BW4" s="267" t="str">
        <f>+BM4</f>
        <v>Sp 18</v>
      </c>
      <c r="BX4" s="267" t="str">
        <f>+BN4</f>
        <v>Sp 19</v>
      </c>
      <c r="BY4" s="267" t="str">
        <f>+BO4</f>
        <v>Sp 20</v>
      </c>
      <c r="BZ4" s="267"/>
      <c r="CA4" s="267"/>
      <c r="CB4" s="267"/>
      <c r="CC4" s="267"/>
      <c r="CD4" s="269">
        <f>+Spielzettel4!$AD$2</f>
        <v>1</v>
      </c>
      <c r="CE4" s="266" t="s">
        <v>2361</v>
      </c>
      <c r="CF4" s="267" t="s">
        <v>2362</v>
      </c>
      <c r="CG4" s="267" t="s">
        <v>2363</v>
      </c>
      <c r="CH4" s="267" t="s">
        <v>2364</v>
      </c>
      <c r="CI4" s="267" t="s">
        <v>2365</v>
      </c>
      <c r="CJ4" s="267"/>
      <c r="CK4" s="267"/>
      <c r="CL4" s="267"/>
      <c r="CM4" s="267"/>
      <c r="CO4" s="267" t="str">
        <f>+CE4</f>
        <v>Sp 21</v>
      </c>
      <c r="CP4" s="267" t="str">
        <f>+CF4</f>
        <v>Sp 22</v>
      </c>
      <c r="CQ4" s="267" t="str">
        <f>+CG4</f>
        <v>Sp 23</v>
      </c>
      <c r="CR4" s="267" t="str">
        <f>+CH4</f>
        <v>Sp 24</v>
      </c>
      <c r="CS4" s="267" t="str">
        <f>+CI4</f>
        <v>Sp 25</v>
      </c>
      <c r="CT4" s="267"/>
      <c r="CU4" s="267"/>
      <c r="CV4" s="267"/>
      <c r="CW4" s="267"/>
      <c r="CX4" s="269">
        <f>+Spielzettel5!$AD$2</f>
        <v>1</v>
      </c>
      <c r="CY4" s="266" t="s">
        <v>2366</v>
      </c>
      <c r="CZ4" s="267" t="s">
        <v>2367</v>
      </c>
      <c r="DA4" s="267" t="s">
        <v>2368</v>
      </c>
      <c r="DB4" s="267" t="s">
        <v>2369</v>
      </c>
      <c r="DC4" s="267" t="s">
        <v>2370</v>
      </c>
      <c r="DD4" s="267"/>
      <c r="DE4" s="267"/>
      <c r="DF4" s="267"/>
      <c r="DG4" s="267"/>
      <c r="DI4" s="267" t="str">
        <f>+CY4</f>
        <v>Sp 26</v>
      </c>
      <c r="DJ4" s="267" t="str">
        <f>+CZ4</f>
        <v>Sp 27</v>
      </c>
      <c r="DK4" s="267" t="str">
        <f>+DA4</f>
        <v>Sp 28</v>
      </c>
      <c r="DL4" s="267" t="str">
        <f>+DB4</f>
        <v>Sp 29</v>
      </c>
      <c r="DM4" s="267" t="str">
        <f>+DC4</f>
        <v>Sp 30</v>
      </c>
      <c r="DN4" s="267"/>
      <c r="DO4" s="267"/>
      <c r="DP4" s="267"/>
      <c r="DQ4" s="267"/>
      <c r="DR4" s="269">
        <f>+Spielzettel6!$AD$2</f>
        <v>11</v>
      </c>
      <c r="DS4" s="266" t="s">
        <v>2374</v>
      </c>
      <c r="DT4" s="267" t="s">
        <v>2375</v>
      </c>
      <c r="DU4" s="267" t="s">
        <v>2376</v>
      </c>
      <c r="DV4" s="267" t="s">
        <v>2377</v>
      </c>
      <c r="DW4" s="267" t="s">
        <v>2378</v>
      </c>
      <c r="DX4" s="267"/>
      <c r="DY4" s="267"/>
      <c r="DZ4" s="267"/>
      <c r="EA4" s="267"/>
      <c r="EC4" s="267" t="str">
        <f>+DS4</f>
        <v>Sp 31</v>
      </c>
      <c r="ED4" s="267" t="str">
        <f>+DT4</f>
        <v>Sp 32</v>
      </c>
      <c r="EE4" s="267" t="str">
        <f>+DU4</f>
        <v>Sp 33</v>
      </c>
      <c r="EF4" s="267" t="str">
        <f>+DV4</f>
        <v>Sp 34</v>
      </c>
      <c r="EG4" s="267" t="str">
        <f>+DW4</f>
        <v>Sp 35</v>
      </c>
      <c r="EH4" s="267"/>
      <c r="EI4" s="267"/>
      <c r="EJ4" s="267"/>
      <c r="EK4" s="267"/>
      <c r="EL4" s="269">
        <f>+Spielzettel7!$AD$2</f>
        <v>1</v>
      </c>
    </row>
    <row r="5" spans="1:142">
      <c r="A5">
        <v>1</v>
      </c>
      <c r="B5" s="181" t="s">
        <v>2257</v>
      </c>
      <c r="C5" s="270">
        <v>2</v>
      </c>
      <c r="D5" s="6">
        <v>3</v>
      </c>
      <c r="E5" s="6">
        <v>8</v>
      </c>
      <c r="F5" s="6">
        <v>5</v>
      </c>
      <c r="G5" s="6">
        <v>7</v>
      </c>
      <c r="H5" s="6"/>
      <c r="I5" s="6"/>
      <c r="J5" s="6"/>
      <c r="K5" s="6"/>
      <c r="L5" s="271">
        <f t="shared" ref="L5:L12" si="0">SUM(C5:K5)</f>
        <v>25</v>
      </c>
      <c r="M5">
        <f t="shared" ref="M5:Q12" si="1">M14+$V$4-1</f>
        <v>9</v>
      </c>
      <c r="N5">
        <f t="shared" si="1"/>
        <v>15</v>
      </c>
      <c r="O5">
        <f t="shared" si="1"/>
        <v>11</v>
      </c>
      <c r="P5">
        <f t="shared" si="1"/>
        <v>13</v>
      </c>
      <c r="Q5">
        <f t="shared" si="1"/>
        <v>10</v>
      </c>
      <c r="V5" s="272">
        <f t="shared" ref="V5:V12" si="2">SUM(M5:U5)</f>
        <v>58</v>
      </c>
      <c r="W5" s="270">
        <v>4</v>
      </c>
      <c r="X5" s="6">
        <v>6</v>
      </c>
      <c r="Y5" s="273">
        <v>3</v>
      </c>
      <c r="Z5" s="6">
        <v>8</v>
      </c>
      <c r="AA5" s="6">
        <v>5</v>
      </c>
      <c r="AB5" s="6"/>
      <c r="AC5" s="6"/>
      <c r="AD5" s="6"/>
      <c r="AE5" s="6"/>
      <c r="AF5" s="271">
        <f t="shared" ref="AF5:AF12" si="3">SUM(W5:AE5)</f>
        <v>26</v>
      </c>
      <c r="AG5">
        <f t="shared" ref="AG5:AK6" si="4">AG14+$AP$4-1</f>
        <v>14</v>
      </c>
      <c r="AH5">
        <f t="shared" si="4"/>
        <v>12</v>
      </c>
      <c r="AI5">
        <f t="shared" si="4"/>
        <v>11</v>
      </c>
      <c r="AJ5">
        <f t="shared" si="4"/>
        <v>13</v>
      </c>
      <c r="AK5">
        <f t="shared" si="4"/>
        <v>9</v>
      </c>
      <c r="AP5" s="272">
        <f t="shared" ref="AP5:AP6" si="5">SUM(AG5:AO5)</f>
        <v>59</v>
      </c>
      <c r="AQ5" s="270">
        <v>7</v>
      </c>
      <c r="AR5" s="6">
        <v>4</v>
      </c>
      <c r="AS5" s="6">
        <v>6</v>
      </c>
      <c r="AT5" s="6">
        <v>2</v>
      </c>
      <c r="AU5" s="273">
        <v>8</v>
      </c>
      <c r="AV5" s="6"/>
      <c r="AW5" s="6"/>
      <c r="AX5" s="6"/>
      <c r="AY5" s="6"/>
      <c r="AZ5" s="271">
        <f t="shared" ref="AZ5:AZ12" si="6">SUM(AQ5:AY5)</f>
        <v>27</v>
      </c>
      <c r="BA5">
        <f t="shared" ref="BA5:BE6" si="7">BA14+$BJ$4-1</f>
        <v>20</v>
      </c>
      <c r="BB5">
        <f t="shared" si="7"/>
        <v>14</v>
      </c>
      <c r="BC5">
        <f t="shared" si="7"/>
        <v>18</v>
      </c>
      <c r="BD5">
        <f t="shared" si="7"/>
        <v>19</v>
      </c>
      <c r="BE5">
        <f t="shared" si="7"/>
        <v>14</v>
      </c>
      <c r="BJ5" s="272">
        <f t="shared" ref="BJ5:BJ6" si="8">SUM(BA5:BI5)</f>
        <v>85</v>
      </c>
      <c r="BK5" s="270">
        <v>5</v>
      </c>
      <c r="BL5" s="6">
        <v>7</v>
      </c>
      <c r="BM5" s="6">
        <v>4</v>
      </c>
      <c r="BN5" s="6">
        <v>6</v>
      </c>
      <c r="BO5" s="6">
        <v>2</v>
      </c>
      <c r="BP5" s="6"/>
      <c r="BQ5" s="6"/>
      <c r="BR5" s="6"/>
      <c r="BS5" s="6"/>
      <c r="BT5" s="271">
        <f t="shared" ref="BT5:BT12" si="9">SUM(BK5:BS5)</f>
        <v>24</v>
      </c>
      <c r="BU5">
        <f t="shared" ref="BU5:BY6" si="10">BU14+$CD$4-1</f>
        <v>8</v>
      </c>
      <c r="BV5">
        <f t="shared" si="10"/>
        <v>3</v>
      </c>
      <c r="BW5">
        <f t="shared" si="10"/>
        <v>7</v>
      </c>
      <c r="BX5">
        <f t="shared" si="10"/>
        <v>1</v>
      </c>
      <c r="BY5">
        <f t="shared" si="10"/>
        <v>4</v>
      </c>
      <c r="CD5" s="272">
        <f t="shared" ref="CD5:CD6" si="11">SUM(BU5:CC5)</f>
        <v>23</v>
      </c>
      <c r="CE5" s="270">
        <v>3</v>
      </c>
      <c r="CF5" s="273">
        <v>5</v>
      </c>
      <c r="CG5" s="6">
        <v>7</v>
      </c>
      <c r="CH5" s="6">
        <v>4</v>
      </c>
      <c r="CI5" s="6">
        <v>6</v>
      </c>
      <c r="CJ5" s="6"/>
      <c r="CK5" s="6"/>
      <c r="CL5" s="6"/>
      <c r="CM5" s="6"/>
      <c r="CN5" s="271">
        <f t="shared" ref="CN5:CN12" si="12">SUM(CE5:CM5)</f>
        <v>25</v>
      </c>
      <c r="CO5">
        <f t="shared" ref="CO5:CS6" si="13">CO14+$CX$4-1</f>
        <v>6</v>
      </c>
      <c r="CP5">
        <f t="shared" si="13"/>
        <v>4</v>
      </c>
      <c r="CQ5">
        <f t="shared" si="13"/>
        <v>5</v>
      </c>
      <c r="CR5">
        <f t="shared" si="13"/>
        <v>3</v>
      </c>
      <c r="CS5">
        <f t="shared" si="13"/>
        <v>7</v>
      </c>
      <c r="CX5" s="272">
        <f t="shared" ref="CX5:CX6" si="14">SUM(CO5:CW5)</f>
        <v>25</v>
      </c>
      <c r="CY5" s="270">
        <v>2</v>
      </c>
      <c r="CZ5" s="6">
        <v>3</v>
      </c>
      <c r="DA5" s="6">
        <v>8</v>
      </c>
      <c r="DB5" s="273">
        <v>7</v>
      </c>
      <c r="DC5" s="6">
        <v>4</v>
      </c>
      <c r="DD5" s="6"/>
      <c r="DE5" s="6"/>
      <c r="DF5" s="6"/>
      <c r="DG5" s="6"/>
      <c r="DH5" s="271">
        <f t="shared" ref="DH5:DH12" si="15">SUM(CY5:DG5)</f>
        <v>24</v>
      </c>
      <c r="DI5">
        <f t="shared" ref="DI5:DM6" si="16">DI14+$DR$4-1</f>
        <v>16</v>
      </c>
      <c r="DJ5">
        <f t="shared" si="16"/>
        <v>12</v>
      </c>
      <c r="DK5">
        <f t="shared" si="16"/>
        <v>18</v>
      </c>
      <c r="DL5">
        <f t="shared" si="16"/>
        <v>11</v>
      </c>
      <c r="DM5">
        <f t="shared" si="16"/>
        <v>15</v>
      </c>
      <c r="DR5" s="272">
        <f t="shared" ref="DR5:DR6" si="17">SUM(DI5:DQ5)</f>
        <v>72</v>
      </c>
      <c r="DS5" s="270">
        <v>6</v>
      </c>
      <c r="DT5" s="6">
        <v>2</v>
      </c>
      <c r="DU5" s="6">
        <v>3</v>
      </c>
      <c r="DV5" s="6">
        <v>8</v>
      </c>
      <c r="DW5" s="6">
        <v>5</v>
      </c>
      <c r="DX5" s="6"/>
      <c r="DY5" s="6"/>
      <c r="DZ5" s="6"/>
      <c r="EA5" s="6"/>
      <c r="EB5" s="271">
        <f t="shared" ref="EB5:EB11" si="18">SUM(DS5:EA5)</f>
        <v>24</v>
      </c>
      <c r="EC5">
        <f t="shared" ref="EC5:EG12" si="19">EC14+$EL$4-1</f>
        <v>3</v>
      </c>
      <c r="ED5">
        <f t="shared" si="19"/>
        <v>2</v>
      </c>
      <c r="EE5">
        <f t="shared" si="19"/>
        <v>8</v>
      </c>
      <c r="EF5">
        <f t="shared" si="19"/>
        <v>4</v>
      </c>
      <c r="EG5">
        <f t="shared" si="19"/>
        <v>6</v>
      </c>
      <c r="EL5" s="272">
        <f t="shared" ref="EL5:EL6" si="20">SUM(EC5:EK5)</f>
        <v>23</v>
      </c>
    </row>
    <row r="6" spans="1:142">
      <c r="A6">
        <v>2</v>
      </c>
      <c r="B6" s="181" t="s">
        <v>2258</v>
      </c>
      <c r="C6" s="270">
        <v>1</v>
      </c>
      <c r="D6" s="6">
        <v>4</v>
      </c>
      <c r="E6" s="6">
        <v>6</v>
      </c>
      <c r="F6" s="6">
        <v>7</v>
      </c>
      <c r="G6" s="6">
        <v>5</v>
      </c>
      <c r="H6" s="6"/>
      <c r="I6" s="6"/>
      <c r="J6" s="6"/>
      <c r="K6" s="6"/>
      <c r="L6" s="271">
        <f t="shared" si="0"/>
        <v>23</v>
      </c>
      <c r="M6">
        <f t="shared" si="1"/>
        <v>10</v>
      </c>
      <c r="N6">
        <f t="shared" si="1"/>
        <v>13</v>
      </c>
      <c r="O6">
        <f t="shared" si="1"/>
        <v>15</v>
      </c>
      <c r="P6">
        <f t="shared" si="1"/>
        <v>12</v>
      </c>
      <c r="Q6">
        <f t="shared" si="1"/>
        <v>16</v>
      </c>
      <c r="V6" s="272">
        <f t="shared" si="2"/>
        <v>66</v>
      </c>
      <c r="W6" s="270">
        <v>3</v>
      </c>
      <c r="X6" s="6">
        <v>8</v>
      </c>
      <c r="Y6" s="273">
        <v>4</v>
      </c>
      <c r="Z6" s="6">
        <v>6</v>
      </c>
      <c r="AA6" s="6">
        <v>7</v>
      </c>
      <c r="AB6" s="6"/>
      <c r="AC6" s="6"/>
      <c r="AD6" s="6"/>
      <c r="AE6" s="6"/>
      <c r="AF6" s="271">
        <f t="shared" si="3"/>
        <v>28</v>
      </c>
      <c r="AG6">
        <f t="shared" si="4"/>
        <v>9</v>
      </c>
      <c r="AH6">
        <f t="shared" si="4"/>
        <v>14</v>
      </c>
      <c r="AI6">
        <f t="shared" si="4"/>
        <v>9</v>
      </c>
      <c r="AJ6">
        <f t="shared" si="4"/>
        <v>11</v>
      </c>
      <c r="AK6">
        <f t="shared" si="4"/>
        <v>14</v>
      </c>
      <c r="AP6" s="272">
        <f t="shared" si="5"/>
        <v>57</v>
      </c>
      <c r="AQ6" s="270">
        <v>5</v>
      </c>
      <c r="AR6" s="6">
        <v>3</v>
      </c>
      <c r="AS6" s="6">
        <v>8</v>
      </c>
      <c r="AT6" s="6">
        <v>1</v>
      </c>
      <c r="AU6" s="273">
        <v>6</v>
      </c>
      <c r="AV6" s="6"/>
      <c r="AW6" s="6"/>
      <c r="AX6" s="6"/>
      <c r="AY6" s="6"/>
      <c r="AZ6" s="271">
        <f t="shared" si="6"/>
        <v>23</v>
      </c>
      <c r="BA6">
        <f t="shared" si="7"/>
        <v>16</v>
      </c>
      <c r="BB6">
        <f t="shared" si="7"/>
        <v>19</v>
      </c>
      <c r="BC6">
        <f t="shared" si="7"/>
        <v>14</v>
      </c>
      <c r="BD6">
        <f t="shared" si="7"/>
        <v>20</v>
      </c>
      <c r="BE6">
        <f t="shared" si="7"/>
        <v>18</v>
      </c>
      <c r="BJ6" s="272">
        <f t="shared" si="8"/>
        <v>87</v>
      </c>
      <c r="BK6" s="270">
        <v>7</v>
      </c>
      <c r="BL6" s="6">
        <v>5</v>
      </c>
      <c r="BM6" s="6">
        <v>3</v>
      </c>
      <c r="BN6" s="6">
        <v>8</v>
      </c>
      <c r="BO6" s="6">
        <v>1</v>
      </c>
      <c r="BP6" s="6"/>
      <c r="BQ6" s="6"/>
      <c r="BR6" s="6"/>
      <c r="BS6" s="6"/>
      <c r="BT6" s="271">
        <f t="shared" si="9"/>
        <v>24</v>
      </c>
      <c r="BU6">
        <f t="shared" si="10"/>
        <v>1</v>
      </c>
      <c r="BV6">
        <f t="shared" si="10"/>
        <v>5</v>
      </c>
      <c r="BW6">
        <f t="shared" si="10"/>
        <v>4</v>
      </c>
      <c r="BX6">
        <f t="shared" si="10"/>
        <v>7</v>
      </c>
      <c r="BY6">
        <f t="shared" si="10"/>
        <v>3</v>
      </c>
      <c r="CD6" s="272">
        <f t="shared" si="11"/>
        <v>20</v>
      </c>
      <c r="CE6" s="270">
        <v>4</v>
      </c>
      <c r="CF6" s="273">
        <v>7</v>
      </c>
      <c r="CG6" s="6">
        <v>5</v>
      </c>
      <c r="CH6" s="6">
        <v>3</v>
      </c>
      <c r="CI6" s="6">
        <v>8</v>
      </c>
      <c r="CJ6" s="6"/>
      <c r="CK6" s="6"/>
      <c r="CL6" s="6"/>
      <c r="CM6" s="6"/>
      <c r="CN6" s="271">
        <f t="shared" si="12"/>
        <v>27</v>
      </c>
      <c r="CO6">
        <f t="shared" si="13"/>
        <v>8</v>
      </c>
      <c r="CP6">
        <f t="shared" si="13"/>
        <v>7</v>
      </c>
      <c r="CQ6">
        <f t="shared" si="13"/>
        <v>1</v>
      </c>
      <c r="CR6">
        <f t="shared" si="13"/>
        <v>6</v>
      </c>
      <c r="CS6">
        <f t="shared" si="13"/>
        <v>3</v>
      </c>
      <c r="CX6" s="272">
        <f t="shared" si="14"/>
        <v>25</v>
      </c>
      <c r="CY6" s="270">
        <v>1</v>
      </c>
      <c r="CZ6" s="6">
        <v>4</v>
      </c>
      <c r="DA6" s="6">
        <v>6</v>
      </c>
      <c r="DB6" s="273">
        <v>5</v>
      </c>
      <c r="DC6" s="6">
        <v>3</v>
      </c>
      <c r="DD6" s="6"/>
      <c r="DE6" s="6"/>
      <c r="DF6" s="6"/>
      <c r="DG6" s="6"/>
      <c r="DH6" s="271">
        <f t="shared" si="15"/>
        <v>19</v>
      </c>
      <c r="DI6">
        <f t="shared" si="16"/>
        <v>15</v>
      </c>
      <c r="DJ6">
        <f t="shared" si="16"/>
        <v>14</v>
      </c>
      <c r="DK6">
        <f t="shared" si="16"/>
        <v>12</v>
      </c>
      <c r="DL6">
        <f t="shared" si="16"/>
        <v>17</v>
      </c>
      <c r="DM6">
        <f t="shared" si="16"/>
        <v>12</v>
      </c>
      <c r="DR6" s="272">
        <f t="shared" si="17"/>
        <v>70</v>
      </c>
      <c r="DS6" s="270">
        <v>8</v>
      </c>
      <c r="DT6" s="6">
        <v>1</v>
      </c>
      <c r="DU6" s="6">
        <v>4</v>
      </c>
      <c r="DV6" s="6">
        <v>6</v>
      </c>
      <c r="DW6" s="6">
        <v>7</v>
      </c>
      <c r="DX6" s="6"/>
      <c r="DY6" s="6"/>
      <c r="DZ6" s="6"/>
      <c r="EA6" s="6"/>
      <c r="EB6" s="271">
        <f t="shared" si="18"/>
        <v>26</v>
      </c>
      <c r="EC6">
        <f t="shared" si="19"/>
        <v>5</v>
      </c>
      <c r="ED6">
        <f t="shared" si="19"/>
        <v>1</v>
      </c>
      <c r="EE6">
        <f t="shared" si="19"/>
        <v>6</v>
      </c>
      <c r="EF6">
        <f t="shared" si="19"/>
        <v>8</v>
      </c>
      <c r="EG6">
        <f t="shared" si="19"/>
        <v>3</v>
      </c>
      <c r="EL6" s="272">
        <f t="shared" si="20"/>
        <v>23</v>
      </c>
    </row>
    <row r="7" spans="1:142">
      <c r="A7">
        <v>3</v>
      </c>
      <c r="B7" s="181" t="s">
        <v>2259</v>
      </c>
      <c r="C7" s="270">
        <v>4</v>
      </c>
      <c r="D7" s="6">
        <v>1</v>
      </c>
      <c r="E7" s="6">
        <v>7</v>
      </c>
      <c r="F7" s="6">
        <v>6</v>
      </c>
      <c r="G7" s="6">
        <v>8</v>
      </c>
      <c r="H7" s="6"/>
      <c r="I7" s="6"/>
      <c r="J7" s="6"/>
      <c r="K7" s="6"/>
      <c r="L7" s="271">
        <f t="shared" si="0"/>
        <v>26</v>
      </c>
      <c r="M7">
        <f t="shared" si="1"/>
        <v>11</v>
      </c>
      <c r="N7">
        <f t="shared" si="1"/>
        <v>16</v>
      </c>
      <c r="O7">
        <f t="shared" si="1"/>
        <v>14</v>
      </c>
      <c r="P7">
        <f t="shared" si="1"/>
        <v>9</v>
      </c>
      <c r="Q7">
        <f t="shared" si="1"/>
        <v>13</v>
      </c>
      <c r="V7" s="272">
        <f t="shared" si="2"/>
        <v>63</v>
      </c>
      <c r="W7" s="270">
        <v>2</v>
      </c>
      <c r="X7" s="6">
        <v>5</v>
      </c>
      <c r="Y7" s="273">
        <v>1</v>
      </c>
      <c r="Z7" s="6">
        <v>7</v>
      </c>
      <c r="AA7" s="6">
        <v>6</v>
      </c>
      <c r="AB7" s="6"/>
      <c r="AC7" s="6"/>
      <c r="AD7" s="6"/>
      <c r="AE7" s="6"/>
      <c r="AF7" s="271">
        <f t="shared" si="3"/>
        <v>21</v>
      </c>
      <c r="AG7">
        <f t="shared" ref="AG7:AK7" si="21">AG16+$AP$4-1</f>
        <v>10</v>
      </c>
      <c r="AH7">
        <f t="shared" si="21"/>
        <v>15</v>
      </c>
      <c r="AI7">
        <f t="shared" si="21"/>
        <v>12</v>
      </c>
      <c r="AJ7">
        <f t="shared" si="21"/>
        <v>10</v>
      </c>
      <c r="AK7">
        <f t="shared" si="21"/>
        <v>15</v>
      </c>
      <c r="AP7" s="272">
        <f t="shared" ref="AP7:AP12" si="22">SUM(AG7:AO7)</f>
        <v>62</v>
      </c>
      <c r="AQ7" s="270">
        <v>8</v>
      </c>
      <c r="AR7" s="6">
        <v>2</v>
      </c>
      <c r="AS7" s="6">
        <v>5</v>
      </c>
      <c r="AT7" s="6">
        <v>4</v>
      </c>
      <c r="AU7" s="273">
        <v>7</v>
      </c>
      <c r="AV7" s="6"/>
      <c r="AW7" s="6"/>
      <c r="AX7" s="6"/>
      <c r="AY7" s="6"/>
      <c r="AZ7" s="271">
        <f t="shared" si="6"/>
        <v>26</v>
      </c>
      <c r="BA7">
        <f t="shared" ref="BA7:BE7" si="23">BA16+$BJ$4-1</f>
        <v>13</v>
      </c>
      <c r="BB7">
        <f t="shared" si="23"/>
        <v>20</v>
      </c>
      <c r="BC7">
        <f t="shared" si="23"/>
        <v>15</v>
      </c>
      <c r="BD7">
        <f t="shared" si="23"/>
        <v>17</v>
      </c>
      <c r="BE7">
        <f t="shared" si="23"/>
        <v>19</v>
      </c>
      <c r="BJ7" s="272">
        <f t="shared" ref="BJ7:BJ12" si="24">SUM(BA7:BI7)</f>
        <v>84</v>
      </c>
      <c r="BK7" s="270">
        <v>6</v>
      </c>
      <c r="BL7" s="6">
        <v>8</v>
      </c>
      <c r="BM7" s="6">
        <v>2</v>
      </c>
      <c r="BN7" s="6">
        <v>5</v>
      </c>
      <c r="BO7" s="6">
        <v>4</v>
      </c>
      <c r="BP7" s="6"/>
      <c r="BQ7" s="6"/>
      <c r="BR7" s="6"/>
      <c r="BS7" s="6"/>
      <c r="BT7" s="271">
        <f t="shared" si="9"/>
        <v>25</v>
      </c>
      <c r="BU7">
        <f t="shared" ref="BU7:BY7" si="25">BU16+$CD$4-1</f>
        <v>4</v>
      </c>
      <c r="BV7">
        <f t="shared" si="25"/>
        <v>8</v>
      </c>
      <c r="BW7">
        <f t="shared" si="25"/>
        <v>3</v>
      </c>
      <c r="BX7">
        <f t="shared" si="25"/>
        <v>6</v>
      </c>
      <c r="BY7">
        <f t="shared" si="25"/>
        <v>2</v>
      </c>
      <c r="CD7" s="272">
        <f t="shared" ref="CD7:CD12" si="26">SUM(BU7:CC7)</f>
        <v>23</v>
      </c>
      <c r="CE7" s="270">
        <v>1</v>
      </c>
      <c r="CF7" s="273">
        <v>6</v>
      </c>
      <c r="CG7" s="6">
        <v>8</v>
      </c>
      <c r="CH7" s="6">
        <v>2</v>
      </c>
      <c r="CI7" s="6">
        <v>5</v>
      </c>
      <c r="CJ7" s="6"/>
      <c r="CK7" s="6"/>
      <c r="CL7" s="6"/>
      <c r="CM7" s="6"/>
      <c r="CN7" s="271">
        <f t="shared" si="12"/>
        <v>22</v>
      </c>
      <c r="CO7">
        <f t="shared" ref="CO7:CS7" si="27">CO16+$CX$4-1</f>
        <v>5</v>
      </c>
      <c r="CP7">
        <f t="shared" si="27"/>
        <v>6</v>
      </c>
      <c r="CQ7">
        <f t="shared" si="27"/>
        <v>4</v>
      </c>
      <c r="CR7">
        <f t="shared" si="27"/>
        <v>5</v>
      </c>
      <c r="CS7">
        <f t="shared" si="27"/>
        <v>2</v>
      </c>
      <c r="CX7" s="272">
        <f t="shared" ref="CX7:CX12" si="28">SUM(CO7:CW7)</f>
        <v>22</v>
      </c>
      <c r="CY7" s="270">
        <v>4</v>
      </c>
      <c r="CZ7" s="6">
        <v>1</v>
      </c>
      <c r="DA7" s="6">
        <v>7</v>
      </c>
      <c r="DB7" s="273">
        <v>8</v>
      </c>
      <c r="DC7" s="6">
        <v>2</v>
      </c>
      <c r="DD7" s="6"/>
      <c r="DE7" s="6"/>
      <c r="DF7" s="6"/>
      <c r="DG7" s="6"/>
      <c r="DH7" s="271">
        <f t="shared" si="15"/>
        <v>22</v>
      </c>
      <c r="DI7">
        <f t="shared" ref="DI7:DM7" si="29">DI16+$DR$4-1</f>
        <v>18</v>
      </c>
      <c r="DJ7">
        <f t="shared" si="29"/>
        <v>11</v>
      </c>
      <c r="DK7">
        <f t="shared" si="29"/>
        <v>13</v>
      </c>
      <c r="DL7">
        <f t="shared" si="29"/>
        <v>16</v>
      </c>
      <c r="DM7">
        <f t="shared" si="29"/>
        <v>11</v>
      </c>
      <c r="DR7" s="272">
        <f t="shared" ref="DR7:DR12" si="30">SUM(DI7:DQ7)</f>
        <v>69</v>
      </c>
      <c r="DS7" s="270">
        <v>5</v>
      </c>
      <c r="DT7" s="6">
        <v>4</v>
      </c>
      <c r="DU7" s="6">
        <v>1</v>
      </c>
      <c r="DV7" s="6">
        <v>7</v>
      </c>
      <c r="DW7" s="6">
        <v>6</v>
      </c>
      <c r="DX7" s="6"/>
      <c r="DY7" s="6"/>
      <c r="DZ7" s="6"/>
      <c r="EA7" s="6"/>
      <c r="EB7" s="271">
        <f t="shared" si="18"/>
        <v>23</v>
      </c>
      <c r="EC7">
        <f t="shared" si="19"/>
        <v>8</v>
      </c>
      <c r="ED7">
        <f t="shared" si="19"/>
        <v>4</v>
      </c>
      <c r="EE7">
        <f t="shared" si="19"/>
        <v>7</v>
      </c>
      <c r="EF7">
        <f t="shared" si="19"/>
        <v>5</v>
      </c>
      <c r="EG7">
        <f t="shared" si="19"/>
        <v>2</v>
      </c>
      <c r="EL7" s="272">
        <f t="shared" ref="EL7:EL12" si="31">SUM(EC7:EK7)</f>
        <v>26</v>
      </c>
    </row>
    <row r="8" spans="1:142">
      <c r="A8">
        <v>4</v>
      </c>
      <c r="B8" s="181" t="s">
        <v>2593</v>
      </c>
      <c r="C8" s="270">
        <v>3</v>
      </c>
      <c r="D8" s="6">
        <v>2</v>
      </c>
      <c r="E8" s="6">
        <v>5</v>
      </c>
      <c r="F8" s="6">
        <v>8</v>
      </c>
      <c r="G8" s="6">
        <v>6</v>
      </c>
      <c r="H8" s="6"/>
      <c r="I8" s="6"/>
      <c r="J8" s="6"/>
      <c r="K8" s="6"/>
      <c r="L8" s="271">
        <f t="shared" si="0"/>
        <v>24</v>
      </c>
      <c r="M8">
        <f t="shared" si="1"/>
        <v>12</v>
      </c>
      <c r="N8">
        <f t="shared" si="1"/>
        <v>14</v>
      </c>
      <c r="O8">
        <f t="shared" si="1"/>
        <v>10</v>
      </c>
      <c r="P8">
        <f t="shared" si="1"/>
        <v>16</v>
      </c>
      <c r="Q8">
        <f t="shared" si="1"/>
        <v>11</v>
      </c>
      <c r="V8" s="272">
        <f t="shared" si="2"/>
        <v>63</v>
      </c>
      <c r="W8" s="270">
        <v>1</v>
      </c>
      <c r="X8" s="6">
        <v>7</v>
      </c>
      <c r="Y8" s="273">
        <v>2</v>
      </c>
      <c r="Z8" s="6">
        <v>5</v>
      </c>
      <c r="AA8" s="6">
        <v>8</v>
      </c>
      <c r="AB8" s="6"/>
      <c r="AC8" s="6"/>
      <c r="AD8" s="6"/>
      <c r="AE8" s="6"/>
      <c r="AF8" s="271">
        <f t="shared" si="3"/>
        <v>23</v>
      </c>
      <c r="AG8">
        <f t="shared" ref="AG8:AK8" si="32">AG17+$AP$4-1</f>
        <v>13</v>
      </c>
      <c r="AH8">
        <f t="shared" si="32"/>
        <v>9</v>
      </c>
      <c r="AI8">
        <f t="shared" si="32"/>
        <v>10</v>
      </c>
      <c r="AJ8">
        <f t="shared" si="32"/>
        <v>16</v>
      </c>
      <c r="AK8">
        <f t="shared" si="32"/>
        <v>12</v>
      </c>
      <c r="AP8" s="272">
        <f t="shared" si="22"/>
        <v>60</v>
      </c>
      <c r="AQ8" s="270">
        <v>6</v>
      </c>
      <c r="AR8" s="6">
        <v>1</v>
      </c>
      <c r="AS8" s="6">
        <v>7</v>
      </c>
      <c r="AT8" s="6">
        <v>3</v>
      </c>
      <c r="AU8" s="273">
        <v>5</v>
      </c>
      <c r="AV8" s="6"/>
      <c r="AW8" s="6"/>
      <c r="AX8" s="6"/>
      <c r="AY8" s="6"/>
      <c r="AZ8" s="271">
        <f t="shared" si="6"/>
        <v>22</v>
      </c>
      <c r="BA8">
        <f t="shared" ref="BA8:BE8" si="33">BA17+$BJ$4-1</f>
        <v>17</v>
      </c>
      <c r="BB8">
        <f t="shared" si="33"/>
        <v>13</v>
      </c>
      <c r="BC8">
        <f t="shared" si="33"/>
        <v>19</v>
      </c>
      <c r="BD8">
        <f t="shared" si="33"/>
        <v>18</v>
      </c>
      <c r="BE8">
        <f t="shared" si="33"/>
        <v>15</v>
      </c>
      <c r="BJ8" s="272">
        <f t="shared" si="24"/>
        <v>82</v>
      </c>
      <c r="BK8" s="270">
        <v>8</v>
      </c>
      <c r="BL8" s="6">
        <v>6</v>
      </c>
      <c r="BM8" s="6">
        <v>1</v>
      </c>
      <c r="BN8" s="6">
        <v>7</v>
      </c>
      <c r="BO8" s="6">
        <v>3</v>
      </c>
      <c r="BP8" s="6"/>
      <c r="BQ8" s="6"/>
      <c r="BR8" s="6"/>
      <c r="BS8" s="6"/>
      <c r="BT8" s="271">
        <f t="shared" si="9"/>
        <v>25</v>
      </c>
      <c r="BU8">
        <f t="shared" ref="BU8:BY8" si="34">BU17+$CD$4-1</f>
        <v>5</v>
      </c>
      <c r="BV8">
        <f t="shared" si="34"/>
        <v>2</v>
      </c>
      <c r="BW8">
        <f t="shared" si="34"/>
        <v>8</v>
      </c>
      <c r="BX8">
        <f t="shared" si="34"/>
        <v>4</v>
      </c>
      <c r="BY8">
        <f t="shared" si="34"/>
        <v>1</v>
      </c>
      <c r="CD8" s="272">
        <f t="shared" si="26"/>
        <v>20</v>
      </c>
      <c r="CE8" s="270">
        <v>2</v>
      </c>
      <c r="CF8" s="273">
        <v>8</v>
      </c>
      <c r="CG8" s="6">
        <v>6</v>
      </c>
      <c r="CH8" s="6">
        <v>1</v>
      </c>
      <c r="CI8" s="6">
        <v>7</v>
      </c>
      <c r="CJ8" s="6"/>
      <c r="CK8" s="6"/>
      <c r="CL8" s="6"/>
      <c r="CM8" s="6"/>
      <c r="CN8" s="271">
        <f t="shared" si="12"/>
        <v>24</v>
      </c>
      <c r="CO8">
        <f t="shared" ref="CO8:CS8" si="35">CO17+$CX$4-1</f>
        <v>7</v>
      </c>
      <c r="CP8">
        <f t="shared" si="35"/>
        <v>1</v>
      </c>
      <c r="CQ8">
        <f t="shared" si="35"/>
        <v>8</v>
      </c>
      <c r="CR8">
        <f t="shared" si="35"/>
        <v>4</v>
      </c>
      <c r="CS8">
        <f t="shared" si="35"/>
        <v>6</v>
      </c>
      <c r="CX8" s="272">
        <f t="shared" si="28"/>
        <v>26</v>
      </c>
      <c r="CY8" s="270">
        <v>3</v>
      </c>
      <c r="CZ8" s="6">
        <v>2</v>
      </c>
      <c r="DA8" s="6">
        <v>5</v>
      </c>
      <c r="DB8" s="273">
        <v>6</v>
      </c>
      <c r="DC8" s="6">
        <v>1</v>
      </c>
      <c r="DD8" s="6"/>
      <c r="DE8" s="6"/>
      <c r="DF8" s="6"/>
      <c r="DG8" s="6"/>
      <c r="DH8" s="271">
        <f t="shared" si="15"/>
        <v>17</v>
      </c>
      <c r="DI8">
        <f t="shared" ref="DI8:DM8" si="36">DI17+$DR$4-1</f>
        <v>17</v>
      </c>
      <c r="DJ8">
        <f t="shared" si="36"/>
        <v>13</v>
      </c>
      <c r="DK8">
        <f t="shared" si="36"/>
        <v>15</v>
      </c>
      <c r="DL8">
        <f t="shared" si="36"/>
        <v>14</v>
      </c>
      <c r="DM8">
        <f t="shared" si="36"/>
        <v>16</v>
      </c>
      <c r="DR8" s="272">
        <f t="shared" si="30"/>
        <v>75</v>
      </c>
      <c r="DS8" s="270">
        <v>7</v>
      </c>
      <c r="DT8" s="6">
        <v>3</v>
      </c>
      <c r="DU8" s="6">
        <v>2</v>
      </c>
      <c r="DV8" s="6">
        <v>5</v>
      </c>
      <c r="DW8" s="6">
        <v>8</v>
      </c>
      <c r="DX8" s="6"/>
      <c r="DY8" s="6"/>
      <c r="DZ8" s="6"/>
      <c r="EA8" s="6"/>
      <c r="EB8" s="271">
        <f t="shared" si="18"/>
        <v>25</v>
      </c>
      <c r="EC8">
        <f t="shared" si="19"/>
        <v>2</v>
      </c>
      <c r="ED8">
        <f t="shared" si="19"/>
        <v>3</v>
      </c>
      <c r="EE8">
        <f t="shared" si="19"/>
        <v>5</v>
      </c>
      <c r="EF8">
        <f t="shared" si="19"/>
        <v>1</v>
      </c>
      <c r="EG8">
        <f t="shared" si="19"/>
        <v>7</v>
      </c>
      <c r="EL8" s="272">
        <f t="shared" si="31"/>
        <v>18</v>
      </c>
    </row>
    <row r="9" spans="1:142">
      <c r="A9">
        <v>5</v>
      </c>
      <c r="B9" s="181" t="s">
        <v>2260</v>
      </c>
      <c r="C9" s="270">
        <v>6</v>
      </c>
      <c r="D9" s="6">
        <v>7</v>
      </c>
      <c r="E9" s="6">
        <v>4</v>
      </c>
      <c r="F9" s="6">
        <v>1</v>
      </c>
      <c r="G9" s="6">
        <v>2</v>
      </c>
      <c r="H9" s="6"/>
      <c r="I9" s="6"/>
      <c r="J9" s="6"/>
      <c r="K9" s="6"/>
      <c r="L9" s="271">
        <f t="shared" si="0"/>
        <v>20</v>
      </c>
      <c r="M9">
        <f t="shared" si="1"/>
        <v>13</v>
      </c>
      <c r="N9">
        <f t="shared" si="1"/>
        <v>11</v>
      </c>
      <c r="O9">
        <f t="shared" si="1"/>
        <v>9</v>
      </c>
      <c r="P9">
        <f t="shared" si="1"/>
        <v>14</v>
      </c>
      <c r="Q9">
        <f t="shared" si="1"/>
        <v>15</v>
      </c>
      <c r="V9" s="272">
        <f t="shared" si="2"/>
        <v>62</v>
      </c>
      <c r="W9" s="270">
        <v>8</v>
      </c>
      <c r="X9" s="6">
        <v>3</v>
      </c>
      <c r="Y9" s="273">
        <v>7</v>
      </c>
      <c r="Z9" s="6">
        <v>4</v>
      </c>
      <c r="AA9" s="6">
        <v>1</v>
      </c>
      <c r="AB9" s="6"/>
      <c r="AC9" s="6"/>
      <c r="AD9" s="6"/>
      <c r="AE9" s="6"/>
      <c r="AF9" s="271">
        <f t="shared" si="3"/>
        <v>23</v>
      </c>
      <c r="AG9">
        <f t="shared" ref="AG9:AK9" si="37">AG18+$AP$4-1</f>
        <v>12</v>
      </c>
      <c r="AH9">
        <f t="shared" si="37"/>
        <v>16</v>
      </c>
      <c r="AI9">
        <f t="shared" si="37"/>
        <v>13</v>
      </c>
      <c r="AJ9">
        <f t="shared" si="37"/>
        <v>15</v>
      </c>
      <c r="AK9">
        <f t="shared" si="37"/>
        <v>10</v>
      </c>
      <c r="AP9" s="272">
        <f t="shared" si="22"/>
        <v>66</v>
      </c>
      <c r="AQ9" s="270">
        <v>2</v>
      </c>
      <c r="AR9" s="6">
        <v>8</v>
      </c>
      <c r="AS9" s="6">
        <v>3</v>
      </c>
      <c r="AT9" s="6">
        <v>6</v>
      </c>
      <c r="AU9" s="273">
        <v>4</v>
      </c>
      <c r="AV9" s="6"/>
      <c r="AW9" s="6"/>
      <c r="AX9" s="6"/>
      <c r="AY9" s="6"/>
      <c r="AZ9" s="271">
        <f t="shared" si="6"/>
        <v>23</v>
      </c>
      <c r="BA9">
        <f t="shared" ref="BA9:BE9" si="38">BA18+$BJ$4-1</f>
        <v>15</v>
      </c>
      <c r="BB9">
        <f t="shared" si="38"/>
        <v>18</v>
      </c>
      <c r="BC9">
        <f t="shared" si="38"/>
        <v>16</v>
      </c>
      <c r="BD9">
        <f t="shared" si="38"/>
        <v>13</v>
      </c>
      <c r="BE9">
        <f t="shared" si="38"/>
        <v>16</v>
      </c>
      <c r="BJ9" s="272">
        <f t="shared" si="24"/>
        <v>78</v>
      </c>
      <c r="BK9" s="270">
        <v>1</v>
      </c>
      <c r="BL9" s="6">
        <v>2</v>
      </c>
      <c r="BM9" s="6">
        <v>8</v>
      </c>
      <c r="BN9" s="6">
        <v>3</v>
      </c>
      <c r="BO9" s="6">
        <v>6</v>
      </c>
      <c r="BP9" s="6"/>
      <c r="BQ9" s="6"/>
      <c r="BR9" s="6"/>
      <c r="BS9" s="6"/>
      <c r="BT9" s="271">
        <f t="shared" si="9"/>
        <v>20</v>
      </c>
      <c r="BU9">
        <f t="shared" ref="BU9:BY9" si="39">BU18+$CD$4-1</f>
        <v>7</v>
      </c>
      <c r="BV9">
        <f t="shared" si="39"/>
        <v>6</v>
      </c>
      <c r="BW9">
        <f t="shared" si="39"/>
        <v>1</v>
      </c>
      <c r="BX9">
        <f t="shared" si="39"/>
        <v>5</v>
      </c>
      <c r="BY9">
        <f t="shared" si="39"/>
        <v>8</v>
      </c>
      <c r="CD9" s="272">
        <f t="shared" si="26"/>
        <v>27</v>
      </c>
      <c r="CE9" s="270">
        <v>7</v>
      </c>
      <c r="CF9" s="273">
        <v>1</v>
      </c>
      <c r="CG9" s="6">
        <v>2</v>
      </c>
      <c r="CH9" s="6">
        <v>8</v>
      </c>
      <c r="CI9" s="6">
        <v>3</v>
      </c>
      <c r="CJ9" s="6"/>
      <c r="CK9" s="6"/>
      <c r="CL9" s="6"/>
      <c r="CM9" s="6"/>
      <c r="CN9" s="271">
        <f t="shared" si="12"/>
        <v>21</v>
      </c>
      <c r="CO9">
        <f t="shared" ref="CO9:CS9" si="40">CO18+$CX$4-1</f>
        <v>2</v>
      </c>
      <c r="CP9">
        <f t="shared" si="40"/>
        <v>3</v>
      </c>
      <c r="CQ9">
        <f t="shared" si="40"/>
        <v>2</v>
      </c>
      <c r="CR9">
        <f t="shared" si="40"/>
        <v>7</v>
      </c>
      <c r="CS9">
        <f t="shared" si="40"/>
        <v>1</v>
      </c>
      <c r="CX9" s="272">
        <f t="shared" si="28"/>
        <v>15</v>
      </c>
      <c r="CY9" s="270">
        <v>6</v>
      </c>
      <c r="CZ9" s="6">
        <v>7</v>
      </c>
      <c r="DA9" s="6">
        <v>4</v>
      </c>
      <c r="DB9" s="273">
        <v>2</v>
      </c>
      <c r="DC9" s="6">
        <v>8</v>
      </c>
      <c r="DD9" s="6"/>
      <c r="DE9" s="6"/>
      <c r="DF9" s="6"/>
      <c r="DG9" s="6"/>
      <c r="DH9" s="271">
        <f t="shared" si="15"/>
        <v>27</v>
      </c>
      <c r="DI9">
        <f t="shared" ref="DI9:DM9" si="41">DI18+$DR$4-1</f>
        <v>14</v>
      </c>
      <c r="DJ9">
        <f t="shared" si="41"/>
        <v>18</v>
      </c>
      <c r="DK9">
        <f t="shared" si="41"/>
        <v>16</v>
      </c>
      <c r="DL9">
        <f t="shared" si="41"/>
        <v>18</v>
      </c>
      <c r="DM9">
        <f t="shared" si="41"/>
        <v>13</v>
      </c>
      <c r="DR9" s="272">
        <f t="shared" si="30"/>
        <v>79</v>
      </c>
      <c r="DS9" s="270">
        <v>3</v>
      </c>
      <c r="DT9" s="6">
        <v>6</v>
      </c>
      <c r="DU9" s="6">
        <v>7</v>
      </c>
      <c r="DV9" s="6">
        <v>4</v>
      </c>
      <c r="DW9" s="6">
        <v>1</v>
      </c>
      <c r="DX9" s="6"/>
      <c r="DY9" s="6"/>
      <c r="DZ9" s="6"/>
      <c r="EA9" s="6"/>
      <c r="EB9" s="271">
        <f t="shared" si="18"/>
        <v>21</v>
      </c>
      <c r="EC9">
        <f t="shared" si="19"/>
        <v>7</v>
      </c>
      <c r="ED9">
        <f t="shared" si="19"/>
        <v>6</v>
      </c>
      <c r="EE9">
        <f t="shared" si="19"/>
        <v>4</v>
      </c>
      <c r="EF9">
        <f t="shared" si="19"/>
        <v>2</v>
      </c>
      <c r="EG9">
        <f t="shared" si="19"/>
        <v>5</v>
      </c>
      <c r="EL9" s="272">
        <f t="shared" si="31"/>
        <v>24</v>
      </c>
    </row>
    <row r="10" spans="1:142">
      <c r="A10">
        <v>6</v>
      </c>
      <c r="B10" s="181" t="s">
        <v>2346</v>
      </c>
      <c r="C10" s="270">
        <v>5</v>
      </c>
      <c r="D10" s="6">
        <v>8</v>
      </c>
      <c r="E10" s="6">
        <v>2</v>
      </c>
      <c r="F10" s="6">
        <v>3</v>
      </c>
      <c r="G10" s="6">
        <v>4</v>
      </c>
      <c r="H10" s="6"/>
      <c r="I10" s="6"/>
      <c r="J10" s="6"/>
      <c r="K10" s="6"/>
      <c r="L10" s="271">
        <f t="shared" si="0"/>
        <v>22</v>
      </c>
      <c r="M10">
        <f t="shared" si="1"/>
        <v>14</v>
      </c>
      <c r="N10">
        <f t="shared" si="1"/>
        <v>9</v>
      </c>
      <c r="O10">
        <f t="shared" si="1"/>
        <v>16</v>
      </c>
      <c r="P10">
        <f t="shared" si="1"/>
        <v>10</v>
      </c>
      <c r="Q10">
        <f t="shared" si="1"/>
        <v>12</v>
      </c>
      <c r="V10" s="272">
        <f t="shared" si="2"/>
        <v>61</v>
      </c>
      <c r="W10" s="270">
        <v>7</v>
      </c>
      <c r="X10" s="6">
        <v>1</v>
      </c>
      <c r="Y10" s="273">
        <v>8</v>
      </c>
      <c r="Z10" s="6">
        <v>2</v>
      </c>
      <c r="AA10" s="6">
        <v>3</v>
      </c>
      <c r="AB10" s="6"/>
      <c r="AC10" s="6"/>
      <c r="AD10" s="6"/>
      <c r="AE10" s="6"/>
      <c r="AF10" s="271">
        <f t="shared" si="3"/>
        <v>21</v>
      </c>
      <c r="AG10">
        <f t="shared" ref="AG10:AK10" si="42">AG19+$AP$4-1</f>
        <v>15</v>
      </c>
      <c r="AH10">
        <f t="shared" si="42"/>
        <v>11</v>
      </c>
      <c r="AI10">
        <f t="shared" si="42"/>
        <v>15</v>
      </c>
      <c r="AJ10">
        <f t="shared" si="42"/>
        <v>12</v>
      </c>
      <c r="AK10">
        <f t="shared" si="42"/>
        <v>16</v>
      </c>
      <c r="AP10" s="272">
        <f t="shared" si="22"/>
        <v>69</v>
      </c>
      <c r="AQ10" s="270">
        <v>4</v>
      </c>
      <c r="AR10" s="6">
        <v>7</v>
      </c>
      <c r="AS10" s="6">
        <v>1</v>
      </c>
      <c r="AT10" s="6">
        <v>5</v>
      </c>
      <c r="AU10" s="273">
        <v>2</v>
      </c>
      <c r="AV10" s="6"/>
      <c r="AW10" s="6"/>
      <c r="AX10" s="6"/>
      <c r="AY10" s="6"/>
      <c r="AZ10" s="271">
        <f t="shared" si="6"/>
        <v>19</v>
      </c>
      <c r="BA10">
        <f t="shared" ref="BA10:BE10" si="43">BA19+$BJ$4-1</f>
        <v>18</v>
      </c>
      <c r="BB10">
        <f t="shared" si="43"/>
        <v>15</v>
      </c>
      <c r="BC10">
        <f t="shared" si="43"/>
        <v>17</v>
      </c>
      <c r="BD10">
        <f t="shared" si="43"/>
        <v>14</v>
      </c>
      <c r="BE10">
        <f t="shared" si="43"/>
        <v>17</v>
      </c>
      <c r="BJ10" s="272">
        <f t="shared" si="24"/>
        <v>81</v>
      </c>
      <c r="BK10" s="270">
        <v>3</v>
      </c>
      <c r="BL10" s="6">
        <v>4</v>
      </c>
      <c r="BM10" s="6">
        <v>7</v>
      </c>
      <c r="BN10" s="6">
        <v>1</v>
      </c>
      <c r="BO10" s="6">
        <v>5</v>
      </c>
      <c r="BP10" s="6"/>
      <c r="BQ10" s="6"/>
      <c r="BR10" s="6"/>
      <c r="BS10" s="6"/>
      <c r="BT10" s="271">
        <f t="shared" si="9"/>
        <v>20</v>
      </c>
      <c r="BU10">
        <f t="shared" ref="BU10:BY10" si="44">BU19+$CD$4-1</f>
        <v>3</v>
      </c>
      <c r="BV10">
        <f t="shared" si="44"/>
        <v>1</v>
      </c>
      <c r="BW10">
        <f t="shared" si="44"/>
        <v>6</v>
      </c>
      <c r="BX10">
        <f t="shared" si="44"/>
        <v>2</v>
      </c>
      <c r="BY10">
        <f t="shared" si="44"/>
        <v>7</v>
      </c>
      <c r="CD10" s="272">
        <f t="shared" si="26"/>
        <v>19</v>
      </c>
      <c r="CE10" s="270">
        <v>8</v>
      </c>
      <c r="CF10" s="273">
        <v>3</v>
      </c>
      <c r="CG10" s="6">
        <v>4</v>
      </c>
      <c r="CH10" s="6">
        <v>7</v>
      </c>
      <c r="CI10" s="6">
        <v>1</v>
      </c>
      <c r="CJ10" s="6"/>
      <c r="CK10" s="6"/>
      <c r="CL10" s="6"/>
      <c r="CM10" s="6"/>
      <c r="CN10" s="271">
        <f t="shared" si="12"/>
        <v>23</v>
      </c>
      <c r="CO10">
        <f t="shared" ref="CO10:CS10" si="45">CO19+$CX$4-1</f>
        <v>4</v>
      </c>
      <c r="CP10">
        <f t="shared" si="45"/>
        <v>5</v>
      </c>
      <c r="CQ10">
        <f t="shared" si="45"/>
        <v>7</v>
      </c>
      <c r="CR10">
        <f t="shared" si="45"/>
        <v>2</v>
      </c>
      <c r="CS10">
        <f t="shared" si="45"/>
        <v>8</v>
      </c>
      <c r="CX10" s="272">
        <f t="shared" si="28"/>
        <v>26</v>
      </c>
      <c r="CY10" s="270">
        <v>5</v>
      </c>
      <c r="CZ10" s="6">
        <v>8</v>
      </c>
      <c r="DA10" s="6">
        <v>2</v>
      </c>
      <c r="DB10" s="273">
        <v>4</v>
      </c>
      <c r="DC10" s="6">
        <v>7</v>
      </c>
      <c r="DD10" s="6"/>
      <c r="DE10" s="6"/>
      <c r="DF10" s="6"/>
      <c r="DG10" s="6"/>
      <c r="DH10" s="271">
        <f t="shared" si="15"/>
        <v>26</v>
      </c>
      <c r="DI10">
        <f t="shared" ref="DI10:DM10" si="46">DI19+$DR$4-1</f>
        <v>13</v>
      </c>
      <c r="DJ10">
        <f t="shared" si="46"/>
        <v>16</v>
      </c>
      <c r="DK10">
        <f t="shared" si="46"/>
        <v>11</v>
      </c>
      <c r="DL10">
        <f t="shared" si="46"/>
        <v>13</v>
      </c>
      <c r="DM10">
        <f t="shared" si="46"/>
        <v>18</v>
      </c>
      <c r="DR10" s="272">
        <f t="shared" si="30"/>
        <v>71</v>
      </c>
      <c r="DS10" s="270">
        <v>1</v>
      </c>
      <c r="DT10" s="6">
        <v>5</v>
      </c>
      <c r="DU10" s="6">
        <v>8</v>
      </c>
      <c r="DV10" s="6">
        <v>2</v>
      </c>
      <c r="DW10" s="6">
        <v>3</v>
      </c>
      <c r="DX10" s="6"/>
      <c r="DY10" s="6"/>
      <c r="DZ10" s="6"/>
      <c r="EA10" s="6"/>
      <c r="EB10" s="271">
        <f t="shared" si="18"/>
        <v>19</v>
      </c>
      <c r="EC10">
        <f t="shared" si="19"/>
        <v>4</v>
      </c>
      <c r="ED10">
        <f t="shared" si="19"/>
        <v>5</v>
      </c>
      <c r="EE10">
        <f t="shared" si="19"/>
        <v>2</v>
      </c>
      <c r="EF10">
        <f t="shared" si="19"/>
        <v>7</v>
      </c>
      <c r="EG10">
        <f t="shared" si="19"/>
        <v>1</v>
      </c>
      <c r="EL10" s="272">
        <f t="shared" si="31"/>
        <v>19</v>
      </c>
    </row>
    <row r="11" spans="1:142">
      <c r="A11">
        <v>7</v>
      </c>
      <c r="B11" s="181" t="s">
        <v>2594</v>
      </c>
      <c r="C11" s="270">
        <v>8</v>
      </c>
      <c r="D11" s="6">
        <v>5</v>
      </c>
      <c r="E11" s="6">
        <v>3</v>
      </c>
      <c r="F11" s="6">
        <v>2</v>
      </c>
      <c r="G11" s="6">
        <v>1</v>
      </c>
      <c r="H11" s="6"/>
      <c r="I11" s="6"/>
      <c r="J11" s="6"/>
      <c r="K11" s="6"/>
      <c r="L11" s="271">
        <f t="shared" si="0"/>
        <v>19</v>
      </c>
      <c r="M11">
        <f t="shared" si="1"/>
        <v>15</v>
      </c>
      <c r="N11">
        <f t="shared" si="1"/>
        <v>12</v>
      </c>
      <c r="O11">
        <f t="shared" si="1"/>
        <v>13</v>
      </c>
      <c r="P11">
        <f t="shared" si="1"/>
        <v>11</v>
      </c>
      <c r="Q11">
        <f t="shared" si="1"/>
        <v>9</v>
      </c>
      <c r="V11" s="272">
        <f t="shared" si="2"/>
        <v>60</v>
      </c>
      <c r="W11" s="270">
        <v>6</v>
      </c>
      <c r="X11" s="6">
        <v>4</v>
      </c>
      <c r="Y11" s="273">
        <v>5</v>
      </c>
      <c r="Z11" s="6">
        <v>3</v>
      </c>
      <c r="AA11" s="6">
        <v>2</v>
      </c>
      <c r="AB11" s="6"/>
      <c r="AC11" s="6"/>
      <c r="AD11" s="6"/>
      <c r="AE11" s="6"/>
      <c r="AF11" s="271">
        <f t="shared" si="3"/>
        <v>20</v>
      </c>
      <c r="AG11">
        <f t="shared" ref="AG11:AK11" si="47">AG20+$AP$4-1</f>
        <v>16</v>
      </c>
      <c r="AH11">
        <f t="shared" si="47"/>
        <v>10</v>
      </c>
      <c r="AI11">
        <f t="shared" si="47"/>
        <v>14</v>
      </c>
      <c r="AJ11">
        <f t="shared" si="47"/>
        <v>9</v>
      </c>
      <c r="AK11">
        <f t="shared" si="47"/>
        <v>13</v>
      </c>
      <c r="AP11" s="272">
        <f t="shared" si="22"/>
        <v>62</v>
      </c>
      <c r="AQ11" s="270">
        <v>1</v>
      </c>
      <c r="AR11" s="6">
        <v>6</v>
      </c>
      <c r="AS11" s="6">
        <v>4</v>
      </c>
      <c r="AT11" s="6">
        <v>8</v>
      </c>
      <c r="AU11" s="273">
        <v>3</v>
      </c>
      <c r="AV11" s="6"/>
      <c r="AW11" s="6"/>
      <c r="AX11" s="6"/>
      <c r="AY11" s="6"/>
      <c r="AZ11" s="271">
        <f t="shared" si="6"/>
        <v>22</v>
      </c>
      <c r="BA11">
        <f t="shared" ref="BA11:BE11" si="48">BA20+$BJ$4-1</f>
        <v>19</v>
      </c>
      <c r="BB11">
        <f t="shared" si="48"/>
        <v>16</v>
      </c>
      <c r="BC11">
        <f t="shared" si="48"/>
        <v>20</v>
      </c>
      <c r="BD11">
        <f t="shared" si="48"/>
        <v>15</v>
      </c>
      <c r="BE11">
        <f t="shared" si="48"/>
        <v>20</v>
      </c>
      <c r="BJ11" s="272">
        <f t="shared" si="24"/>
        <v>90</v>
      </c>
      <c r="BK11" s="270">
        <v>2</v>
      </c>
      <c r="BL11" s="6">
        <v>1</v>
      </c>
      <c r="BM11" s="6">
        <v>6</v>
      </c>
      <c r="BN11" s="6">
        <v>4</v>
      </c>
      <c r="BO11" s="6">
        <v>8</v>
      </c>
      <c r="BP11" s="6"/>
      <c r="BQ11" s="6"/>
      <c r="BR11" s="6"/>
      <c r="BS11" s="6"/>
      <c r="BT11" s="271">
        <f t="shared" si="9"/>
        <v>21</v>
      </c>
      <c r="BU11">
        <f t="shared" ref="BU11:BY11" si="49">BU20+$CD$4-1</f>
        <v>2</v>
      </c>
      <c r="BV11">
        <f t="shared" si="49"/>
        <v>4</v>
      </c>
      <c r="BW11">
        <f t="shared" si="49"/>
        <v>5</v>
      </c>
      <c r="BX11">
        <f t="shared" si="49"/>
        <v>3</v>
      </c>
      <c r="BY11">
        <f t="shared" si="49"/>
        <v>6</v>
      </c>
      <c r="CD11" s="272">
        <f t="shared" si="26"/>
        <v>20</v>
      </c>
      <c r="CE11" s="270">
        <v>5</v>
      </c>
      <c r="CF11" s="273">
        <v>2</v>
      </c>
      <c r="CG11" s="6">
        <v>1</v>
      </c>
      <c r="CH11" s="6">
        <v>6</v>
      </c>
      <c r="CI11" s="6">
        <v>4</v>
      </c>
      <c r="CJ11" s="6"/>
      <c r="CK11" s="6"/>
      <c r="CL11" s="6"/>
      <c r="CM11" s="6"/>
      <c r="CN11" s="271">
        <f t="shared" si="12"/>
        <v>18</v>
      </c>
      <c r="CO11">
        <f t="shared" ref="CO11:CS11" si="50">CO20+$CX$4-1</f>
        <v>1</v>
      </c>
      <c r="CP11">
        <f t="shared" si="50"/>
        <v>8</v>
      </c>
      <c r="CQ11">
        <f t="shared" si="50"/>
        <v>6</v>
      </c>
      <c r="CR11">
        <f t="shared" si="50"/>
        <v>1</v>
      </c>
      <c r="CS11">
        <f t="shared" si="50"/>
        <v>5</v>
      </c>
      <c r="CX11" s="272">
        <f t="shared" si="28"/>
        <v>21</v>
      </c>
      <c r="CY11" s="270">
        <v>8</v>
      </c>
      <c r="CZ11" s="6">
        <v>5</v>
      </c>
      <c r="DA11" s="6">
        <v>3</v>
      </c>
      <c r="DB11" s="273">
        <v>1</v>
      </c>
      <c r="DC11" s="6">
        <v>6</v>
      </c>
      <c r="DD11" s="6"/>
      <c r="DE11" s="6"/>
      <c r="DF11" s="6"/>
      <c r="DG11" s="6"/>
      <c r="DH11" s="271">
        <f t="shared" si="15"/>
        <v>23</v>
      </c>
      <c r="DI11">
        <f t="shared" ref="DI11:DM11" si="51">DI20+$DR$4-1</f>
        <v>12</v>
      </c>
      <c r="DJ11">
        <f t="shared" si="51"/>
        <v>17</v>
      </c>
      <c r="DK11">
        <f t="shared" si="51"/>
        <v>14</v>
      </c>
      <c r="DL11">
        <f t="shared" si="51"/>
        <v>12</v>
      </c>
      <c r="DM11">
        <f t="shared" si="51"/>
        <v>17</v>
      </c>
      <c r="DR11" s="272">
        <f t="shared" si="30"/>
        <v>72</v>
      </c>
      <c r="DS11" s="270">
        <v>4</v>
      </c>
      <c r="DT11" s="6">
        <v>8</v>
      </c>
      <c r="DU11" s="6">
        <v>5</v>
      </c>
      <c r="DV11" s="6">
        <v>3</v>
      </c>
      <c r="DW11" s="6">
        <v>2</v>
      </c>
      <c r="DX11" s="6"/>
      <c r="DY11" s="6"/>
      <c r="DZ11" s="6"/>
      <c r="EA11" s="6"/>
      <c r="EB11" s="271">
        <f t="shared" si="18"/>
        <v>22</v>
      </c>
      <c r="EC11">
        <f t="shared" si="19"/>
        <v>1</v>
      </c>
      <c r="ED11">
        <f t="shared" si="19"/>
        <v>8</v>
      </c>
      <c r="EE11">
        <f t="shared" si="19"/>
        <v>3</v>
      </c>
      <c r="EF11">
        <f t="shared" si="19"/>
        <v>6</v>
      </c>
      <c r="EG11">
        <f t="shared" si="19"/>
        <v>4</v>
      </c>
      <c r="EL11" s="272">
        <f t="shared" si="31"/>
        <v>22</v>
      </c>
    </row>
    <row r="12" spans="1:142">
      <c r="A12">
        <v>8</v>
      </c>
      <c r="B12" s="181" t="s">
        <v>2595</v>
      </c>
      <c r="C12" s="270">
        <v>7</v>
      </c>
      <c r="D12" s="6">
        <v>6</v>
      </c>
      <c r="E12" s="6">
        <v>1</v>
      </c>
      <c r="F12" s="6">
        <v>4</v>
      </c>
      <c r="G12" s="6">
        <v>3</v>
      </c>
      <c r="H12" s="6"/>
      <c r="I12" s="6"/>
      <c r="J12" s="6"/>
      <c r="K12" s="6"/>
      <c r="L12" s="271">
        <f t="shared" si="0"/>
        <v>21</v>
      </c>
      <c r="M12">
        <f t="shared" si="1"/>
        <v>16</v>
      </c>
      <c r="N12">
        <f t="shared" si="1"/>
        <v>10</v>
      </c>
      <c r="O12">
        <f t="shared" si="1"/>
        <v>12</v>
      </c>
      <c r="P12">
        <f t="shared" si="1"/>
        <v>15</v>
      </c>
      <c r="Q12">
        <f t="shared" si="1"/>
        <v>14</v>
      </c>
      <c r="V12" s="272">
        <f t="shared" si="2"/>
        <v>67</v>
      </c>
      <c r="W12" s="270">
        <v>5</v>
      </c>
      <c r="X12" s="6">
        <v>2</v>
      </c>
      <c r="Y12" s="273">
        <v>6</v>
      </c>
      <c r="Z12" s="6">
        <v>1</v>
      </c>
      <c r="AA12" s="6">
        <v>4</v>
      </c>
      <c r="AB12" s="6"/>
      <c r="AC12" s="6"/>
      <c r="AD12" s="6"/>
      <c r="AE12" s="6"/>
      <c r="AF12" s="271">
        <f t="shared" si="3"/>
        <v>18</v>
      </c>
      <c r="AG12">
        <f t="shared" ref="AG12:AK12" si="52">AG21+$AP$4-1</f>
        <v>11</v>
      </c>
      <c r="AH12">
        <f t="shared" si="52"/>
        <v>13</v>
      </c>
      <c r="AI12">
        <f t="shared" si="52"/>
        <v>16</v>
      </c>
      <c r="AJ12">
        <f t="shared" si="52"/>
        <v>14</v>
      </c>
      <c r="AK12">
        <f t="shared" si="52"/>
        <v>11</v>
      </c>
      <c r="AP12" s="272">
        <f t="shared" si="22"/>
        <v>65</v>
      </c>
      <c r="AQ12" s="270">
        <v>3</v>
      </c>
      <c r="AR12" s="6">
        <v>5</v>
      </c>
      <c r="AS12" s="6">
        <v>2</v>
      </c>
      <c r="AT12" s="6">
        <v>7</v>
      </c>
      <c r="AU12" s="273">
        <v>1</v>
      </c>
      <c r="AV12" s="6"/>
      <c r="AW12" s="6"/>
      <c r="AX12" s="6"/>
      <c r="AY12" s="6"/>
      <c r="AZ12" s="271">
        <f t="shared" si="6"/>
        <v>18</v>
      </c>
      <c r="BA12">
        <f t="shared" ref="BA12:BE12" si="53">BA21+$BJ$4-1</f>
        <v>14</v>
      </c>
      <c r="BB12">
        <f t="shared" si="53"/>
        <v>17</v>
      </c>
      <c r="BC12">
        <f t="shared" si="53"/>
        <v>13</v>
      </c>
      <c r="BD12">
        <f t="shared" si="53"/>
        <v>16</v>
      </c>
      <c r="BE12">
        <f t="shared" si="53"/>
        <v>13</v>
      </c>
      <c r="BJ12" s="272">
        <f t="shared" si="24"/>
        <v>73</v>
      </c>
      <c r="BK12" s="270">
        <v>4</v>
      </c>
      <c r="BL12" s="6">
        <v>3</v>
      </c>
      <c r="BM12" s="6">
        <v>5</v>
      </c>
      <c r="BN12" s="6">
        <v>2</v>
      </c>
      <c r="BO12" s="6">
        <v>7</v>
      </c>
      <c r="BP12" s="6"/>
      <c r="BQ12" s="6"/>
      <c r="BR12" s="6"/>
      <c r="BS12" s="6"/>
      <c r="BT12" s="271">
        <f t="shared" si="9"/>
        <v>21</v>
      </c>
      <c r="BU12">
        <f t="shared" ref="BU12:BY12" si="54">BU21+$CD$4-1</f>
        <v>6</v>
      </c>
      <c r="BV12">
        <f t="shared" si="54"/>
        <v>7</v>
      </c>
      <c r="BW12">
        <f t="shared" si="54"/>
        <v>2</v>
      </c>
      <c r="BX12">
        <f t="shared" si="54"/>
        <v>8</v>
      </c>
      <c r="BY12">
        <f t="shared" si="54"/>
        <v>5</v>
      </c>
      <c r="CD12" s="272">
        <f t="shared" si="26"/>
        <v>28</v>
      </c>
      <c r="CE12" s="270">
        <v>6</v>
      </c>
      <c r="CF12" s="273">
        <v>4</v>
      </c>
      <c r="CG12" s="6">
        <v>3</v>
      </c>
      <c r="CH12" s="6">
        <v>5</v>
      </c>
      <c r="CI12" s="6">
        <v>2</v>
      </c>
      <c r="CJ12" s="6"/>
      <c r="CK12" s="6"/>
      <c r="CL12" s="6"/>
      <c r="CM12" s="6"/>
      <c r="CN12" s="271">
        <f t="shared" si="12"/>
        <v>20</v>
      </c>
      <c r="CO12">
        <f t="shared" ref="CO12:CS12" si="55">CO21+$CX$4-1</f>
        <v>3</v>
      </c>
      <c r="CP12">
        <f t="shared" si="55"/>
        <v>2</v>
      </c>
      <c r="CQ12">
        <f t="shared" si="55"/>
        <v>3</v>
      </c>
      <c r="CR12">
        <f t="shared" si="55"/>
        <v>8</v>
      </c>
      <c r="CS12">
        <f t="shared" si="55"/>
        <v>4</v>
      </c>
      <c r="CX12" s="272">
        <f t="shared" si="28"/>
        <v>20</v>
      </c>
      <c r="CY12" s="270">
        <v>7</v>
      </c>
      <c r="CZ12" s="6">
        <v>6</v>
      </c>
      <c r="DA12" s="6">
        <v>1</v>
      </c>
      <c r="DB12" s="273">
        <v>3</v>
      </c>
      <c r="DC12" s="6">
        <v>5</v>
      </c>
      <c r="DD12" s="6"/>
      <c r="DE12" s="6"/>
      <c r="DF12" s="6"/>
      <c r="DG12" s="6"/>
      <c r="DH12" s="271">
        <f t="shared" si="15"/>
        <v>22</v>
      </c>
      <c r="DI12">
        <f t="shared" ref="DI12:DM12" si="56">DI21+$DR$4-1</f>
        <v>11</v>
      </c>
      <c r="DJ12">
        <f t="shared" si="56"/>
        <v>15</v>
      </c>
      <c r="DK12">
        <f t="shared" si="56"/>
        <v>17</v>
      </c>
      <c r="DL12">
        <f t="shared" si="56"/>
        <v>15</v>
      </c>
      <c r="DM12">
        <f t="shared" si="56"/>
        <v>14</v>
      </c>
      <c r="DR12" s="272">
        <f t="shared" si="30"/>
        <v>72</v>
      </c>
      <c r="DS12" s="270">
        <v>2</v>
      </c>
      <c r="DT12" s="6">
        <v>7</v>
      </c>
      <c r="DU12" s="6">
        <v>6</v>
      </c>
      <c r="DV12" s="6">
        <v>1</v>
      </c>
      <c r="DW12" s="6">
        <v>4</v>
      </c>
      <c r="DX12" s="6"/>
      <c r="DY12" s="6"/>
      <c r="DZ12" s="6"/>
      <c r="EA12" s="6"/>
      <c r="EB12" s="271">
        <f t="shared" ref="EB12" si="57">SUM(DS12:EA12)</f>
        <v>20</v>
      </c>
      <c r="EC12">
        <f t="shared" si="19"/>
        <v>6</v>
      </c>
      <c r="ED12">
        <f t="shared" si="19"/>
        <v>7</v>
      </c>
      <c r="EE12">
        <f t="shared" si="19"/>
        <v>1</v>
      </c>
      <c r="EF12">
        <f t="shared" si="19"/>
        <v>3</v>
      </c>
      <c r="EG12">
        <f t="shared" si="19"/>
        <v>8</v>
      </c>
      <c r="EL12" s="272">
        <f t="shared" si="31"/>
        <v>25</v>
      </c>
    </row>
    <row r="13" spans="1:142">
      <c r="C13" s="56">
        <f>SUM(C5:C12)</f>
        <v>36</v>
      </c>
      <c r="D13">
        <f>SUM(D5:D12)</f>
        <v>36</v>
      </c>
      <c r="E13">
        <f>SUM(E5:E12)</f>
        <v>36</v>
      </c>
      <c r="F13">
        <f>SUM(F5:F12)</f>
        <v>36</v>
      </c>
      <c r="G13">
        <f>SUM(G5:G12)</f>
        <v>36</v>
      </c>
      <c r="M13">
        <f>SUM(M5:M12)</f>
        <v>100</v>
      </c>
      <c r="N13">
        <f>SUM(N5:N12)</f>
        <v>100</v>
      </c>
      <c r="O13">
        <f>SUM(O5:O12)</f>
        <v>100</v>
      </c>
      <c r="P13">
        <f>SUM(P5:P12)</f>
        <v>100</v>
      </c>
      <c r="Q13">
        <f>SUM(Q5:Q12)</f>
        <v>100</v>
      </c>
      <c r="V13" s="111"/>
      <c r="W13" s="56">
        <f>SUM(W5:W12)</f>
        <v>36</v>
      </c>
      <c r="X13">
        <f>SUM(X5:X12)</f>
        <v>36</v>
      </c>
      <c r="Y13" s="274">
        <f>SUM(Y5:Y12)</f>
        <v>36</v>
      </c>
      <c r="Z13">
        <f>SUM(Z5:Z12)</f>
        <v>36</v>
      </c>
      <c r="AA13">
        <f>SUM(AA5:AA12)</f>
        <v>36</v>
      </c>
      <c r="AG13">
        <f>SUM(AG5:AG12)</f>
        <v>100</v>
      </c>
      <c r="AH13">
        <f>SUM(AH5:AH12)</f>
        <v>100</v>
      </c>
      <c r="AI13">
        <f>SUM(AI5:AI12)</f>
        <v>100</v>
      </c>
      <c r="AJ13">
        <f>SUM(AJ5:AJ12)</f>
        <v>100</v>
      </c>
      <c r="AK13">
        <f>SUM(AK5:AK12)</f>
        <v>100</v>
      </c>
      <c r="AP13" s="111"/>
      <c r="AQ13" s="56">
        <f>SUM(AQ5:AQ12)</f>
        <v>36</v>
      </c>
      <c r="AR13">
        <f>SUM(AR5:AR12)</f>
        <v>36</v>
      </c>
      <c r="AS13">
        <f>SUM(AS5:AS12)</f>
        <v>36</v>
      </c>
      <c r="AT13">
        <f>SUM(AT5:AT12)</f>
        <v>36</v>
      </c>
      <c r="AU13" s="273">
        <f>SUM(AU5:AU12)</f>
        <v>36</v>
      </c>
      <c r="BA13">
        <f>SUM(BA5:BA12)</f>
        <v>132</v>
      </c>
      <c r="BB13">
        <f>SUM(BB5:BB12)</f>
        <v>132</v>
      </c>
      <c r="BC13">
        <f>SUM(BC5:BC12)</f>
        <v>132</v>
      </c>
      <c r="BD13">
        <f>SUM(BD5:BD12)</f>
        <v>132</v>
      </c>
      <c r="BE13">
        <f>SUM(BE5:BE12)</f>
        <v>132</v>
      </c>
      <c r="BJ13" s="111"/>
      <c r="BK13" s="56">
        <f>SUM(BK5:BK12)</f>
        <v>36</v>
      </c>
      <c r="BL13">
        <f>SUM(BL5:BL12)</f>
        <v>36</v>
      </c>
      <c r="BM13">
        <f>SUM(BM5:BM12)</f>
        <v>36</v>
      </c>
      <c r="BN13">
        <f>SUM(BN5:BN12)</f>
        <v>36</v>
      </c>
      <c r="BO13">
        <f>SUM(BO5:BO12)</f>
        <v>36</v>
      </c>
      <c r="BU13">
        <f>SUM(BU5:BU12)</f>
        <v>36</v>
      </c>
      <c r="BV13">
        <f>SUM(BV5:BV12)</f>
        <v>36</v>
      </c>
      <c r="BW13">
        <f>SUM(BW5:BW12)</f>
        <v>36</v>
      </c>
      <c r="BX13">
        <f>SUM(BX5:BX12)</f>
        <v>36</v>
      </c>
      <c r="BY13">
        <f>SUM(BY5:BY12)</f>
        <v>36</v>
      </c>
      <c r="CD13" s="111"/>
      <c r="CE13" s="56">
        <f>SUM(CE5:CE12)</f>
        <v>36</v>
      </c>
      <c r="CF13" s="273">
        <f>SUM(CF5:CF12)</f>
        <v>36</v>
      </c>
      <c r="CG13">
        <f>SUM(CG5:CG12)</f>
        <v>36</v>
      </c>
      <c r="CH13">
        <f>SUM(CH5:CH12)</f>
        <v>36</v>
      </c>
      <c r="CI13">
        <f>SUM(CI5:CI12)</f>
        <v>36</v>
      </c>
      <c r="CO13">
        <f>SUM(CO5:CO12)</f>
        <v>36</v>
      </c>
      <c r="CP13">
        <f>SUM(CP5:CP12)</f>
        <v>36</v>
      </c>
      <c r="CQ13">
        <f>SUM(CQ5:CQ12)</f>
        <v>36</v>
      </c>
      <c r="CR13">
        <f>SUM(CR5:CR12)</f>
        <v>36</v>
      </c>
      <c r="CS13">
        <f>SUM(CS5:CS12)</f>
        <v>36</v>
      </c>
      <c r="CX13" s="111"/>
      <c r="CY13" s="56">
        <f>SUM(CY5:CY12)</f>
        <v>36</v>
      </c>
      <c r="CZ13">
        <f>SUM(CZ5:CZ12)</f>
        <v>36</v>
      </c>
      <c r="DA13">
        <f>SUM(DA5:DA12)</f>
        <v>36</v>
      </c>
      <c r="DB13" s="273">
        <f>SUM(DB5:DB12)</f>
        <v>36</v>
      </c>
      <c r="DC13">
        <f>SUM(DC5:DC12)</f>
        <v>36</v>
      </c>
      <c r="DI13">
        <f>SUM(DI5:DI12)</f>
        <v>116</v>
      </c>
      <c r="DJ13">
        <f>SUM(DJ5:DJ12)</f>
        <v>116</v>
      </c>
      <c r="DK13">
        <f>SUM(DK5:DK12)</f>
        <v>116</v>
      </c>
      <c r="DL13">
        <f>SUM(DL5:DL12)</f>
        <v>116</v>
      </c>
      <c r="DM13">
        <f>SUM(DM5:DM12)</f>
        <v>116</v>
      </c>
      <c r="DR13" s="111"/>
      <c r="DS13" s="56">
        <f>SUM(DS5:DS12)</f>
        <v>36</v>
      </c>
      <c r="DT13">
        <f>SUM(DT5:DT12)</f>
        <v>36</v>
      </c>
      <c r="DU13">
        <f>SUM(DU5:DU12)</f>
        <v>36</v>
      </c>
      <c r="DV13">
        <f>SUM(DV5:DV12)</f>
        <v>36</v>
      </c>
      <c r="DW13">
        <f>SUM(DW5:DW12)</f>
        <v>36</v>
      </c>
      <c r="EC13">
        <f>SUM(EC5:EC12)</f>
        <v>36</v>
      </c>
      <c r="ED13">
        <f>SUM(ED5:ED12)</f>
        <v>36</v>
      </c>
      <c r="EE13">
        <f>SUM(EE5:EE12)</f>
        <v>36</v>
      </c>
      <c r="EF13">
        <f>SUM(EF5:EF12)</f>
        <v>36</v>
      </c>
      <c r="EG13">
        <f>SUM(EG5:EG12)</f>
        <v>36</v>
      </c>
      <c r="EL13" s="111"/>
    </row>
    <row r="14" spans="1:142">
      <c r="A14">
        <v>1</v>
      </c>
      <c r="B14" s="181" t="str">
        <f t="shared" ref="B14:B21" si="58">+B5</f>
        <v>Bad Tölz 1</v>
      </c>
      <c r="C14" s="56"/>
      <c r="M14">
        <v>1</v>
      </c>
      <c r="N14">
        <v>7</v>
      </c>
      <c r="O14">
        <v>3</v>
      </c>
      <c r="P14">
        <v>5</v>
      </c>
      <c r="Q14">
        <v>2</v>
      </c>
      <c r="V14" s="272">
        <f t="shared" ref="V14:V22" si="59">SUM(M14:U14)</f>
        <v>18</v>
      </c>
      <c r="W14" s="56"/>
      <c r="AG14">
        <v>6</v>
      </c>
      <c r="AH14">
        <v>4</v>
      </c>
      <c r="AI14">
        <v>3</v>
      </c>
      <c r="AJ14">
        <v>5</v>
      </c>
      <c r="AK14">
        <v>1</v>
      </c>
      <c r="AP14" s="272">
        <f t="shared" ref="AP14:AP21" si="60">SUM(AG14:AO14)</f>
        <v>19</v>
      </c>
      <c r="AQ14" s="56"/>
      <c r="BA14">
        <v>8</v>
      </c>
      <c r="BB14">
        <v>2</v>
      </c>
      <c r="BC14">
        <v>6</v>
      </c>
      <c r="BD14">
        <v>7</v>
      </c>
      <c r="BE14">
        <v>2</v>
      </c>
      <c r="BJ14" s="272">
        <f t="shared" ref="BJ14:BJ21" si="61">SUM(BA14:BI14)</f>
        <v>25</v>
      </c>
      <c r="BK14" s="56"/>
      <c r="BU14">
        <v>8</v>
      </c>
      <c r="BV14">
        <v>3</v>
      </c>
      <c r="BW14">
        <v>7</v>
      </c>
      <c r="BX14">
        <v>1</v>
      </c>
      <c r="BY14">
        <v>4</v>
      </c>
      <c r="CD14" s="272">
        <f t="shared" ref="CD14:CD22" si="62">SUM(BU14:CC14)</f>
        <v>23</v>
      </c>
      <c r="CE14" s="56"/>
      <c r="CO14">
        <v>6</v>
      </c>
      <c r="CP14">
        <v>4</v>
      </c>
      <c r="CQ14">
        <v>5</v>
      </c>
      <c r="CR14">
        <v>3</v>
      </c>
      <c r="CS14">
        <v>7</v>
      </c>
      <c r="CX14" s="272">
        <f t="shared" ref="CX14:CX22" si="63">SUM(CO14:CW14)</f>
        <v>25</v>
      </c>
      <c r="CY14" s="56"/>
      <c r="DI14">
        <v>6</v>
      </c>
      <c r="DJ14">
        <v>2</v>
      </c>
      <c r="DK14">
        <v>8</v>
      </c>
      <c r="DL14">
        <v>1</v>
      </c>
      <c r="DM14">
        <v>5</v>
      </c>
      <c r="DR14" s="272">
        <f t="shared" ref="DR14:DR22" si="64">SUM(DI14:DQ14)</f>
        <v>22</v>
      </c>
      <c r="DS14" s="56"/>
      <c r="EC14">
        <v>3</v>
      </c>
      <c r="ED14">
        <v>2</v>
      </c>
      <c r="EE14">
        <v>8</v>
      </c>
      <c r="EF14">
        <v>4</v>
      </c>
      <c r="EG14">
        <v>6</v>
      </c>
      <c r="EL14" s="272">
        <f t="shared" ref="EL14:EL20" si="65">SUM(EC14:EK14)</f>
        <v>23</v>
      </c>
    </row>
    <row r="15" spans="1:142">
      <c r="A15">
        <v>2</v>
      </c>
      <c r="B15" s="181" t="str">
        <f t="shared" si="58"/>
        <v>Highroller Rosenheim 1</v>
      </c>
      <c r="C15" s="56"/>
      <c r="M15">
        <v>2</v>
      </c>
      <c r="N15">
        <v>5</v>
      </c>
      <c r="O15">
        <v>7</v>
      </c>
      <c r="P15">
        <v>4</v>
      </c>
      <c r="Q15">
        <v>8</v>
      </c>
      <c r="V15" s="272">
        <f t="shared" si="59"/>
        <v>26</v>
      </c>
      <c r="W15" s="56"/>
      <c r="AG15">
        <v>1</v>
      </c>
      <c r="AH15">
        <v>6</v>
      </c>
      <c r="AI15">
        <v>1</v>
      </c>
      <c r="AJ15">
        <v>3</v>
      </c>
      <c r="AK15">
        <v>6</v>
      </c>
      <c r="AP15" s="272">
        <f t="shared" si="60"/>
        <v>17</v>
      </c>
      <c r="AQ15" s="56"/>
      <c r="BA15">
        <v>4</v>
      </c>
      <c r="BB15">
        <v>7</v>
      </c>
      <c r="BC15">
        <v>2</v>
      </c>
      <c r="BD15">
        <v>8</v>
      </c>
      <c r="BE15">
        <v>6</v>
      </c>
      <c r="BJ15" s="272">
        <f t="shared" si="61"/>
        <v>27</v>
      </c>
      <c r="BK15" s="56"/>
      <c r="BU15">
        <v>1</v>
      </c>
      <c r="BV15">
        <v>5</v>
      </c>
      <c r="BW15">
        <v>4</v>
      </c>
      <c r="BX15">
        <v>7</v>
      </c>
      <c r="BY15">
        <v>3</v>
      </c>
      <c r="CD15" s="272">
        <f t="shared" si="62"/>
        <v>20</v>
      </c>
      <c r="CE15" s="56"/>
      <c r="CO15">
        <v>8</v>
      </c>
      <c r="CP15">
        <v>7</v>
      </c>
      <c r="CQ15">
        <v>1</v>
      </c>
      <c r="CR15">
        <v>6</v>
      </c>
      <c r="CS15">
        <v>3</v>
      </c>
      <c r="CX15" s="272">
        <f t="shared" si="63"/>
        <v>25</v>
      </c>
      <c r="CY15" s="56"/>
      <c r="DI15">
        <v>5</v>
      </c>
      <c r="DJ15">
        <v>4</v>
      </c>
      <c r="DK15">
        <v>2</v>
      </c>
      <c r="DL15">
        <v>7</v>
      </c>
      <c r="DM15">
        <v>2</v>
      </c>
      <c r="DR15" s="272">
        <f t="shared" si="64"/>
        <v>20</v>
      </c>
      <c r="DS15" s="56"/>
      <c r="EC15">
        <v>5</v>
      </c>
      <c r="ED15">
        <v>1</v>
      </c>
      <c r="EE15">
        <v>6</v>
      </c>
      <c r="EF15">
        <v>8</v>
      </c>
      <c r="EG15">
        <v>3</v>
      </c>
      <c r="EL15" s="272">
        <f t="shared" si="65"/>
        <v>23</v>
      </c>
    </row>
    <row r="16" spans="1:142">
      <c r="A16">
        <v>3</v>
      </c>
      <c r="B16" s="181" t="str">
        <f t="shared" si="58"/>
        <v>Highroller Rosenheim 2</v>
      </c>
      <c r="C16" s="56"/>
      <c r="M16">
        <v>3</v>
      </c>
      <c r="N16">
        <v>8</v>
      </c>
      <c r="O16">
        <v>6</v>
      </c>
      <c r="P16">
        <v>1</v>
      </c>
      <c r="Q16">
        <v>5</v>
      </c>
      <c r="V16" s="272">
        <f t="shared" si="59"/>
        <v>23</v>
      </c>
      <c r="W16" s="56"/>
      <c r="AG16">
        <v>2</v>
      </c>
      <c r="AH16">
        <v>7</v>
      </c>
      <c r="AI16">
        <v>4</v>
      </c>
      <c r="AJ16">
        <v>2</v>
      </c>
      <c r="AK16">
        <v>7</v>
      </c>
      <c r="AP16" s="272">
        <f t="shared" si="60"/>
        <v>22</v>
      </c>
      <c r="AQ16" s="56"/>
      <c r="BA16">
        <v>1</v>
      </c>
      <c r="BB16">
        <v>8</v>
      </c>
      <c r="BC16">
        <v>3</v>
      </c>
      <c r="BD16">
        <v>5</v>
      </c>
      <c r="BE16">
        <v>7</v>
      </c>
      <c r="BJ16" s="272">
        <f t="shared" si="61"/>
        <v>24</v>
      </c>
      <c r="BK16" s="56"/>
      <c r="BU16">
        <v>4</v>
      </c>
      <c r="BV16">
        <v>8</v>
      </c>
      <c r="BW16">
        <v>3</v>
      </c>
      <c r="BX16">
        <v>6</v>
      </c>
      <c r="BY16">
        <v>2</v>
      </c>
      <c r="CD16" s="272">
        <f t="shared" si="62"/>
        <v>23</v>
      </c>
      <c r="CE16" s="56"/>
      <c r="CO16">
        <v>5</v>
      </c>
      <c r="CP16">
        <v>6</v>
      </c>
      <c r="CQ16">
        <v>4</v>
      </c>
      <c r="CR16">
        <v>5</v>
      </c>
      <c r="CS16">
        <v>2</v>
      </c>
      <c r="CX16" s="272">
        <f t="shared" si="63"/>
        <v>22</v>
      </c>
      <c r="CY16" s="56"/>
      <c r="DI16">
        <v>8</v>
      </c>
      <c r="DJ16">
        <v>1</v>
      </c>
      <c r="DK16">
        <v>3</v>
      </c>
      <c r="DL16">
        <v>6</v>
      </c>
      <c r="DM16">
        <v>1</v>
      </c>
      <c r="DR16" s="272">
        <f t="shared" si="64"/>
        <v>19</v>
      </c>
      <c r="DS16" s="56"/>
      <c r="EC16">
        <v>8</v>
      </c>
      <c r="ED16">
        <v>4</v>
      </c>
      <c r="EE16">
        <v>7</v>
      </c>
      <c r="EF16">
        <v>5</v>
      </c>
      <c r="EG16">
        <v>2</v>
      </c>
      <c r="EL16" s="272">
        <f t="shared" si="65"/>
        <v>26</v>
      </c>
    </row>
    <row r="17" spans="1:142">
      <c r="A17">
        <v>4</v>
      </c>
      <c r="B17" s="181" t="str">
        <f t="shared" si="58"/>
        <v>Highroller Rosenheim 3</v>
      </c>
      <c r="C17" s="56"/>
      <c r="M17">
        <v>4</v>
      </c>
      <c r="N17">
        <v>6</v>
      </c>
      <c r="O17">
        <v>2</v>
      </c>
      <c r="P17">
        <v>8</v>
      </c>
      <c r="Q17">
        <v>3</v>
      </c>
      <c r="V17" s="272">
        <f t="shared" si="59"/>
        <v>23</v>
      </c>
      <c r="W17" s="56"/>
      <c r="AG17">
        <v>5</v>
      </c>
      <c r="AH17">
        <v>1</v>
      </c>
      <c r="AI17">
        <v>2</v>
      </c>
      <c r="AJ17">
        <v>8</v>
      </c>
      <c r="AK17">
        <v>4</v>
      </c>
      <c r="AP17" s="272">
        <f t="shared" si="60"/>
        <v>20</v>
      </c>
      <c r="AQ17" s="56"/>
      <c r="BA17">
        <v>5</v>
      </c>
      <c r="BB17">
        <v>1</v>
      </c>
      <c r="BC17">
        <v>7</v>
      </c>
      <c r="BD17">
        <v>6</v>
      </c>
      <c r="BE17">
        <v>3</v>
      </c>
      <c r="BJ17" s="272">
        <f t="shared" si="61"/>
        <v>22</v>
      </c>
      <c r="BK17" s="56"/>
      <c r="BU17">
        <v>5</v>
      </c>
      <c r="BV17">
        <v>2</v>
      </c>
      <c r="BW17">
        <v>8</v>
      </c>
      <c r="BX17">
        <v>4</v>
      </c>
      <c r="BY17">
        <v>1</v>
      </c>
      <c r="CD17" s="272">
        <f t="shared" si="62"/>
        <v>20</v>
      </c>
      <c r="CE17" s="56"/>
      <c r="CO17">
        <v>7</v>
      </c>
      <c r="CP17">
        <v>1</v>
      </c>
      <c r="CQ17">
        <v>8</v>
      </c>
      <c r="CR17">
        <v>4</v>
      </c>
      <c r="CS17">
        <v>6</v>
      </c>
      <c r="CX17" s="272">
        <f t="shared" si="63"/>
        <v>26</v>
      </c>
      <c r="CY17" s="56"/>
      <c r="DI17">
        <v>7</v>
      </c>
      <c r="DJ17">
        <v>3</v>
      </c>
      <c r="DK17">
        <v>5</v>
      </c>
      <c r="DL17">
        <v>4</v>
      </c>
      <c r="DM17">
        <v>6</v>
      </c>
      <c r="DR17" s="272">
        <f t="shared" si="64"/>
        <v>25</v>
      </c>
      <c r="DS17" s="56"/>
      <c r="EC17">
        <v>2</v>
      </c>
      <c r="ED17">
        <v>3</v>
      </c>
      <c r="EE17">
        <v>5</v>
      </c>
      <c r="EF17">
        <v>1</v>
      </c>
      <c r="EG17">
        <v>7</v>
      </c>
      <c r="EL17" s="272">
        <f t="shared" si="65"/>
        <v>18</v>
      </c>
    </row>
    <row r="18" spans="1:142">
      <c r="A18">
        <v>5</v>
      </c>
      <c r="B18" s="181" t="str">
        <f t="shared" si="58"/>
        <v>Berchtesgaden 1</v>
      </c>
      <c r="C18" s="56"/>
      <c r="M18">
        <v>5</v>
      </c>
      <c r="N18">
        <v>3</v>
      </c>
      <c r="O18">
        <v>1</v>
      </c>
      <c r="P18">
        <v>6</v>
      </c>
      <c r="Q18">
        <v>7</v>
      </c>
      <c r="V18" s="272">
        <f t="shared" si="59"/>
        <v>22</v>
      </c>
      <c r="W18" s="56"/>
      <c r="AG18">
        <v>4</v>
      </c>
      <c r="AH18">
        <v>8</v>
      </c>
      <c r="AI18">
        <v>5</v>
      </c>
      <c r="AJ18">
        <v>7</v>
      </c>
      <c r="AK18">
        <v>2</v>
      </c>
      <c r="AP18" s="272">
        <f t="shared" si="60"/>
        <v>26</v>
      </c>
      <c r="AQ18" s="56"/>
      <c r="BA18">
        <v>3</v>
      </c>
      <c r="BB18">
        <v>6</v>
      </c>
      <c r="BC18">
        <v>4</v>
      </c>
      <c r="BD18">
        <v>1</v>
      </c>
      <c r="BE18">
        <v>4</v>
      </c>
      <c r="BJ18" s="272">
        <f t="shared" si="61"/>
        <v>18</v>
      </c>
      <c r="BK18" s="56"/>
      <c r="BU18">
        <v>7</v>
      </c>
      <c r="BV18">
        <v>6</v>
      </c>
      <c r="BW18">
        <v>1</v>
      </c>
      <c r="BX18">
        <v>5</v>
      </c>
      <c r="BY18">
        <v>8</v>
      </c>
      <c r="CD18" s="272">
        <f t="shared" si="62"/>
        <v>27</v>
      </c>
      <c r="CE18" s="56"/>
      <c r="CO18">
        <v>2</v>
      </c>
      <c r="CP18">
        <v>3</v>
      </c>
      <c r="CQ18">
        <v>2</v>
      </c>
      <c r="CR18">
        <v>7</v>
      </c>
      <c r="CS18">
        <v>1</v>
      </c>
      <c r="CX18" s="272">
        <f t="shared" si="63"/>
        <v>15</v>
      </c>
      <c r="CY18" s="56"/>
      <c r="DI18">
        <v>4</v>
      </c>
      <c r="DJ18">
        <v>8</v>
      </c>
      <c r="DK18">
        <v>6</v>
      </c>
      <c r="DL18">
        <v>8</v>
      </c>
      <c r="DM18">
        <v>3</v>
      </c>
      <c r="DR18" s="272">
        <f t="shared" si="64"/>
        <v>29</v>
      </c>
      <c r="DS18" s="56"/>
      <c r="EC18">
        <v>7</v>
      </c>
      <c r="ED18">
        <v>6</v>
      </c>
      <c r="EE18">
        <v>4</v>
      </c>
      <c r="EF18">
        <v>2</v>
      </c>
      <c r="EG18">
        <v>5</v>
      </c>
      <c r="EL18" s="272">
        <f t="shared" si="65"/>
        <v>24</v>
      </c>
    </row>
    <row r="19" spans="1:142">
      <c r="A19">
        <v>6</v>
      </c>
      <c r="B19" s="181" t="str">
        <f t="shared" si="58"/>
        <v>Bowling Jugend Bayern 1</v>
      </c>
      <c r="C19" s="56"/>
      <c r="M19">
        <v>6</v>
      </c>
      <c r="N19">
        <v>1</v>
      </c>
      <c r="O19">
        <v>8</v>
      </c>
      <c r="P19">
        <v>2</v>
      </c>
      <c r="Q19">
        <v>4</v>
      </c>
      <c r="V19" s="272">
        <f t="shared" si="59"/>
        <v>21</v>
      </c>
      <c r="W19" s="56"/>
      <c r="AG19">
        <v>7</v>
      </c>
      <c r="AH19">
        <v>3</v>
      </c>
      <c r="AI19">
        <v>7</v>
      </c>
      <c r="AJ19">
        <v>4</v>
      </c>
      <c r="AK19">
        <v>8</v>
      </c>
      <c r="AP19" s="272">
        <f t="shared" si="60"/>
        <v>29</v>
      </c>
      <c r="AQ19" s="56"/>
      <c r="BA19">
        <v>6</v>
      </c>
      <c r="BB19">
        <v>3</v>
      </c>
      <c r="BC19">
        <v>5</v>
      </c>
      <c r="BD19">
        <v>2</v>
      </c>
      <c r="BE19">
        <v>5</v>
      </c>
      <c r="BJ19" s="272">
        <f t="shared" si="61"/>
        <v>21</v>
      </c>
      <c r="BK19" s="56"/>
      <c r="BU19">
        <v>3</v>
      </c>
      <c r="BV19">
        <v>1</v>
      </c>
      <c r="BW19">
        <v>6</v>
      </c>
      <c r="BX19">
        <v>2</v>
      </c>
      <c r="BY19">
        <v>7</v>
      </c>
      <c r="CD19" s="272">
        <f t="shared" si="62"/>
        <v>19</v>
      </c>
      <c r="CE19" s="56"/>
      <c r="CO19">
        <v>4</v>
      </c>
      <c r="CP19">
        <v>5</v>
      </c>
      <c r="CQ19">
        <v>7</v>
      </c>
      <c r="CR19">
        <v>2</v>
      </c>
      <c r="CS19">
        <v>8</v>
      </c>
      <c r="CX19" s="272">
        <f t="shared" si="63"/>
        <v>26</v>
      </c>
      <c r="CY19" s="56"/>
      <c r="DI19">
        <v>3</v>
      </c>
      <c r="DJ19">
        <v>6</v>
      </c>
      <c r="DK19">
        <v>1</v>
      </c>
      <c r="DL19">
        <v>3</v>
      </c>
      <c r="DM19">
        <v>8</v>
      </c>
      <c r="DR19" s="272">
        <f t="shared" si="64"/>
        <v>21</v>
      </c>
      <c r="DS19" s="56"/>
      <c r="EC19">
        <v>4</v>
      </c>
      <c r="ED19">
        <v>5</v>
      </c>
      <c r="EE19">
        <v>2</v>
      </c>
      <c r="EF19">
        <v>7</v>
      </c>
      <c r="EG19">
        <v>1</v>
      </c>
      <c r="EL19" s="272">
        <f t="shared" si="65"/>
        <v>19</v>
      </c>
    </row>
    <row r="20" spans="1:142">
      <c r="A20">
        <v>7</v>
      </c>
      <c r="B20" s="181" t="str">
        <f t="shared" si="58"/>
        <v>BK München 1</v>
      </c>
      <c r="C20" s="56"/>
      <c r="M20">
        <v>7</v>
      </c>
      <c r="N20">
        <v>4</v>
      </c>
      <c r="O20">
        <v>5</v>
      </c>
      <c r="P20">
        <v>3</v>
      </c>
      <c r="Q20">
        <v>1</v>
      </c>
      <c r="V20" s="272"/>
      <c r="W20" s="56"/>
      <c r="AG20">
        <v>8</v>
      </c>
      <c r="AH20">
        <v>2</v>
      </c>
      <c r="AI20">
        <v>6</v>
      </c>
      <c r="AJ20">
        <v>1</v>
      </c>
      <c r="AK20">
        <v>5</v>
      </c>
      <c r="AP20" s="272">
        <f t="shared" si="60"/>
        <v>22</v>
      </c>
      <c r="AQ20" s="56"/>
      <c r="BA20">
        <v>7</v>
      </c>
      <c r="BB20">
        <v>4</v>
      </c>
      <c r="BC20">
        <v>8</v>
      </c>
      <c r="BD20">
        <v>3</v>
      </c>
      <c r="BE20">
        <v>8</v>
      </c>
      <c r="BJ20" s="272">
        <f t="shared" si="61"/>
        <v>30</v>
      </c>
      <c r="BK20" s="56"/>
      <c r="BU20">
        <v>2</v>
      </c>
      <c r="BV20">
        <v>4</v>
      </c>
      <c r="BW20">
        <v>5</v>
      </c>
      <c r="BX20">
        <v>3</v>
      </c>
      <c r="BY20">
        <v>6</v>
      </c>
      <c r="CD20" s="272"/>
      <c r="CE20" s="56"/>
      <c r="CO20">
        <v>1</v>
      </c>
      <c r="CP20">
        <v>8</v>
      </c>
      <c r="CQ20">
        <v>6</v>
      </c>
      <c r="CR20">
        <v>1</v>
      </c>
      <c r="CS20">
        <v>5</v>
      </c>
      <c r="CX20" s="272">
        <f t="shared" si="63"/>
        <v>21</v>
      </c>
      <c r="CY20" s="56"/>
      <c r="DI20">
        <v>2</v>
      </c>
      <c r="DJ20">
        <v>7</v>
      </c>
      <c r="DK20">
        <v>4</v>
      </c>
      <c r="DL20">
        <v>2</v>
      </c>
      <c r="DM20">
        <v>7</v>
      </c>
      <c r="DR20" s="272"/>
      <c r="DS20" s="56"/>
      <c r="EC20">
        <v>1</v>
      </c>
      <c r="ED20">
        <v>8</v>
      </c>
      <c r="EE20">
        <v>3</v>
      </c>
      <c r="EF20">
        <v>6</v>
      </c>
      <c r="EG20">
        <v>4</v>
      </c>
      <c r="EL20" s="272">
        <f t="shared" si="65"/>
        <v>22</v>
      </c>
    </row>
    <row r="21" spans="1:142">
      <c r="A21">
        <v>8</v>
      </c>
      <c r="B21" s="181" t="str">
        <f t="shared" si="58"/>
        <v>EMAX 1</v>
      </c>
      <c r="C21" s="56"/>
      <c r="M21">
        <v>8</v>
      </c>
      <c r="N21">
        <v>2</v>
      </c>
      <c r="O21">
        <v>4</v>
      </c>
      <c r="P21">
        <v>7</v>
      </c>
      <c r="Q21">
        <v>6</v>
      </c>
      <c r="V21" s="272">
        <f t="shared" si="59"/>
        <v>27</v>
      </c>
      <c r="W21" s="56"/>
      <c r="AG21">
        <v>3</v>
      </c>
      <c r="AH21">
        <v>5</v>
      </c>
      <c r="AI21">
        <v>8</v>
      </c>
      <c r="AJ21">
        <v>6</v>
      </c>
      <c r="AK21">
        <v>3</v>
      </c>
      <c r="AP21" s="272">
        <f t="shared" si="60"/>
        <v>25</v>
      </c>
      <c r="AQ21" s="56"/>
      <c r="BA21">
        <v>2</v>
      </c>
      <c r="BB21">
        <v>5</v>
      </c>
      <c r="BC21">
        <v>1</v>
      </c>
      <c r="BD21">
        <v>4</v>
      </c>
      <c r="BE21">
        <v>1</v>
      </c>
      <c r="BJ21" s="272">
        <f t="shared" si="61"/>
        <v>13</v>
      </c>
      <c r="BK21" s="56"/>
      <c r="BU21">
        <v>6</v>
      </c>
      <c r="BV21">
        <v>7</v>
      </c>
      <c r="BW21">
        <v>2</v>
      </c>
      <c r="BX21">
        <v>8</v>
      </c>
      <c r="BY21">
        <v>5</v>
      </c>
      <c r="CD21" s="272">
        <f t="shared" si="62"/>
        <v>28</v>
      </c>
      <c r="CE21" s="56"/>
      <c r="CO21">
        <v>3</v>
      </c>
      <c r="CP21">
        <v>2</v>
      </c>
      <c r="CQ21">
        <v>3</v>
      </c>
      <c r="CR21">
        <v>8</v>
      </c>
      <c r="CS21">
        <v>4</v>
      </c>
      <c r="CX21" s="272">
        <f t="shared" si="63"/>
        <v>20</v>
      </c>
      <c r="CY21" s="56"/>
      <c r="DI21">
        <v>1</v>
      </c>
      <c r="DJ21">
        <v>5</v>
      </c>
      <c r="DK21">
        <v>7</v>
      </c>
      <c r="DL21">
        <v>5</v>
      </c>
      <c r="DM21">
        <v>4</v>
      </c>
      <c r="DR21" s="272">
        <f t="shared" si="64"/>
        <v>22</v>
      </c>
      <c r="DS21" s="56"/>
      <c r="EC21">
        <v>6</v>
      </c>
      <c r="ED21">
        <v>7</v>
      </c>
      <c r="EE21">
        <v>1</v>
      </c>
      <c r="EF21">
        <v>3</v>
      </c>
      <c r="EG21">
        <v>8</v>
      </c>
      <c r="EL21" s="272">
        <f t="shared" ref="EL21:EL22" si="66">SUM(EC21:EK21)</f>
        <v>25</v>
      </c>
    </row>
    <row r="22" spans="1:142" ht="13.8" thickBot="1">
      <c r="C22" s="112"/>
      <c r="D22" s="113"/>
      <c r="E22" s="113"/>
      <c r="F22" s="113"/>
      <c r="G22" s="113"/>
      <c r="H22" s="113"/>
      <c r="I22" s="113"/>
      <c r="J22" s="113"/>
      <c r="K22" s="113"/>
      <c r="L22" s="275"/>
      <c r="M22" s="113">
        <f>SUM(M14:M21)</f>
        <v>36</v>
      </c>
      <c r="N22" s="113">
        <f>SUM(N14:N21)</f>
        <v>36</v>
      </c>
      <c r="O22" s="113">
        <f>SUM(O14:O21)</f>
        <v>36</v>
      </c>
      <c r="P22" s="113">
        <f>SUM(P14:P21)</f>
        <v>36</v>
      </c>
      <c r="Q22" s="113">
        <f>SUM(Q14:Q21)</f>
        <v>36</v>
      </c>
      <c r="R22" s="113"/>
      <c r="S22" s="113"/>
      <c r="T22" s="113"/>
      <c r="U22" s="113"/>
      <c r="V22" s="276">
        <f t="shared" si="59"/>
        <v>180</v>
      </c>
      <c r="W22" s="112"/>
      <c r="X22" s="113"/>
      <c r="Y22" s="113"/>
      <c r="Z22" s="113"/>
      <c r="AA22" s="113"/>
      <c r="AB22" s="113"/>
      <c r="AC22" s="113"/>
      <c r="AD22" s="113"/>
      <c r="AE22" s="113"/>
      <c r="AF22" s="275"/>
      <c r="AG22" s="113">
        <f>SUM(AG14:AG21)</f>
        <v>36</v>
      </c>
      <c r="AH22" s="113">
        <f>SUM(AH14:AH21)</f>
        <v>36</v>
      </c>
      <c r="AI22" s="113">
        <f>SUM(AI14:AI21)</f>
        <v>36</v>
      </c>
      <c r="AJ22" s="113">
        <f>SUM(AJ14:AJ21)</f>
        <v>36</v>
      </c>
      <c r="AK22" s="113">
        <f>SUM(AK14:AK21)</f>
        <v>36</v>
      </c>
      <c r="AL22" s="113"/>
      <c r="AM22" s="113"/>
      <c r="AN22" s="113"/>
      <c r="AO22" s="113"/>
      <c r="AP22" s="276"/>
      <c r="AQ22" s="112"/>
      <c r="AR22" s="113"/>
      <c r="AS22" s="113"/>
      <c r="AT22" s="113"/>
      <c r="AU22" s="113"/>
      <c r="AV22" s="113"/>
      <c r="AW22" s="113"/>
      <c r="AX22" s="113"/>
      <c r="AY22" s="113"/>
      <c r="AZ22" s="275"/>
      <c r="BA22" s="113">
        <f>SUM(BA14:BA21)</f>
        <v>36</v>
      </c>
      <c r="BB22" s="113">
        <f>SUM(BB14:BB21)</f>
        <v>36</v>
      </c>
      <c r="BC22" s="113">
        <f>SUM(BC14:BC21)</f>
        <v>36</v>
      </c>
      <c r="BD22" s="113">
        <f>SUM(BD14:BD21)</f>
        <v>36</v>
      </c>
      <c r="BE22" s="113">
        <f>SUM(BE14:BE21)</f>
        <v>36</v>
      </c>
      <c r="BF22" s="113"/>
      <c r="BG22" s="113"/>
      <c r="BH22" s="113"/>
      <c r="BI22" s="113"/>
      <c r="BJ22" s="276"/>
      <c r="BK22" s="112"/>
      <c r="BL22" s="113"/>
      <c r="BM22" s="113"/>
      <c r="BN22" s="113"/>
      <c r="BO22" s="113"/>
      <c r="BP22" s="113"/>
      <c r="BQ22" s="113"/>
      <c r="BR22" s="113"/>
      <c r="BS22" s="113"/>
      <c r="BT22" s="275"/>
      <c r="BU22" s="113">
        <f>SUM(BU14:BU21)</f>
        <v>36</v>
      </c>
      <c r="BV22" s="113">
        <f>SUM(BV14:BV21)</f>
        <v>36</v>
      </c>
      <c r="BW22" s="113">
        <f>SUM(BW14:BW21)</f>
        <v>36</v>
      </c>
      <c r="BX22" s="113">
        <f>SUM(BX14:BX21)</f>
        <v>36</v>
      </c>
      <c r="BY22" s="113">
        <f>SUM(BY14:BY21)</f>
        <v>36</v>
      </c>
      <c r="BZ22" s="113"/>
      <c r="CA22" s="113"/>
      <c r="CB22" s="113"/>
      <c r="CC22" s="113"/>
      <c r="CD22" s="276">
        <f t="shared" si="62"/>
        <v>180</v>
      </c>
      <c r="CE22" s="112"/>
      <c r="CF22" s="113"/>
      <c r="CG22" s="113"/>
      <c r="CH22" s="113"/>
      <c r="CI22" s="113"/>
      <c r="CJ22" s="113"/>
      <c r="CK22" s="113"/>
      <c r="CL22" s="113"/>
      <c r="CM22" s="113"/>
      <c r="CN22" s="275"/>
      <c r="CO22" s="113">
        <f>SUM(CO14:CO21)</f>
        <v>36</v>
      </c>
      <c r="CP22" s="113">
        <f>SUM(CP14:CP21)</f>
        <v>36</v>
      </c>
      <c r="CQ22" s="113">
        <f>SUM(CQ14:CQ21)</f>
        <v>36</v>
      </c>
      <c r="CR22" s="113">
        <f>SUM(CR14:CR21)</f>
        <v>36</v>
      </c>
      <c r="CS22" s="113">
        <f>SUM(CS14:CS21)</f>
        <v>36</v>
      </c>
      <c r="CT22" s="113"/>
      <c r="CU22" s="113"/>
      <c r="CV22" s="113"/>
      <c r="CW22" s="113"/>
      <c r="CX22" s="276">
        <f t="shared" si="63"/>
        <v>180</v>
      </c>
      <c r="CY22" s="112"/>
      <c r="CZ22" s="113"/>
      <c r="DA22" s="113"/>
      <c r="DB22" s="113"/>
      <c r="DC22" s="113"/>
      <c r="DD22" s="113"/>
      <c r="DE22" s="113"/>
      <c r="DF22" s="113"/>
      <c r="DG22" s="113"/>
      <c r="DH22" s="275"/>
      <c r="DI22" s="113">
        <f>SUM(DI14:DI21)</f>
        <v>36</v>
      </c>
      <c r="DJ22" s="113">
        <f>SUM(DJ14:DJ21)</f>
        <v>36</v>
      </c>
      <c r="DK22" s="113">
        <f>SUM(DK14:DK21)</f>
        <v>36</v>
      </c>
      <c r="DL22" s="113">
        <f>SUM(DL14:DL21)</f>
        <v>36</v>
      </c>
      <c r="DM22" s="113">
        <f>SUM(DM14:DM21)</f>
        <v>36</v>
      </c>
      <c r="DN22" s="113"/>
      <c r="DO22" s="113"/>
      <c r="DP22" s="113"/>
      <c r="DQ22" s="113"/>
      <c r="DR22" s="276">
        <f t="shared" si="64"/>
        <v>180</v>
      </c>
      <c r="DS22" s="112"/>
      <c r="DT22" s="113"/>
      <c r="DU22" s="113"/>
      <c r="DV22" s="113"/>
      <c r="DW22" s="113"/>
      <c r="DX22" s="113"/>
      <c r="DY22" s="113"/>
      <c r="DZ22" s="113"/>
      <c r="EA22" s="113"/>
      <c r="EB22" s="275"/>
      <c r="EC22" s="113">
        <f>SUM(EC14:EC21)</f>
        <v>36</v>
      </c>
      <c r="ED22" s="113">
        <f>SUM(ED14:ED21)</f>
        <v>36</v>
      </c>
      <c r="EE22" s="113">
        <f>SUM(EE14:EE21)</f>
        <v>36</v>
      </c>
      <c r="EF22" s="113">
        <f>SUM(EF14:EF21)</f>
        <v>36</v>
      </c>
      <c r="EG22" s="113">
        <f>SUM(EG14:EG21)</f>
        <v>36</v>
      </c>
      <c r="EH22" s="113"/>
      <c r="EI22" s="113"/>
      <c r="EJ22" s="113"/>
      <c r="EK22" s="113"/>
      <c r="EL22" s="276">
        <f t="shared" si="66"/>
        <v>180</v>
      </c>
    </row>
    <row r="25" spans="1:142">
      <c r="B25" s="277" t="s">
        <v>2347</v>
      </c>
    </row>
    <row r="26" spans="1:142">
      <c r="B26" s="277" t="s">
        <v>2348</v>
      </c>
    </row>
    <row r="27" spans="1:142">
      <c r="B27" s="277" t="s">
        <v>2349</v>
      </c>
    </row>
    <row r="28" spans="1:142">
      <c r="B28" s="277" t="s">
        <v>2371</v>
      </c>
    </row>
    <row r="29" spans="1:142">
      <c r="B29" s="277" t="s">
        <v>2372</v>
      </c>
    </row>
    <row r="30" spans="1:142">
      <c r="B30" s="277" t="s">
        <v>2373</v>
      </c>
    </row>
  </sheetData>
  <mergeCells count="42">
    <mergeCell ref="DS1:EB1"/>
    <mergeCell ref="EC1:EL1"/>
    <mergeCell ref="DS2:EB2"/>
    <mergeCell ref="EC2:EH2"/>
    <mergeCell ref="DS3:EB3"/>
    <mergeCell ref="EC3:EJ3"/>
    <mergeCell ref="C1:L1"/>
    <mergeCell ref="C2:L2"/>
    <mergeCell ref="C3:L3"/>
    <mergeCell ref="M3:T3"/>
    <mergeCell ref="M1:V1"/>
    <mergeCell ref="W1:AF1"/>
    <mergeCell ref="AG1:AP1"/>
    <mergeCell ref="W2:AF2"/>
    <mergeCell ref="W3:AF3"/>
    <mergeCell ref="AG3:AN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V24" sqref="V24"/>
    </sheetView>
  </sheetViews>
  <sheetFormatPr baseColWidth="10" defaultColWidth="11.44140625" defaultRowHeight="13.2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44140625" customWidth="1"/>
    <col min="12" max="12" width="11.44140625" style="91" hidden="1" customWidth="1"/>
    <col min="13" max="16" width="11.44140625" hidden="1" customWidth="1"/>
    <col min="17" max="20" width="11.44140625" customWidth="1"/>
  </cols>
  <sheetData>
    <row r="1" spans="1:16" ht="28.5" customHeight="1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>
      <c r="A2" s="154" t="s">
        <v>1785</v>
      </c>
      <c r="C2" s="33">
        <v>4</v>
      </c>
      <c r="D2" s="33" t="s">
        <v>1864</v>
      </c>
      <c r="E2" s="155"/>
      <c r="F2" s="156"/>
      <c r="L2" s="91">
        <f>INDEX(Starter!A:A,ROW()-1)</f>
        <v>38890</v>
      </c>
      <c r="M2">
        <f>INDEX(SchnittGes3!M:M,MATCH(L2,SchnittGes3!L:L,0))+INDEX(Schnitt4!M:M,MATCH(L2,Schnitt4!L:L,0))</f>
        <v>1547</v>
      </c>
      <c r="N2">
        <f>INDEX(SchnittGes3!N:N,MATCH(L2,SchnittGes3!L:L,0))+INDEX(Schnitt4!N:N,MATCH(L2,Schnitt4!L:L,0))</f>
        <v>16</v>
      </c>
      <c r="O2">
        <f t="shared" ref="O2:O65" si="0">IF(N2=0,0,M2/N2-ROW()/1000000000)</f>
        <v>96.687499998000007</v>
      </c>
      <c r="P2">
        <f t="shared" ref="P2:P65" si="1">RANK(O2,O:O)</f>
        <v>36</v>
      </c>
    </row>
    <row r="3" spans="1:16">
      <c r="L3" s="91">
        <f>INDEX(Starter!A:A,ROW()-1)</f>
        <v>38785</v>
      </c>
      <c r="M3">
        <f>INDEX(SchnittGes3!M:M,MATCH(L3,SchnittGes3!L:L,0))+INDEX(Schnitt4!M:M,MATCH(L3,Schnitt4!L:L,0))</f>
        <v>896</v>
      </c>
      <c r="N3">
        <f>INDEX(SchnittGes3!N:N,MATCH(L3,SchnittGes3!L:L,0))+INDEX(Schnitt4!N:N,MATCH(L3,Schnitt4!L:L,0))</f>
        <v>8</v>
      </c>
      <c r="O3">
        <f t="shared" si="0"/>
        <v>111.999999997</v>
      </c>
      <c r="P3">
        <f t="shared" si="1"/>
        <v>32</v>
      </c>
    </row>
    <row r="4" spans="1:16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INDEX(SchnittGes3!M:M,MATCH(L4,SchnittGes3!L:L,0))+INDEX(Schnitt4!M:M,MATCH(L4,Schnitt4!L:L,0))</f>
        <v>1340</v>
      </c>
      <c r="N4">
        <f>INDEX(SchnittGes3!N:N,MATCH(L4,SchnittGes3!L:L,0))+INDEX(Schnitt4!N:N,MATCH(L4,Schnitt4!L:L,0))</f>
        <v>9</v>
      </c>
      <c r="O4">
        <f t="shared" si="0"/>
        <v>148.8888888848889</v>
      </c>
      <c r="P4">
        <f t="shared" si="1"/>
        <v>13</v>
      </c>
    </row>
    <row r="5" spans="1:16">
      <c r="A5">
        <v>1</v>
      </c>
      <c r="B5">
        <f t="shared" ref="B5:B68" si="2">IFERROR(INDEX(L:L,MATCH(A5,P:P,0)),"")</f>
        <v>38844</v>
      </c>
      <c r="C5" t="str">
        <f>IFERROR(INDEX(Starter!B:B,MATCH(B5,Starter!A:A,0)),"")</f>
        <v>Mathe, Maximilian</v>
      </c>
      <c r="D5" t="str">
        <f>IFERROR(INDEX(Starter!C:C,MATCH(B5,Starter!A:A,0)),"")</f>
        <v>Absolut-Sports.com</v>
      </c>
      <c r="E5" s="78">
        <f t="shared" ref="E5:E68" si="3">IFERROR(INDEX(M:M,MATCH(A5,P:P,0)),"")</f>
        <v>972</v>
      </c>
      <c r="F5">
        <f t="shared" ref="F5:F68" si="4">IFERROR(INDEX(N:N,MATCH(A5,P:P,0)),"")</f>
        <v>5</v>
      </c>
      <c r="G5" s="153">
        <f t="shared" ref="G5:G68" si="5">IFERROR(INDEX(O:O,MATCH(A5,P:P,0)),"")</f>
        <v>194.39999999</v>
      </c>
      <c r="L5" s="91">
        <f>INDEX(Starter!A:A,ROW()-1)</f>
        <v>38904</v>
      </c>
      <c r="M5">
        <f>INDEX(SchnittGes3!M:M,MATCH(L5,SchnittGes3!L:L,0))+INDEX(Schnitt4!M:M,MATCH(L5,Schnitt4!L:L,0))</f>
        <v>1923</v>
      </c>
      <c r="N5">
        <f>INDEX(SchnittGes3!N:N,MATCH(L5,SchnittGes3!L:L,0))+INDEX(Schnitt4!N:N,MATCH(L5,Schnitt4!L:L,0))</f>
        <v>16</v>
      </c>
      <c r="O5">
        <f t="shared" si="0"/>
        <v>120.187499995</v>
      </c>
      <c r="P5">
        <f t="shared" si="1"/>
        <v>25</v>
      </c>
    </row>
    <row r="6" spans="1:16">
      <c r="A6">
        <f t="shared" ref="A6:A69" si="6">IFERROR(IF(A5+1&gt;MAX(P:P)-1,"",A5+1),"")</f>
        <v>2</v>
      </c>
      <c r="B6">
        <f t="shared" si="2"/>
        <v>38655</v>
      </c>
      <c r="C6" t="str">
        <f>IFERROR(INDEX(Starter!B:B,MATCH(B6,Starter!A:A,0)),"")</f>
        <v>Wheeldon, Vincent</v>
      </c>
      <c r="D6" t="str">
        <f>IFERROR(INDEX(Starter!C:C,MATCH(B6,Starter!A:A,0)),"")</f>
        <v>BK München</v>
      </c>
      <c r="E6" s="78">
        <f t="shared" si="3"/>
        <v>1940</v>
      </c>
      <c r="F6">
        <f t="shared" si="4"/>
        <v>10</v>
      </c>
      <c r="G6" s="153">
        <f t="shared" si="5"/>
        <v>193.99999996599999</v>
      </c>
      <c r="L6" s="91">
        <f>INDEX(Starter!A:A,ROW()-1)</f>
        <v>38910</v>
      </c>
      <c r="M6">
        <f>INDEX(SchnittGes3!M:M,MATCH(L6,SchnittGes3!L:L,0))+INDEX(Schnitt4!M:M,MATCH(L6,Schnitt4!L:L,0))</f>
        <v>1330</v>
      </c>
      <c r="N6">
        <f>INDEX(SchnittGes3!N:N,MATCH(L6,SchnittGes3!L:L,0))+INDEX(Schnitt4!N:N,MATCH(L6,Schnitt4!L:L,0))</f>
        <v>11</v>
      </c>
      <c r="O6">
        <f t="shared" si="0"/>
        <v>120.90909090309091</v>
      </c>
      <c r="P6">
        <f t="shared" si="1"/>
        <v>24</v>
      </c>
    </row>
    <row r="7" spans="1:16">
      <c r="A7">
        <f t="shared" si="6"/>
        <v>3</v>
      </c>
      <c r="B7">
        <f t="shared" si="2"/>
        <v>38708</v>
      </c>
      <c r="C7" t="str">
        <f>IFERROR(INDEX(Starter!B:B,MATCH(B7,Starter!A:A,0)),"")</f>
        <v>Gründl, Alexander</v>
      </c>
      <c r="D7" t="str">
        <f>IFERROR(INDEX(Starter!C:C,MATCH(B7,Starter!A:A,0)),"")</f>
        <v>BK München</v>
      </c>
      <c r="E7" s="78">
        <f t="shared" si="3"/>
        <v>3877</v>
      </c>
      <c r="F7">
        <f t="shared" si="4"/>
        <v>20</v>
      </c>
      <c r="G7" s="153">
        <f t="shared" si="5"/>
        <v>193.84999996499999</v>
      </c>
      <c r="L7" s="91">
        <f>INDEX(Starter!A:A,ROW()-1)</f>
        <v>38861</v>
      </c>
      <c r="M7">
        <f>INDEX(SchnittGes3!M:M,MATCH(L7,SchnittGes3!L:L,0))+INDEX(Schnitt4!M:M,MATCH(L7,Schnitt4!L:L,0))</f>
        <v>0</v>
      </c>
      <c r="N7">
        <f>INDEX(SchnittGes3!N:N,MATCH(L7,SchnittGes3!L:L,0))+INDEX(Schnitt4!N:N,MATCH(L7,Schnitt4!L:L,0))</f>
        <v>0</v>
      </c>
      <c r="O7">
        <f t="shared" si="0"/>
        <v>0</v>
      </c>
      <c r="P7">
        <f t="shared" si="1"/>
        <v>42</v>
      </c>
    </row>
    <row r="8" spans="1:16">
      <c r="A8">
        <f t="shared" si="6"/>
        <v>4</v>
      </c>
      <c r="B8">
        <f t="shared" si="2"/>
        <v>38327</v>
      </c>
      <c r="C8" t="str">
        <f>IFERROR(INDEX(Starter!B:B,MATCH(B8,Starter!A:A,0)),"")</f>
        <v>Jakobi, Moritz</v>
      </c>
      <c r="D8" t="str">
        <f>IFERROR(INDEX(Starter!C:C,MATCH(B8,Starter!A:A,0)),"")</f>
        <v>BK München</v>
      </c>
      <c r="E8" s="78">
        <f t="shared" si="3"/>
        <v>2875</v>
      </c>
      <c r="F8">
        <f t="shared" si="4"/>
        <v>15</v>
      </c>
      <c r="G8" s="153">
        <f t="shared" si="5"/>
        <v>191.66666663066667</v>
      </c>
      <c r="L8" s="91">
        <f>INDEX(Starter!A:A,ROW()-1)</f>
        <v>38845</v>
      </c>
      <c r="M8">
        <f>INDEX(SchnittGes3!M:M,MATCH(L8,SchnittGes3!L:L,0))+INDEX(Schnitt4!M:M,MATCH(L8,Schnitt4!L:L,0))</f>
        <v>3751</v>
      </c>
      <c r="N8">
        <f>INDEX(SchnittGes3!N:N,MATCH(L8,SchnittGes3!L:L,0))+INDEX(Schnitt4!N:N,MATCH(L8,Schnitt4!L:L,0))</f>
        <v>20</v>
      </c>
      <c r="O8">
        <f t="shared" si="0"/>
        <v>187.54999999200001</v>
      </c>
      <c r="P8">
        <f t="shared" si="1"/>
        <v>6</v>
      </c>
    </row>
    <row r="9" spans="1:16">
      <c r="A9">
        <f t="shared" si="6"/>
        <v>5</v>
      </c>
      <c r="B9">
        <f t="shared" si="2"/>
        <v>38334</v>
      </c>
      <c r="C9" t="str">
        <f>IFERROR(INDEX(Starter!B:B,MATCH(B9,Starter!A:A,0)),"")</f>
        <v>Lauchner, Julian</v>
      </c>
      <c r="D9" t="str">
        <f>IFERROR(INDEX(Starter!C:C,MATCH(B9,Starter!A:A,0)),"")</f>
        <v>BK München</v>
      </c>
      <c r="E9" s="78">
        <f t="shared" si="3"/>
        <v>1916</v>
      </c>
      <c r="F9">
        <f t="shared" si="4"/>
        <v>10</v>
      </c>
      <c r="G9" s="153">
        <f t="shared" si="5"/>
        <v>191.59999995499999</v>
      </c>
      <c r="L9" s="91">
        <f>INDEX(Starter!A:A,ROW()-1)</f>
        <v>38843</v>
      </c>
      <c r="M9">
        <f>INDEX(SchnittGes3!M:M,MATCH(L9,SchnittGes3!L:L,0))+INDEX(Schnitt4!M:M,MATCH(L9,Schnitt4!L:L,0))</f>
        <v>783</v>
      </c>
      <c r="N9">
        <f>INDEX(SchnittGes3!N:N,MATCH(L9,SchnittGes3!L:L,0))+INDEX(Schnitt4!N:N,MATCH(L9,Schnitt4!L:L,0))</f>
        <v>6</v>
      </c>
      <c r="O9">
        <f t="shared" si="0"/>
        <v>130.49999999100001</v>
      </c>
      <c r="P9">
        <f t="shared" si="1"/>
        <v>20</v>
      </c>
    </row>
    <row r="10" spans="1:16">
      <c r="A10">
        <f t="shared" si="6"/>
        <v>6</v>
      </c>
      <c r="B10">
        <f t="shared" si="2"/>
        <v>38845</v>
      </c>
      <c r="C10" t="str">
        <f>IFERROR(INDEX(Starter!B:B,MATCH(B10,Starter!A:A,0)),"")</f>
        <v>Kugler, Laurin</v>
      </c>
      <c r="D10" t="str">
        <f>IFERROR(INDEX(Starter!C:C,MATCH(B10,Starter!A:A,0)),"")</f>
        <v>Absolut-Sports.com</v>
      </c>
      <c r="E10" s="78">
        <f t="shared" si="3"/>
        <v>3751</v>
      </c>
      <c r="F10">
        <f t="shared" si="4"/>
        <v>20</v>
      </c>
      <c r="G10" s="153">
        <f t="shared" si="5"/>
        <v>187.54999999200001</v>
      </c>
      <c r="L10" s="91">
        <f>INDEX(Starter!A:A,ROW()-1)</f>
        <v>38844</v>
      </c>
      <c r="M10">
        <f>INDEX(SchnittGes3!M:M,MATCH(L10,SchnittGes3!L:L,0))+INDEX(Schnitt4!M:M,MATCH(L10,Schnitt4!L:L,0))</f>
        <v>972</v>
      </c>
      <c r="N10">
        <f>INDEX(SchnittGes3!N:N,MATCH(L10,SchnittGes3!L:L,0))+INDEX(Schnitt4!N:N,MATCH(L10,Schnitt4!L:L,0))</f>
        <v>5</v>
      </c>
      <c r="O10">
        <f t="shared" si="0"/>
        <v>194.39999999</v>
      </c>
      <c r="P10">
        <f t="shared" si="1"/>
        <v>1</v>
      </c>
    </row>
    <row r="11" spans="1:16">
      <c r="A11">
        <f t="shared" si="6"/>
        <v>7</v>
      </c>
      <c r="B11">
        <f t="shared" si="2"/>
        <v>38809</v>
      </c>
      <c r="C11" t="str">
        <f>IFERROR(INDEX(Starter!B:B,MATCH(B11,Starter!A:A,0)),"")</f>
        <v>Elze, Julian</v>
      </c>
      <c r="D11" t="str">
        <f>IFERROR(INDEX(Starter!C:C,MATCH(B11,Starter!A:A,0)),"")</f>
        <v>BSC Highroller Rosenheim</v>
      </c>
      <c r="E11" s="78">
        <f t="shared" si="3"/>
        <v>485</v>
      </c>
      <c r="F11">
        <f t="shared" si="4"/>
        <v>3</v>
      </c>
      <c r="G11" s="153">
        <f t="shared" si="5"/>
        <v>161.66666664966667</v>
      </c>
      <c r="L11" s="91">
        <f>INDEX(Starter!A:A,ROW()-1)</f>
        <v>38772</v>
      </c>
      <c r="M11">
        <f>INDEX(SchnittGes3!M:M,MATCH(L11,SchnittGes3!L:L,0))+INDEX(Schnitt4!M:M,MATCH(L11,Schnitt4!L:L,0))</f>
        <v>1465</v>
      </c>
      <c r="N11">
        <f>INDEX(SchnittGes3!N:N,MATCH(L11,SchnittGes3!L:L,0))+INDEX(Schnitt4!N:N,MATCH(L11,Schnitt4!L:L,0))</f>
        <v>10</v>
      </c>
      <c r="O11">
        <f t="shared" si="0"/>
        <v>146.499999989</v>
      </c>
      <c r="P11">
        <f t="shared" si="1"/>
        <v>15</v>
      </c>
    </row>
    <row r="12" spans="1:16">
      <c r="A12">
        <f t="shared" si="6"/>
        <v>8</v>
      </c>
      <c r="B12">
        <f t="shared" si="2"/>
        <v>38626</v>
      </c>
      <c r="C12" t="str">
        <f>IFERROR(INDEX(Starter!B:B,MATCH(B12,Starter!A:A,0)),"")</f>
        <v>Wolf, Alexander</v>
      </c>
      <c r="D12" t="str">
        <f>IFERROR(INDEX(Starter!C:C,MATCH(B12,Starter!A:A,0)),"")</f>
        <v>BK München</v>
      </c>
      <c r="E12" s="78">
        <f t="shared" si="3"/>
        <v>794</v>
      </c>
      <c r="F12">
        <f t="shared" si="4"/>
        <v>5</v>
      </c>
      <c r="G12" s="153">
        <f t="shared" si="5"/>
        <v>158.79999995300003</v>
      </c>
      <c r="L12" s="91">
        <f>INDEX(Starter!A:A,ROW()-1)</f>
        <v>38893</v>
      </c>
      <c r="M12">
        <f>INDEX(SchnittGes3!M:M,MATCH(L12,SchnittGes3!L:L,0))+INDEX(Schnitt4!M:M,MATCH(L12,Schnitt4!L:L,0))</f>
        <v>727</v>
      </c>
      <c r="N12">
        <f>INDEX(SchnittGes3!N:N,MATCH(L12,SchnittGes3!L:L,0))+INDEX(Schnitt4!N:N,MATCH(L12,Schnitt4!L:L,0))</f>
        <v>8</v>
      </c>
      <c r="O12">
        <f t="shared" si="0"/>
        <v>90.874999987999999</v>
      </c>
      <c r="P12">
        <f t="shared" si="1"/>
        <v>39</v>
      </c>
    </row>
    <row r="13" spans="1:16">
      <c r="A13">
        <f t="shared" si="6"/>
        <v>9</v>
      </c>
      <c r="B13">
        <f t="shared" si="2"/>
        <v>38795</v>
      </c>
      <c r="C13" t="str">
        <f>IFERROR(INDEX(Starter!B:B,MATCH(B13,Starter!A:A,0)),"")</f>
        <v>Catalano, Leandro</v>
      </c>
      <c r="D13" t="str">
        <f>IFERROR(INDEX(Starter!C:C,MATCH(B13,Starter!A:A,0)),"")</f>
        <v>Bowling Jugend Bayern</v>
      </c>
      <c r="E13" s="78">
        <f t="shared" si="3"/>
        <v>778</v>
      </c>
      <c r="F13">
        <f t="shared" si="4"/>
        <v>5</v>
      </c>
      <c r="G13" s="153">
        <f t="shared" si="5"/>
        <v>155.599999962</v>
      </c>
      <c r="L13" s="91">
        <f>INDEX(Starter!A:A,ROW()-1)</f>
        <v>38760</v>
      </c>
      <c r="M13">
        <f>INDEX(SchnittGes3!M:M,MATCH(L13,SchnittGes3!L:L,0))+INDEX(Schnitt4!M:M,MATCH(L13,Schnitt4!L:L,0))</f>
        <v>2544</v>
      </c>
      <c r="N13">
        <f>INDEX(SchnittGes3!N:N,MATCH(L13,SchnittGes3!L:L,0))+INDEX(Schnitt4!N:N,MATCH(L13,Schnitt4!L:L,0))</f>
        <v>18</v>
      </c>
      <c r="O13">
        <f t="shared" si="0"/>
        <v>141.33333332033334</v>
      </c>
      <c r="P13">
        <f t="shared" si="1"/>
        <v>18</v>
      </c>
    </row>
    <row r="14" spans="1:16">
      <c r="A14">
        <f t="shared" si="6"/>
        <v>10</v>
      </c>
      <c r="B14">
        <f t="shared" si="2"/>
        <v>38781</v>
      </c>
      <c r="C14" t="str">
        <f>IFERROR(INDEX(Starter!B:B,MATCH(B14,Starter!A:A,0)),"")</f>
        <v>Reichenauer, Leon</v>
      </c>
      <c r="D14" t="str">
        <f>IFERROR(INDEX(Starter!C:C,MATCH(B14,Starter!A:A,0)),"")</f>
        <v>Bowling Jugend Bayern</v>
      </c>
      <c r="E14" s="78">
        <f t="shared" si="3"/>
        <v>1703</v>
      </c>
      <c r="F14">
        <f t="shared" si="4"/>
        <v>11</v>
      </c>
      <c r="G14" s="153">
        <f t="shared" si="5"/>
        <v>154.8181817761818</v>
      </c>
      <c r="L14" s="91">
        <f>INDEX(Starter!A:A,ROW()-1)</f>
        <v>38759</v>
      </c>
      <c r="M14">
        <f>INDEX(SchnittGes3!M:M,MATCH(L14,SchnittGes3!L:L,0))+INDEX(Schnitt4!M:M,MATCH(L14,Schnitt4!L:L,0))</f>
        <v>2706</v>
      </c>
      <c r="N14">
        <f>INDEX(SchnittGes3!N:N,MATCH(L14,SchnittGes3!L:L,0))+INDEX(Schnitt4!N:N,MATCH(L14,Schnitt4!L:L,0))</f>
        <v>18</v>
      </c>
      <c r="O14">
        <f t="shared" si="0"/>
        <v>150.33333331933335</v>
      </c>
      <c r="P14">
        <f t="shared" si="1"/>
        <v>12</v>
      </c>
    </row>
    <row r="15" spans="1:16">
      <c r="A15">
        <f t="shared" si="6"/>
        <v>11</v>
      </c>
      <c r="B15">
        <f t="shared" si="2"/>
        <v>38942</v>
      </c>
      <c r="C15" t="str">
        <f>IFERROR(INDEX(Starter!B:B,MATCH(B15,Starter!A:A,0)),"")</f>
        <v>Klettenheimer, Julius</v>
      </c>
      <c r="D15" t="str">
        <f>IFERROR(INDEX(Starter!C:C,MATCH(B15,Starter!A:A,0)),"")</f>
        <v>Bowling Jugend Bayern</v>
      </c>
      <c r="E15" s="78">
        <f t="shared" si="3"/>
        <v>1853</v>
      </c>
      <c r="F15">
        <f t="shared" si="4"/>
        <v>12</v>
      </c>
      <c r="G15" s="153">
        <f t="shared" si="5"/>
        <v>154.41666662266667</v>
      </c>
      <c r="L15" s="91">
        <f>INDEX(Starter!A:A,ROW()-1)</f>
        <v>38831</v>
      </c>
      <c r="M15">
        <f>INDEX(SchnittGes3!M:M,MATCH(L15,SchnittGes3!L:L,0))+INDEX(Schnitt4!M:M,MATCH(L15,Schnitt4!L:L,0))</f>
        <v>589</v>
      </c>
      <c r="N15">
        <f>INDEX(SchnittGes3!N:N,MATCH(L15,SchnittGes3!L:L,0))+INDEX(Schnitt4!N:N,MATCH(L15,Schnitt4!L:L,0))</f>
        <v>6</v>
      </c>
      <c r="O15">
        <f t="shared" si="0"/>
        <v>98.166666651666674</v>
      </c>
      <c r="P15">
        <f t="shared" si="1"/>
        <v>34</v>
      </c>
    </row>
    <row r="16" spans="1:16">
      <c r="A16">
        <f t="shared" si="6"/>
        <v>12</v>
      </c>
      <c r="B16">
        <f t="shared" si="2"/>
        <v>38759</v>
      </c>
      <c r="C16" t="str">
        <f>IFERROR(INDEX(Starter!B:B,MATCH(B16,Starter!A:A,0)),"")</f>
        <v>Stölzel, Celia</v>
      </c>
      <c r="D16" t="str">
        <f>IFERROR(INDEX(Starter!C:C,MATCH(B16,Starter!A:A,0)),"")</f>
        <v>BSC Highroller Rosenheim</v>
      </c>
      <c r="E16" s="78">
        <f t="shared" si="3"/>
        <v>2706</v>
      </c>
      <c r="F16">
        <f t="shared" si="4"/>
        <v>18</v>
      </c>
      <c r="G16" s="153">
        <f t="shared" si="5"/>
        <v>150.33333331933335</v>
      </c>
      <c r="L16" s="91">
        <f>INDEX(Starter!A:A,ROW()-1)</f>
        <v>38773</v>
      </c>
      <c r="M16">
        <f>INDEX(SchnittGes3!M:M,MATCH(L16,SchnittGes3!L:L,0))+INDEX(Schnitt4!M:M,MATCH(L16,Schnitt4!L:L,0))</f>
        <v>2623</v>
      </c>
      <c r="N16">
        <f>INDEX(SchnittGes3!N:N,MATCH(L16,SchnittGes3!L:L,0))+INDEX(Schnitt4!N:N,MATCH(L16,Schnitt4!L:L,0))</f>
        <v>18</v>
      </c>
      <c r="O16">
        <f t="shared" si="0"/>
        <v>145.72222220622223</v>
      </c>
      <c r="P16">
        <f t="shared" si="1"/>
        <v>16</v>
      </c>
    </row>
    <row r="17" spans="1:16">
      <c r="A17">
        <f t="shared" si="6"/>
        <v>13</v>
      </c>
      <c r="B17">
        <f t="shared" si="2"/>
        <v>38706</v>
      </c>
      <c r="C17" t="str">
        <f>IFERROR(INDEX(Starter!B:B,MATCH(B17,Starter!A:A,0)),"")</f>
        <v>Böhm, Eric-Pascal</v>
      </c>
      <c r="D17" t="str">
        <f>IFERROR(INDEX(Starter!C:C,MATCH(B17,Starter!A:A,0)),"")</f>
        <v>BC EMAX</v>
      </c>
      <c r="E17" s="78">
        <f t="shared" si="3"/>
        <v>1340</v>
      </c>
      <c r="F17">
        <f t="shared" si="4"/>
        <v>9</v>
      </c>
      <c r="G17" s="153">
        <f t="shared" si="5"/>
        <v>148.8888888848889</v>
      </c>
      <c r="L17" s="91">
        <f>INDEX(Starter!A:A,ROW()-1)</f>
        <v>38809</v>
      </c>
      <c r="M17">
        <f>INDEX(SchnittGes3!M:M,MATCH(L17,SchnittGes3!L:L,0))+INDEX(Schnitt4!M:M,MATCH(L17,Schnitt4!L:L,0))</f>
        <v>485</v>
      </c>
      <c r="N17">
        <f>INDEX(SchnittGes3!N:N,MATCH(L17,SchnittGes3!L:L,0))+INDEX(Schnitt4!N:N,MATCH(L17,Schnitt4!L:L,0))</f>
        <v>3</v>
      </c>
      <c r="O17">
        <f t="shared" si="0"/>
        <v>161.66666664966667</v>
      </c>
      <c r="P17">
        <f t="shared" si="1"/>
        <v>7</v>
      </c>
    </row>
    <row r="18" spans="1:16">
      <c r="A18">
        <f t="shared" si="6"/>
        <v>14</v>
      </c>
      <c r="B18">
        <f t="shared" si="2"/>
        <v>38714</v>
      </c>
      <c r="C18" t="str">
        <f>IFERROR(INDEX(Starter!B:B,MATCH(B18,Starter!A:A,0)),"")</f>
        <v>Wieser, Lukas</v>
      </c>
      <c r="D18" t="str">
        <f>IFERROR(INDEX(Starter!C:C,MATCH(B18,Starter!A:A,0)),"")</f>
        <v>BC Berchtesgaden</v>
      </c>
      <c r="E18" s="78">
        <f t="shared" si="3"/>
        <v>1924</v>
      </c>
      <c r="F18">
        <f t="shared" si="4"/>
        <v>13</v>
      </c>
      <c r="G18" s="153">
        <f t="shared" si="5"/>
        <v>147.99999997099999</v>
      </c>
      <c r="L18" s="91">
        <f>INDEX(Starter!A:A,ROW()-1)</f>
        <v>38923</v>
      </c>
      <c r="M18">
        <f>INDEX(SchnittGes3!M:M,MATCH(L18,SchnittGes3!L:L,0))+INDEX(Schnitt4!M:M,MATCH(L18,Schnitt4!L:L,0))</f>
        <v>1242</v>
      </c>
      <c r="N18">
        <f>INDEX(SchnittGes3!N:N,MATCH(L18,SchnittGes3!L:L,0))+INDEX(Schnitt4!N:N,MATCH(L18,Schnitt4!L:L,0))</f>
        <v>11</v>
      </c>
      <c r="O18">
        <f t="shared" si="0"/>
        <v>112.90909089109091</v>
      </c>
      <c r="P18">
        <f t="shared" si="1"/>
        <v>31</v>
      </c>
    </row>
    <row r="19" spans="1:16">
      <c r="A19">
        <f t="shared" si="6"/>
        <v>15</v>
      </c>
      <c r="B19">
        <f t="shared" si="2"/>
        <v>38772</v>
      </c>
      <c r="C19" t="str">
        <f>IFERROR(INDEX(Starter!B:B,MATCH(B19,Starter!A:A,0)),"")</f>
        <v>Sturm, Sebastian</v>
      </c>
      <c r="D19" t="str">
        <f>IFERROR(INDEX(Starter!C:C,MATCH(B19,Starter!A:A,0)),"")</f>
        <v>Absolut-Sports.com</v>
      </c>
      <c r="E19" s="78">
        <f t="shared" si="3"/>
        <v>1465</v>
      </c>
      <c r="F19">
        <f t="shared" si="4"/>
        <v>10</v>
      </c>
      <c r="G19" s="153">
        <f t="shared" si="5"/>
        <v>146.499999989</v>
      </c>
      <c r="L19" s="91">
        <f>INDEX(Starter!A:A,ROW()-1)</f>
        <v>38920</v>
      </c>
      <c r="M19">
        <f>INDEX(SchnittGes3!M:M,MATCH(L19,SchnittGes3!L:L,0))+INDEX(Schnitt4!M:M,MATCH(L19,Schnitt4!L:L,0))</f>
        <v>1558</v>
      </c>
      <c r="N19">
        <f>INDEX(SchnittGes3!N:N,MATCH(L19,SchnittGes3!L:L,0))+INDEX(Schnitt4!N:N,MATCH(L19,Schnitt4!L:L,0))</f>
        <v>16</v>
      </c>
      <c r="O19">
        <f t="shared" si="0"/>
        <v>97.374999981000002</v>
      </c>
      <c r="P19">
        <f t="shared" si="1"/>
        <v>35</v>
      </c>
    </row>
    <row r="20" spans="1:16">
      <c r="A20">
        <f t="shared" si="6"/>
        <v>16</v>
      </c>
      <c r="B20">
        <f t="shared" si="2"/>
        <v>38773</v>
      </c>
      <c r="C20" t="str">
        <f>IFERROR(INDEX(Starter!B:B,MATCH(B20,Starter!A:A,0)),"")</f>
        <v>Weiss, Luisa Samira</v>
      </c>
      <c r="D20" t="str">
        <f>IFERROR(INDEX(Starter!C:C,MATCH(B20,Starter!A:A,0)),"")</f>
        <v>BSC Highroller Rosenheim</v>
      </c>
      <c r="E20" s="78">
        <f t="shared" si="3"/>
        <v>2623</v>
      </c>
      <c r="F20">
        <f t="shared" si="4"/>
        <v>18</v>
      </c>
      <c r="G20" s="153">
        <f t="shared" si="5"/>
        <v>145.72222220622223</v>
      </c>
      <c r="L20" s="91">
        <f>INDEX(Starter!A:A,ROW()-1)</f>
        <v>38921</v>
      </c>
      <c r="M20">
        <f>INDEX(SchnittGes3!M:M,MATCH(L20,SchnittGes3!L:L,0))+INDEX(Schnitt4!M:M,MATCH(L20,Schnitt4!L:L,0))</f>
        <v>1109</v>
      </c>
      <c r="N20">
        <f>INDEX(SchnittGes3!N:N,MATCH(L20,SchnittGes3!L:L,0))+INDEX(Schnitt4!N:N,MATCH(L20,Schnitt4!L:L,0))</f>
        <v>15</v>
      </c>
      <c r="O20">
        <f t="shared" si="0"/>
        <v>73.933333313333335</v>
      </c>
      <c r="P20">
        <f t="shared" si="1"/>
        <v>41</v>
      </c>
    </row>
    <row r="21" spans="1:16">
      <c r="A21">
        <f t="shared" si="6"/>
        <v>17</v>
      </c>
      <c r="B21">
        <f t="shared" si="2"/>
        <v>38894</v>
      </c>
      <c r="C21" t="str">
        <f>IFERROR(INDEX(Starter!B:B,MATCH(B21,Starter!A:A,0)),"")</f>
        <v>Prieß, Marc</v>
      </c>
      <c r="D21" t="str">
        <f>IFERROR(INDEX(Starter!C:C,MATCH(B21,Starter!A:A,0)),"")</f>
        <v>Bowling Jugend Bayern</v>
      </c>
      <c r="E21" s="78">
        <f t="shared" si="3"/>
        <v>713</v>
      </c>
      <c r="F21">
        <f t="shared" si="4"/>
        <v>5</v>
      </c>
      <c r="G21" s="153">
        <f t="shared" si="5"/>
        <v>142.59999995999999</v>
      </c>
      <c r="L21" s="91">
        <f>INDEX(Starter!A:A,ROW()-1)</f>
        <v>38922</v>
      </c>
      <c r="M21">
        <f>INDEX(SchnittGes3!M:M,MATCH(L21,SchnittGes3!L:L,0))+INDEX(Schnitt4!M:M,MATCH(L21,Schnitt4!L:L,0))</f>
        <v>1391</v>
      </c>
      <c r="N21">
        <f>INDEX(SchnittGes3!N:N,MATCH(L21,SchnittGes3!L:L,0))+INDEX(Schnitt4!N:N,MATCH(L21,Schnitt4!L:L,0))</f>
        <v>15</v>
      </c>
      <c r="O21">
        <f t="shared" si="0"/>
        <v>92.733333312333329</v>
      </c>
      <c r="P21">
        <f t="shared" si="1"/>
        <v>38</v>
      </c>
    </row>
    <row r="22" spans="1:16">
      <c r="A22">
        <f t="shared" si="6"/>
        <v>18</v>
      </c>
      <c r="B22">
        <f t="shared" si="2"/>
        <v>38760</v>
      </c>
      <c r="C22" t="str">
        <f>IFERROR(INDEX(Starter!B:B,MATCH(B22,Starter!A:A,0)),"")</f>
        <v>Achhammer, Klara</v>
      </c>
      <c r="D22" t="str">
        <f>IFERROR(INDEX(Starter!C:C,MATCH(B22,Starter!A:A,0)),"")</f>
        <v>BSC Highroller Rosenheim</v>
      </c>
      <c r="E22" s="78">
        <f t="shared" si="3"/>
        <v>2544</v>
      </c>
      <c r="F22">
        <f t="shared" si="4"/>
        <v>18</v>
      </c>
      <c r="G22" s="153">
        <f t="shared" si="5"/>
        <v>141.33333332033334</v>
      </c>
      <c r="L22" s="91">
        <f>INDEX(Starter!A:A,ROW()-1)</f>
        <v>38808</v>
      </c>
      <c r="M22">
        <f>INDEX(SchnittGes3!M:M,MATCH(L22,SchnittGes3!L:L,0))+INDEX(Schnitt4!M:M,MATCH(L22,Schnitt4!L:L,0))</f>
        <v>1675</v>
      </c>
      <c r="N22">
        <f>INDEX(SchnittGes3!N:N,MATCH(L22,SchnittGes3!L:L,0))+INDEX(Schnitt4!N:N,MATCH(L22,Schnitt4!L:L,0))</f>
        <v>14</v>
      </c>
      <c r="O22">
        <f t="shared" si="0"/>
        <v>119.64285712085714</v>
      </c>
      <c r="P22">
        <f t="shared" si="1"/>
        <v>27</v>
      </c>
    </row>
    <row r="23" spans="1:16">
      <c r="A23">
        <f t="shared" si="6"/>
        <v>19</v>
      </c>
      <c r="B23">
        <f t="shared" si="2"/>
        <v>38937</v>
      </c>
      <c r="C23" t="str">
        <f>IFERROR(INDEX(Starter!B:B,MATCH(B23,Starter!A:A,0)),"")</f>
        <v>Ruppert, Raja</v>
      </c>
      <c r="D23" t="str">
        <f>IFERROR(INDEX(Starter!C:C,MATCH(B23,Starter!A:A,0)),"")</f>
        <v>LA Bowling</v>
      </c>
      <c r="E23" s="78">
        <f t="shared" si="3"/>
        <v>1223</v>
      </c>
      <c r="F23">
        <f t="shared" si="4"/>
        <v>9</v>
      </c>
      <c r="G23" s="153">
        <f t="shared" si="5"/>
        <v>135.88888885588889</v>
      </c>
      <c r="L23" s="91">
        <f>INDEX(Starter!A:A,ROW()-1)</f>
        <v>38810</v>
      </c>
      <c r="M23">
        <f>INDEX(SchnittGes3!M:M,MATCH(L23,SchnittGes3!L:L,0))+INDEX(Schnitt4!M:M,MATCH(L23,Schnitt4!L:L,0))</f>
        <v>1376</v>
      </c>
      <c r="N23">
        <f>INDEX(SchnittGes3!N:N,MATCH(L23,SchnittGes3!L:L,0))+INDEX(Schnitt4!N:N,MATCH(L23,Schnitt4!L:L,0))</f>
        <v>12</v>
      </c>
      <c r="O23">
        <f t="shared" si="0"/>
        <v>114.66666664366667</v>
      </c>
      <c r="P23">
        <f t="shared" si="1"/>
        <v>30</v>
      </c>
    </row>
    <row r="24" spans="1:16">
      <c r="A24">
        <f t="shared" si="6"/>
        <v>20</v>
      </c>
      <c r="B24">
        <f t="shared" si="2"/>
        <v>38843</v>
      </c>
      <c r="C24" t="str">
        <f>IFERROR(INDEX(Starter!B:B,MATCH(B24,Starter!A:A,0)),"")</f>
        <v>Lintner, Lena</v>
      </c>
      <c r="D24" t="str">
        <f>IFERROR(INDEX(Starter!C:C,MATCH(B24,Starter!A:A,0)),"")</f>
        <v>Absolut-Sports.com</v>
      </c>
      <c r="E24" s="78">
        <f t="shared" si="3"/>
        <v>783</v>
      </c>
      <c r="F24">
        <f t="shared" si="4"/>
        <v>6</v>
      </c>
      <c r="G24" s="153">
        <f t="shared" si="5"/>
        <v>130.49999999100001</v>
      </c>
      <c r="L24" s="91">
        <f>INDEX(Starter!A:A,ROW()-1)</f>
        <v>38848</v>
      </c>
      <c r="M24">
        <f>INDEX(SchnittGes3!M:M,MATCH(L24,SchnittGes3!L:L,0))+INDEX(Schnitt4!M:M,MATCH(L24,Schnitt4!L:L,0))</f>
        <v>1986</v>
      </c>
      <c r="N24">
        <f>INDEX(SchnittGes3!N:N,MATCH(L24,SchnittGes3!L:L,0))+INDEX(Schnitt4!N:N,MATCH(L24,Schnitt4!L:L,0))</f>
        <v>16</v>
      </c>
      <c r="O24">
        <f t="shared" si="0"/>
        <v>124.124999976</v>
      </c>
      <c r="P24">
        <f t="shared" si="1"/>
        <v>22</v>
      </c>
    </row>
    <row r="25" spans="1:16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1553</v>
      </c>
      <c r="F25">
        <f t="shared" si="4"/>
        <v>12</v>
      </c>
      <c r="G25" s="153">
        <f t="shared" si="5"/>
        <v>129.41666663666666</v>
      </c>
      <c r="L25" s="91">
        <f>INDEX(Starter!A:A,ROW()-1)</f>
        <v>38849</v>
      </c>
      <c r="M25">
        <f>INDEX(SchnittGes3!M:M,MATCH(L25,SchnittGes3!L:L,0))+INDEX(Schnitt4!M:M,MATCH(L25,Schnitt4!L:L,0))</f>
        <v>2010</v>
      </c>
      <c r="N25">
        <f>INDEX(SchnittGes3!N:N,MATCH(L25,SchnittGes3!L:L,0))+INDEX(Schnitt4!N:N,MATCH(L25,Schnitt4!L:L,0))</f>
        <v>18</v>
      </c>
      <c r="O25">
        <f t="shared" si="0"/>
        <v>111.66666664166667</v>
      </c>
      <c r="P25">
        <f t="shared" si="1"/>
        <v>33</v>
      </c>
    </row>
    <row r="26" spans="1:16">
      <c r="A26">
        <f t="shared" si="6"/>
        <v>22</v>
      </c>
      <c r="B26">
        <f t="shared" si="2"/>
        <v>38848</v>
      </c>
      <c r="C26" t="str">
        <f>IFERROR(INDEX(Starter!B:B,MATCH(B26,Starter!A:A,0)),"")</f>
        <v>Marker, Anna</v>
      </c>
      <c r="D26" t="str">
        <f>IFERROR(INDEX(Starter!C:C,MATCH(B26,Starter!A:A,0)),"")</f>
        <v>BSC Highroller Rosenheim</v>
      </c>
      <c r="E26" s="78">
        <f t="shared" si="3"/>
        <v>1986</v>
      </c>
      <c r="F26">
        <f t="shared" si="4"/>
        <v>16</v>
      </c>
      <c r="G26" s="153">
        <f t="shared" si="5"/>
        <v>124.124999976</v>
      </c>
      <c r="L26" s="91">
        <f>INDEX(Starter!A:A,ROW()-1)</f>
        <v>38925</v>
      </c>
      <c r="M26">
        <f>INDEX(SchnittGes3!M:M,MATCH(L26,SchnittGes3!L:L,0))+INDEX(Schnitt4!M:M,MATCH(L26,Schnitt4!L:L,0))</f>
        <v>0</v>
      </c>
      <c r="N26">
        <f>INDEX(SchnittGes3!N:N,MATCH(L26,SchnittGes3!L:L,0))+INDEX(Schnitt4!N:N,MATCH(L26,Schnitt4!L:L,0))</f>
        <v>0</v>
      </c>
      <c r="O26">
        <f t="shared" si="0"/>
        <v>0</v>
      </c>
      <c r="P26">
        <f t="shared" si="1"/>
        <v>42</v>
      </c>
    </row>
    <row r="27" spans="1:16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742</v>
      </c>
      <c r="F27">
        <f t="shared" si="4"/>
        <v>6</v>
      </c>
      <c r="G27" s="153">
        <f t="shared" si="5"/>
        <v>123.66666662366667</v>
      </c>
      <c r="L27" s="91">
        <f>INDEX(Starter!A:A,ROW()-1)</f>
        <v>38924</v>
      </c>
      <c r="M27">
        <f>INDEX(SchnittGes3!M:M,MATCH(L27,SchnittGes3!L:L,0))+INDEX(Schnitt4!M:M,MATCH(L27,Schnitt4!L:L,0))</f>
        <v>0</v>
      </c>
      <c r="N27">
        <f>INDEX(SchnittGes3!N:N,MATCH(L27,SchnittGes3!L:L,0))+INDEX(Schnitt4!N:N,MATCH(L27,Schnitt4!L:L,0))</f>
        <v>0</v>
      </c>
      <c r="O27">
        <f t="shared" si="0"/>
        <v>0</v>
      </c>
      <c r="P27">
        <f t="shared" si="1"/>
        <v>42</v>
      </c>
    </row>
    <row r="28" spans="1:16">
      <c r="A28">
        <f t="shared" si="6"/>
        <v>24</v>
      </c>
      <c r="B28">
        <f t="shared" si="2"/>
        <v>38910</v>
      </c>
      <c r="C28" t="str">
        <f>IFERROR(INDEX(Starter!B:B,MATCH(B28,Starter!A:A,0)),"")</f>
        <v>Heiming, Thalea</v>
      </c>
      <c r="D28" t="str">
        <f>IFERROR(INDEX(Starter!C:C,MATCH(B28,Starter!A:A,0)),"")</f>
        <v>BC EMAX</v>
      </c>
      <c r="E28" s="78">
        <f t="shared" si="3"/>
        <v>1330</v>
      </c>
      <c r="F28">
        <f t="shared" si="4"/>
        <v>11</v>
      </c>
      <c r="G28" s="153">
        <f t="shared" si="5"/>
        <v>120.90909090309091</v>
      </c>
      <c r="L28" s="91">
        <f>INDEX(Starter!A:A,ROW()-1)</f>
        <v>38865</v>
      </c>
      <c r="M28">
        <f>INDEX(SchnittGes3!M:M,MATCH(L28,SchnittGes3!L:L,0))+INDEX(Schnitt4!M:M,MATCH(L28,Schnitt4!L:L,0))</f>
        <v>1562</v>
      </c>
      <c r="N28">
        <f>INDEX(SchnittGes3!N:N,MATCH(L28,SchnittGes3!L:L,0))+INDEX(Schnitt4!N:N,MATCH(L28,Schnitt4!L:L,0))</f>
        <v>13</v>
      </c>
      <c r="O28">
        <f t="shared" si="0"/>
        <v>120.15384612584616</v>
      </c>
      <c r="P28">
        <f t="shared" si="1"/>
        <v>26</v>
      </c>
    </row>
    <row r="29" spans="1:16">
      <c r="A29">
        <f t="shared" si="6"/>
        <v>25</v>
      </c>
      <c r="B29">
        <f t="shared" si="2"/>
        <v>38904</v>
      </c>
      <c r="C29" t="str">
        <f>IFERROR(INDEX(Starter!B:B,MATCH(B29,Starter!A:A,0)),"")</f>
        <v>Vogt, Leonard</v>
      </c>
      <c r="D29" t="str">
        <f>IFERROR(INDEX(Starter!C:C,MATCH(B29,Starter!A:A,0)),"")</f>
        <v>BC EMAX</v>
      </c>
      <c r="E29" s="78">
        <f t="shared" si="3"/>
        <v>1923</v>
      </c>
      <c r="F29">
        <f t="shared" si="4"/>
        <v>16</v>
      </c>
      <c r="G29" s="153">
        <f t="shared" si="5"/>
        <v>120.187499995</v>
      </c>
      <c r="L29" s="91">
        <f>INDEX(Starter!A:A,ROW()-1)</f>
        <v>38714</v>
      </c>
      <c r="M29">
        <f>INDEX(SchnittGes3!M:M,MATCH(L29,SchnittGes3!L:L,0))+INDEX(Schnitt4!M:M,MATCH(L29,Schnitt4!L:L,0))</f>
        <v>1924</v>
      </c>
      <c r="N29">
        <f>INDEX(SchnittGes3!N:N,MATCH(L29,SchnittGes3!L:L,0))+INDEX(Schnitt4!N:N,MATCH(L29,Schnitt4!L:L,0))</f>
        <v>13</v>
      </c>
      <c r="O29">
        <f t="shared" si="0"/>
        <v>147.99999997099999</v>
      </c>
      <c r="P29">
        <f t="shared" si="1"/>
        <v>14</v>
      </c>
    </row>
    <row r="30" spans="1:16">
      <c r="A30">
        <f t="shared" si="6"/>
        <v>26</v>
      </c>
      <c r="B30">
        <f t="shared" si="2"/>
        <v>38865</v>
      </c>
      <c r="C30" t="str">
        <f>IFERROR(INDEX(Starter!B:B,MATCH(B30,Starter!A:A,0)),"")</f>
        <v>Labs, Leon</v>
      </c>
      <c r="D30" t="str">
        <f>IFERROR(INDEX(Starter!C:C,MATCH(B30,Starter!A:A,0)),"")</f>
        <v>BC Berchtesgaden</v>
      </c>
      <c r="E30" s="78">
        <f t="shared" si="3"/>
        <v>1562</v>
      </c>
      <c r="F30">
        <f t="shared" si="4"/>
        <v>13</v>
      </c>
      <c r="G30" s="153">
        <f t="shared" si="5"/>
        <v>120.15384612584616</v>
      </c>
      <c r="L30" s="91">
        <f>INDEX(Starter!A:A,ROW()-1)</f>
        <v>38819</v>
      </c>
      <c r="M30">
        <f>INDEX(SchnittGes3!M:M,MATCH(L30,SchnittGes3!L:L,0))+INDEX(Schnitt4!M:M,MATCH(L30,Schnitt4!L:L,0))</f>
        <v>1553</v>
      </c>
      <c r="N30">
        <f>INDEX(SchnittGes3!N:N,MATCH(L30,SchnittGes3!L:L,0))+INDEX(Schnitt4!N:N,MATCH(L30,Schnitt4!L:L,0))</f>
        <v>12</v>
      </c>
      <c r="O30">
        <f t="shared" si="0"/>
        <v>129.41666663666666</v>
      </c>
      <c r="P30">
        <f t="shared" si="1"/>
        <v>21</v>
      </c>
    </row>
    <row r="31" spans="1:16">
      <c r="A31">
        <f t="shared" si="6"/>
        <v>27</v>
      </c>
      <c r="B31">
        <f t="shared" si="2"/>
        <v>38808</v>
      </c>
      <c r="C31" t="str">
        <f>IFERROR(INDEX(Starter!B:B,MATCH(B31,Starter!A:A,0)),"")</f>
        <v>Reinhold, Moritz</v>
      </c>
      <c r="D31" t="str">
        <f>IFERROR(INDEX(Starter!C:C,MATCH(B31,Starter!A:A,0)),"")</f>
        <v>BSC Highroller Rosenheim</v>
      </c>
      <c r="E31" s="78">
        <f t="shared" si="3"/>
        <v>1675</v>
      </c>
      <c r="F31">
        <f t="shared" si="4"/>
        <v>14</v>
      </c>
      <c r="G31" s="153">
        <f t="shared" si="5"/>
        <v>119.64285712085714</v>
      </c>
      <c r="L31" s="91">
        <f>INDEX(Starter!A:A,ROW()-1)</f>
        <v>38817</v>
      </c>
      <c r="M31">
        <f>INDEX(SchnittGes3!M:M,MATCH(L31,SchnittGes3!L:L,0))+INDEX(Schnitt4!M:M,MATCH(L31,Schnitt4!L:L,0))</f>
        <v>0</v>
      </c>
      <c r="N31">
        <f>INDEX(SchnittGes3!N:N,MATCH(L31,SchnittGes3!L:L,0))+INDEX(Schnitt4!N:N,MATCH(L31,Schnitt4!L:L,0))</f>
        <v>0</v>
      </c>
      <c r="O31">
        <f t="shared" si="0"/>
        <v>0</v>
      </c>
      <c r="P31">
        <f t="shared" si="1"/>
        <v>42</v>
      </c>
    </row>
    <row r="32" spans="1:16">
      <c r="A32">
        <f t="shared" si="6"/>
        <v>28</v>
      </c>
      <c r="B32">
        <f t="shared" si="2"/>
        <v>38915</v>
      </c>
      <c r="C32" t="str">
        <f>IFERROR(INDEX(Starter!B:B,MATCH(B32,Starter!A:A,0)),"")</f>
        <v>Raj, Milan</v>
      </c>
      <c r="D32" t="str">
        <f>IFERROR(INDEX(Starter!C:C,MATCH(B32,Starter!A:A,0)),"")</f>
        <v>Bowling Jugend Bayern</v>
      </c>
      <c r="E32" s="78">
        <f t="shared" si="3"/>
        <v>827</v>
      </c>
      <c r="F32">
        <f t="shared" si="4"/>
        <v>7</v>
      </c>
      <c r="G32" s="153">
        <f t="shared" si="5"/>
        <v>118.14285710185713</v>
      </c>
      <c r="L32" s="91">
        <f>INDEX(Starter!A:A,ROW()-1)</f>
        <v>38905</v>
      </c>
      <c r="M32">
        <f>INDEX(SchnittGes3!M:M,MATCH(L32,SchnittGes3!L:L,0))+INDEX(Schnitt4!M:M,MATCH(L32,Schnitt4!L:L,0))</f>
        <v>971</v>
      </c>
      <c r="N32">
        <f>INDEX(SchnittGes3!N:N,MATCH(L32,SchnittGes3!L:L,0))+INDEX(Schnitt4!N:N,MATCH(L32,Schnitt4!L:L,0))</f>
        <v>13</v>
      </c>
      <c r="O32">
        <f t="shared" si="0"/>
        <v>74.692307660307691</v>
      </c>
      <c r="P32">
        <f t="shared" si="1"/>
        <v>40</v>
      </c>
    </row>
    <row r="33" spans="1:16">
      <c r="A33">
        <f t="shared" si="6"/>
        <v>29</v>
      </c>
      <c r="B33">
        <f t="shared" si="2"/>
        <v>38927</v>
      </c>
      <c r="C33" t="str">
        <f>IFERROR(INDEX(Starter!B:B,MATCH(B33,Starter!A:A,0)),"")</f>
        <v>Bonnaire, Ben</v>
      </c>
      <c r="D33" t="str">
        <f>IFERROR(INDEX(Starter!C:C,MATCH(B33,Starter!A:A,0)),"")</f>
        <v>Bowling Jugend Bayern</v>
      </c>
      <c r="E33" s="78">
        <f t="shared" si="3"/>
        <v>1645</v>
      </c>
      <c r="F33">
        <f t="shared" si="4"/>
        <v>14</v>
      </c>
      <c r="G33" s="153">
        <f t="shared" si="5"/>
        <v>117.49999996299999</v>
      </c>
      <c r="L33" s="91">
        <f>INDEX(Starter!A:A,ROW()-1)</f>
        <v>38937</v>
      </c>
      <c r="M33">
        <f>INDEX(SchnittGes3!M:M,MATCH(L33,SchnittGes3!L:L,0))+INDEX(Schnitt4!M:M,MATCH(L33,Schnitt4!L:L,0))</f>
        <v>1223</v>
      </c>
      <c r="N33">
        <f>INDEX(SchnittGes3!N:N,MATCH(L33,SchnittGes3!L:L,0))+INDEX(Schnitt4!N:N,MATCH(L33,Schnitt4!L:L,0))</f>
        <v>9</v>
      </c>
      <c r="O33">
        <f t="shared" si="0"/>
        <v>135.88888885588889</v>
      </c>
      <c r="P33">
        <f t="shared" si="1"/>
        <v>19</v>
      </c>
    </row>
    <row r="34" spans="1:16">
      <c r="A34">
        <f t="shared" si="6"/>
        <v>30</v>
      </c>
      <c r="B34">
        <f t="shared" si="2"/>
        <v>38810</v>
      </c>
      <c r="C34" t="str">
        <f>IFERROR(INDEX(Starter!B:B,MATCH(B34,Starter!A:A,0)),"")</f>
        <v>Vokshi, Finn</v>
      </c>
      <c r="D34" t="str">
        <f>IFERROR(INDEX(Starter!C:C,MATCH(B34,Starter!A:A,0)),"")</f>
        <v>BSC Highroller Rosenheim</v>
      </c>
      <c r="E34" s="78">
        <f t="shared" si="3"/>
        <v>1376</v>
      </c>
      <c r="F34">
        <f t="shared" si="4"/>
        <v>12</v>
      </c>
      <c r="G34" s="153">
        <f t="shared" si="5"/>
        <v>114.66666664366667</v>
      </c>
      <c r="L34" s="91">
        <f>INDEX(Starter!A:A,ROW()-1)</f>
        <v>38655</v>
      </c>
      <c r="M34">
        <f>INDEX(SchnittGes3!M:M,MATCH(L34,SchnittGes3!L:L,0))+INDEX(Schnitt4!M:M,MATCH(L34,Schnitt4!L:L,0))</f>
        <v>1940</v>
      </c>
      <c r="N34">
        <f>INDEX(SchnittGes3!N:N,MATCH(L34,SchnittGes3!L:L,0))+INDEX(Schnitt4!N:N,MATCH(L34,Schnitt4!L:L,0))</f>
        <v>10</v>
      </c>
      <c r="O34">
        <f t="shared" si="0"/>
        <v>193.99999996599999</v>
      </c>
      <c r="P34">
        <f t="shared" si="1"/>
        <v>2</v>
      </c>
    </row>
    <row r="35" spans="1:16">
      <c r="A35">
        <f t="shared" si="6"/>
        <v>31</v>
      </c>
      <c r="B35">
        <f t="shared" si="2"/>
        <v>38923</v>
      </c>
      <c r="C35" t="str">
        <f>IFERROR(INDEX(Starter!B:B,MATCH(B35,Starter!A:A,0)),"")</f>
        <v>Weinrich, Lena</v>
      </c>
      <c r="D35" t="str">
        <f>IFERROR(INDEX(Starter!C:C,MATCH(B35,Starter!A:A,0)),"")</f>
        <v>BSC Highroller Rosenheim</v>
      </c>
      <c r="E35" s="78">
        <f t="shared" si="3"/>
        <v>1242</v>
      </c>
      <c r="F35">
        <f t="shared" si="4"/>
        <v>11</v>
      </c>
      <c r="G35" s="153">
        <f t="shared" si="5"/>
        <v>112.90909089109091</v>
      </c>
      <c r="L35" s="91">
        <f>INDEX(Starter!A:A,ROW()-1)</f>
        <v>38708</v>
      </c>
      <c r="M35">
        <f>INDEX(SchnittGes3!M:M,MATCH(L35,SchnittGes3!L:L,0))+INDEX(Schnitt4!M:M,MATCH(L35,Schnitt4!L:L,0))</f>
        <v>3877</v>
      </c>
      <c r="N35">
        <f>INDEX(SchnittGes3!N:N,MATCH(L35,SchnittGes3!L:L,0))+INDEX(Schnitt4!N:N,MATCH(L35,Schnitt4!L:L,0))</f>
        <v>20</v>
      </c>
      <c r="O35">
        <f t="shared" si="0"/>
        <v>193.84999996499999</v>
      </c>
      <c r="P35">
        <f t="shared" si="1"/>
        <v>3</v>
      </c>
    </row>
    <row r="36" spans="1:16">
      <c r="A36">
        <f t="shared" si="6"/>
        <v>32</v>
      </c>
      <c r="B36">
        <f t="shared" si="2"/>
        <v>38785</v>
      </c>
      <c r="C36" t="str">
        <f>IFERROR(INDEX(Starter!B:B,MATCH(B36,Starter!A:A,0)),"")</f>
        <v>Mrosek, Laura Maria</v>
      </c>
      <c r="D36" t="str">
        <f>IFERROR(INDEX(Starter!C:C,MATCH(B36,Starter!A:A,0)),"")</f>
        <v>BC EMAX</v>
      </c>
      <c r="E36" s="78">
        <f t="shared" si="3"/>
        <v>896</v>
      </c>
      <c r="F36">
        <f t="shared" si="4"/>
        <v>8</v>
      </c>
      <c r="G36" s="153">
        <f t="shared" si="5"/>
        <v>111.999999997</v>
      </c>
      <c r="L36" s="91">
        <f>INDEX(Starter!A:A,ROW()-1)</f>
        <v>38327</v>
      </c>
      <c r="M36">
        <f>INDEX(SchnittGes3!M:M,MATCH(L36,SchnittGes3!L:L,0))+INDEX(Schnitt4!M:M,MATCH(L36,Schnitt4!L:L,0))</f>
        <v>2875</v>
      </c>
      <c r="N36">
        <f>INDEX(SchnittGes3!N:N,MATCH(L36,SchnittGes3!L:L,0))+INDEX(Schnitt4!N:N,MATCH(L36,Schnitt4!L:L,0))</f>
        <v>15</v>
      </c>
      <c r="O36">
        <f t="shared" si="0"/>
        <v>191.66666663066667</v>
      </c>
      <c r="P36">
        <f t="shared" si="1"/>
        <v>4</v>
      </c>
    </row>
    <row r="37" spans="1:16">
      <c r="A37">
        <f t="shared" si="6"/>
        <v>33</v>
      </c>
      <c r="B37">
        <f t="shared" si="2"/>
        <v>38849</v>
      </c>
      <c r="C37" t="str">
        <f>IFERROR(INDEX(Starter!B:B,MATCH(B37,Starter!A:A,0)),"")</f>
        <v>Marker, Lena</v>
      </c>
      <c r="D37" t="str">
        <f>IFERROR(INDEX(Starter!C:C,MATCH(B37,Starter!A:A,0)),"")</f>
        <v>BSC Highroller Rosenheim</v>
      </c>
      <c r="E37" s="78">
        <f t="shared" si="3"/>
        <v>2010</v>
      </c>
      <c r="F37">
        <f t="shared" si="4"/>
        <v>18</v>
      </c>
      <c r="G37" s="153">
        <f t="shared" si="5"/>
        <v>111.66666664166667</v>
      </c>
      <c r="L37" s="91">
        <f>INDEX(Starter!A:A,ROW()-1)</f>
        <v>38927</v>
      </c>
      <c r="M37">
        <f>INDEX(SchnittGes3!M:M,MATCH(L37,SchnittGes3!L:L,0))+INDEX(Schnitt4!M:M,MATCH(L37,Schnitt4!L:L,0))</f>
        <v>1645</v>
      </c>
      <c r="N37">
        <f>INDEX(SchnittGes3!N:N,MATCH(L37,SchnittGes3!L:L,0))+INDEX(Schnitt4!N:N,MATCH(L37,Schnitt4!L:L,0))</f>
        <v>14</v>
      </c>
      <c r="O37">
        <f t="shared" si="0"/>
        <v>117.49999996299999</v>
      </c>
      <c r="P37">
        <f t="shared" si="1"/>
        <v>29</v>
      </c>
    </row>
    <row r="38" spans="1:16">
      <c r="A38">
        <f t="shared" si="6"/>
        <v>34</v>
      </c>
      <c r="B38">
        <f t="shared" si="2"/>
        <v>38831</v>
      </c>
      <c r="C38" t="str">
        <f>IFERROR(INDEX(Starter!B:B,MATCH(B38,Starter!A:A,0)),"")</f>
        <v>Thiele, Isabelle</v>
      </c>
      <c r="D38" t="str">
        <f>IFERROR(INDEX(Starter!C:C,MATCH(B38,Starter!A:A,0)),"")</f>
        <v>BSC Highroller Rosenheim</v>
      </c>
      <c r="E38" s="78">
        <f t="shared" si="3"/>
        <v>589</v>
      </c>
      <c r="F38">
        <f t="shared" si="4"/>
        <v>6</v>
      </c>
      <c r="G38" s="153">
        <f t="shared" si="5"/>
        <v>98.166666651666674</v>
      </c>
      <c r="L38" s="91">
        <f>INDEX(Starter!A:A,ROW()-1)</f>
        <v>38795</v>
      </c>
      <c r="M38">
        <f>INDEX(SchnittGes3!M:M,MATCH(L38,SchnittGes3!L:L,0))+INDEX(Schnitt4!M:M,MATCH(L38,Schnitt4!L:L,0))</f>
        <v>778</v>
      </c>
      <c r="N38">
        <f>INDEX(SchnittGes3!N:N,MATCH(L38,SchnittGes3!L:L,0))+INDEX(Schnitt4!N:N,MATCH(L38,Schnitt4!L:L,0))</f>
        <v>5</v>
      </c>
      <c r="O38">
        <f t="shared" si="0"/>
        <v>155.599999962</v>
      </c>
      <c r="P38">
        <f t="shared" si="1"/>
        <v>9</v>
      </c>
    </row>
    <row r="39" spans="1:16">
      <c r="A39">
        <f t="shared" si="6"/>
        <v>35</v>
      </c>
      <c r="B39">
        <f t="shared" si="2"/>
        <v>38920</v>
      </c>
      <c r="C39" t="str">
        <f>IFERROR(INDEX(Starter!B:B,MATCH(B39,Starter!A:A,0)),"")</f>
        <v>Schwarzfischer, Leon</v>
      </c>
      <c r="D39" t="str">
        <f>IFERROR(INDEX(Starter!C:C,MATCH(B39,Starter!A:A,0)),"")</f>
        <v>BSC Highroller Rosenheim</v>
      </c>
      <c r="E39" s="78">
        <f t="shared" si="3"/>
        <v>1558</v>
      </c>
      <c r="F39">
        <f t="shared" si="4"/>
        <v>16</v>
      </c>
      <c r="G39" s="153">
        <f t="shared" si="5"/>
        <v>97.374999981000002</v>
      </c>
      <c r="L39" s="91">
        <f>INDEX(Starter!A:A,ROW()-1)</f>
        <v>38674</v>
      </c>
      <c r="M39">
        <f>INDEX(SchnittGes3!M:M,MATCH(L39,SchnittGes3!L:L,0))+INDEX(Schnitt4!M:M,MATCH(L39,Schnitt4!L:L,0))</f>
        <v>0</v>
      </c>
      <c r="N39">
        <f>INDEX(SchnittGes3!N:N,MATCH(L39,SchnittGes3!L:L,0))+INDEX(Schnitt4!N:N,MATCH(L39,Schnitt4!L:L,0))</f>
        <v>0</v>
      </c>
      <c r="O39">
        <f t="shared" si="0"/>
        <v>0</v>
      </c>
      <c r="P39">
        <f t="shared" si="1"/>
        <v>42</v>
      </c>
    </row>
    <row r="40" spans="1:16">
      <c r="A40">
        <f t="shared" si="6"/>
        <v>36</v>
      </c>
      <c r="B40">
        <f t="shared" si="2"/>
        <v>38890</v>
      </c>
      <c r="C40" t="str">
        <f>IFERROR(INDEX(Starter!B:B,MATCH(B40,Starter!A:A,0)),"")</f>
        <v>Hofer, Anja</v>
      </c>
      <c r="D40" t="str">
        <f>IFERROR(INDEX(Starter!C:C,MATCH(B40,Starter!A:A,0)),"")</f>
        <v>BC EMAX</v>
      </c>
      <c r="E40" s="78">
        <f t="shared" si="3"/>
        <v>1547</v>
      </c>
      <c r="F40">
        <f t="shared" si="4"/>
        <v>16</v>
      </c>
      <c r="G40" s="153">
        <f t="shared" si="5"/>
        <v>96.687499998000007</v>
      </c>
      <c r="L40" s="91">
        <f>INDEX(Starter!A:A,ROW()-1)</f>
        <v>38894</v>
      </c>
      <c r="M40">
        <f>INDEX(SchnittGes3!M:M,MATCH(L40,SchnittGes3!L:L,0))+INDEX(Schnitt4!M:M,MATCH(L40,Schnitt4!L:L,0))</f>
        <v>713</v>
      </c>
      <c r="N40">
        <f>INDEX(SchnittGes3!N:N,MATCH(L40,SchnittGes3!L:L,0))+INDEX(Schnitt4!N:N,MATCH(L40,Schnitt4!L:L,0))</f>
        <v>5</v>
      </c>
      <c r="O40">
        <f t="shared" si="0"/>
        <v>142.59999995999999</v>
      </c>
      <c r="P40">
        <f t="shared" si="1"/>
        <v>17</v>
      </c>
    </row>
    <row r="41" spans="1:16">
      <c r="A41">
        <f t="shared" si="6"/>
        <v>37</v>
      </c>
      <c r="B41">
        <f t="shared" si="2"/>
        <v>38941</v>
      </c>
      <c r="C41" t="str">
        <f>IFERROR(INDEX(Starter!B:B,MATCH(B41,Starter!A:A,0)),"")</f>
        <v>Calik, Ilay</v>
      </c>
      <c r="D41" t="str">
        <f>IFERROR(INDEX(Starter!C:C,MATCH(B41,Starter!A:A,0)),"")</f>
        <v>Bowling Jugend Bayern</v>
      </c>
      <c r="E41" s="78">
        <f t="shared" si="3"/>
        <v>580</v>
      </c>
      <c r="F41">
        <f t="shared" si="4"/>
        <v>6</v>
      </c>
      <c r="G41" s="153">
        <f t="shared" si="5"/>
        <v>96.666666620666675</v>
      </c>
      <c r="L41" s="91">
        <f>INDEX(Starter!A:A,ROW()-1)</f>
        <v>38915</v>
      </c>
      <c r="M41">
        <f>INDEX(SchnittGes3!M:M,MATCH(L41,SchnittGes3!L:L,0))+INDEX(Schnitt4!M:M,MATCH(L41,Schnitt4!L:L,0))</f>
        <v>827</v>
      </c>
      <c r="N41">
        <f>INDEX(SchnittGes3!N:N,MATCH(L41,SchnittGes3!L:L,0))+INDEX(Schnitt4!N:N,MATCH(L41,Schnitt4!L:L,0))</f>
        <v>7</v>
      </c>
      <c r="O41">
        <f t="shared" si="0"/>
        <v>118.14285710185713</v>
      </c>
      <c r="P41">
        <f t="shared" si="1"/>
        <v>28</v>
      </c>
    </row>
    <row r="42" spans="1:16">
      <c r="A42">
        <f t="shared" si="6"/>
        <v>38</v>
      </c>
      <c r="B42">
        <f t="shared" si="2"/>
        <v>38922</v>
      </c>
      <c r="C42" t="str">
        <f>IFERROR(INDEX(Starter!B:B,MATCH(B42,Starter!A:A,0)),"")</f>
        <v>Schimanski, Theodor</v>
      </c>
      <c r="D42" t="str">
        <f>IFERROR(INDEX(Starter!C:C,MATCH(B42,Starter!A:A,0)),"")</f>
        <v>BSC Highroller Rosenheim</v>
      </c>
      <c r="E42" s="78">
        <f t="shared" si="3"/>
        <v>1391</v>
      </c>
      <c r="F42">
        <f t="shared" si="4"/>
        <v>15</v>
      </c>
      <c r="G42" s="153">
        <f t="shared" si="5"/>
        <v>92.733333312333329</v>
      </c>
      <c r="L42" s="91">
        <f>INDEX(Starter!A:A,ROW()-1)</f>
        <v>38781</v>
      </c>
      <c r="M42">
        <f>INDEX(SchnittGes3!M:M,MATCH(L42,SchnittGes3!L:L,0))+INDEX(Schnitt4!M:M,MATCH(L42,Schnitt4!L:L,0))</f>
        <v>1703</v>
      </c>
      <c r="N42">
        <f>INDEX(SchnittGes3!N:N,MATCH(L42,SchnittGes3!L:L,0))+INDEX(Schnitt4!N:N,MATCH(L42,Schnitt4!L:L,0))</f>
        <v>11</v>
      </c>
      <c r="O42">
        <f t="shared" si="0"/>
        <v>154.8181817761818</v>
      </c>
      <c r="P42">
        <f t="shared" si="1"/>
        <v>10</v>
      </c>
    </row>
    <row r="43" spans="1:16">
      <c r="A43">
        <f t="shared" si="6"/>
        <v>39</v>
      </c>
      <c r="B43">
        <f t="shared" si="2"/>
        <v>38893</v>
      </c>
      <c r="C43" t="str">
        <f>IFERROR(INDEX(Starter!B:B,MATCH(B43,Starter!A:A,0)),"")</f>
        <v>Rothemund, Louis</v>
      </c>
      <c r="D43" t="str">
        <f>IFERROR(INDEX(Starter!C:C,MATCH(B43,Starter!A:A,0)),"")</f>
        <v>Absolut-Sports.com</v>
      </c>
      <c r="E43" s="78">
        <f t="shared" si="3"/>
        <v>727</v>
      </c>
      <c r="F43">
        <f t="shared" si="4"/>
        <v>8</v>
      </c>
      <c r="G43" s="153">
        <f t="shared" si="5"/>
        <v>90.874999987999999</v>
      </c>
      <c r="L43" s="91">
        <f>INDEX(Starter!A:A,ROW()-1)</f>
        <v>38940</v>
      </c>
      <c r="M43">
        <f>INDEX(SchnittGes3!M:M,MATCH(L43,SchnittGes3!L:L,0))+INDEX(Schnitt4!M:M,MATCH(L43,Schnitt4!L:L,0))</f>
        <v>742</v>
      </c>
      <c r="N43">
        <f>INDEX(SchnittGes3!N:N,MATCH(L43,SchnittGes3!L:L,0))+INDEX(Schnitt4!N:N,MATCH(L43,Schnitt4!L:L,0))</f>
        <v>6</v>
      </c>
      <c r="O43">
        <f t="shared" si="0"/>
        <v>123.66666662366667</v>
      </c>
      <c r="P43">
        <f t="shared" si="1"/>
        <v>23</v>
      </c>
    </row>
    <row r="44" spans="1:16">
      <c r="A44">
        <f t="shared" si="6"/>
        <v>40</v>
      </c>
      <c r="B44">
        <f t="shared" si="2"/>
        <v>38905</v>
      </c>
      <c r="C44" t="str">
        <f>IFERROR(INDEX(Starter!B:B,MATCH(B44,Starter!A:A,0)),"")</f>
        <v>Laubach, Nina</v>
      </c>
      <c r="D44" t="str">
        <f>IFERROR(INDEX(Starter!C:C,MATCH(B44,Starter!A:A,0)),"")</f>
        <v>BC Berchtesgaden</v>
      </c>
      <c r="E44" s="78">
        <f t="shared" si="3"/>
        <v>971</v>
      </c>
      <c r="F44">
        <f t="shared" si="4"/>
        <v>13</v>
      </c>
      <c r="G44" s="153">
        <f t="shared" si="5"/>
        <v>74.692307660307691</v>
      </c>
      <c r="L44" s="91">
        <f>INDEX(Starter!A:A,ROW()-1)</f>
        <v>38942</v>
      </c>
      <c r="M44">
        <f>INDEX(SchnittGes3!M:M,MATCH(L44,SchnittGes3!L:L,0))+INDEX(Schnitt4!M:M,MATCH(L44,Schnitt4!L:L,0))</f>
        <v>1853</v>
      </c>
      <c r="N44">
        <f>INDEX(SchnittGes3!N:N,MATCH(L44,SchnittGes3!L:L,0))+INDEX(Schnitt4!N:N,MATCH(L44,Schnitt4!L:L,0))</f>
        <v>12</v>
      </c>
      <c r="O44">
        <f t="shared" si="0"/>
        <v>154.41666662266667</v>
      </c>
      <c r="P44">
        <f t="shared" si="1"/>
        <v>11</v>
      </c>
    </row>
    <row r="45" spans="1:16">
      <c r="A45">
        <f t="shared" si="6"/>
        <v>41</v>
      </c>
      <c r="B45">
        <f t="shared" si="2"/>
        <v>38921</v>
      </c>
      <c r="C45" t="str">
        <f>IFERROR(INDEX(Starter!B:B,MATCH(B45,Starter!A:A,0)),"")</f>
        <v>Schimanski, Johanna</v>
      </c>
      <c r="D45" t="str">
        <f>IFERROR(INDEX(Starter!C:C,MATCH(B45,Starter!A:A,0)),"")</f>
        <v>BSC Highroller Rosenheim</v>
      </c>
      <c r="E45" s="78">
        <f t="shared" si="3"/>
        <v>1109</v>
      </c>
      <c r="F45">
        <f t="shared" si="4"/>
        <v>15</v>
      </c>
      <c r="G45" s="153">
        <f t="shared" si="5"/>
        <v>73.933333313333335</v>
      </c>
      <c r="L45" s="91">
        <f>INDEX(Starter!A:A,ROW()-1)</f>
        <v>38334</v>
      </c>
      <c r="M45">
        <f>INDEX(SchnittGes3!M:M,MATCH(L45,SchnittGes3!L:L,0))+INDEX(Schnitt4!M:M,MATCH(L45,Schnitt4!L:L,0))</f>
        <v>1916</v>
      </c>
      <c r="N45">
        <f>INDEX(SchnittGes3!N:N,MATCH(L45,SchnittGes3!L:L,0))+INDEX(Schnitt4!N:N,MATCH(L45,Schnitt4!L:L,0))</f>
        <v>10</v>
      </c>
      <c r="O45">
        <f t="shared" si="0"/>
        <v>191.59999995499999</v>
      </c>
      <c r="P45">
        <f t="shared" si="1"/>
        <v>5</v>
      </c>
    </row>
    <row r="46" spans="1:16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38941</v>
      </c>
      <c r="M46">
        <f>INDEX(SchnittGes3!M:M,MATCH(L46,SchnittGes3!L:L,0))+INDEX(Schnitt4!M:M,MATCH(L46,Schnitt4!L:L,0))</f>
        <v>580</v>
      </c>
      <c r="N46">
        <f>INDEX(SchnittGes3!N:N,MATCH(L46,SchnittGes3!L:L,0))+INDEX(Schnitt4!N:N,MATCH(L46,Schnitt4!L:L,0))</f>
        <v>6</v>
      </c>
      <c r="O46">
        <f t="shared" si="0"/>
        <v>96.666666620666675</v>
      </c>
      <c r="P46">
        <f t="shared" si="1"/>
        <v>37</v>
      </c>
    </row>
    <row r="47" spans="1:16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38626</v>
      </c>
      <c r="M47">
        <f>INDEX(SchnittGes3!M:M,MATCH(L47,SchnittGes3!L:L,0))+INDEX(Schnitt4!M:M,MATCH(L47,Schnitt4!L:L,0))</f>
        <v>794</v>
      </c>
      <c r="N47">
        <f>INDEX(SchnittGes3!N:N,MATCH(L47,SchnittGes3!L:L,0))+INDEX(Schnitt4!N:N,MATCH(L47,Schnitt4!L:L,0))</f>
        <v>5</v>
      </c>
      <c r="O47">
        <f t="shared" si="0"/>
        <v>158.79999995300003</v>
      </c>
      <c r="P47">
        <f t="shared" si="1"/>
        <v>8</v>
      </c>
    </row>
    <row r="48" spans="1:16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INDEX(SchnittGes3!M:M,MATCH(L48,SchnittGes3!L:L,0))+INDEX(Schnitt4!M:M,MATCH(L48,Schnitt4!L:L,0))</f>
        <v>0</v>
      </c>
      <c r="N48">
        <f>INDEX(SchnittGes3!N:N,MATCH(L48,SchnittGes3!L:L,0))+INDEX(Schnitt4!N:N,MATCH(L48,Schnitt4!L:L,0))</f>
        <v>0</v>
      </c>
      <c r="O48">
        <f t="shared" si="0"/>
        <v>0</v>
      </c>
      <c r="P48">
        <f t="shared" si="1"/>
        <v>42</v>
      </c>
    </row>
    <row r="49" spans="1:16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INDEX(SchnittGes3!M:M,MATCH(L49,SchnittGes3!L:L,0))+INDEX(Schnitt4!M:M,MATCH(L49,Schnitt4!L:L,0))</f>
        <v>0</v>
      </c>
      <c r="N49">
        <f>INDEX(SchnittGes3!N:N,MATCH(L49,SchnittGes3!L:L,0))+INDEX(Schnitt4!N:N,MATCH(L49,Schnitt4!L:L,0))</f>
        <v>0</v>
      </c>
      <c r="O49">
        <f t="shared" si="0"/>
        <v>0</v>
      </c>
      <c r="P49">
        <f t="shared" si="1"/>
        <v>42</v>
      </c>
    </row>
    <row r="50" spans="1:16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INDEX(SchnittGes3!M:M,MATCH(L50,SchnittGes3!L:L,0))+INDEX(Schnitt4!M:M,MATCH(L50,Schnitt4!L:L,0))</f>
        <v>0</v>
      </c>
      <c r="N50">
        <f>INDEX(SchnittGes3!N:N,MATCH(L50,SchnittGes3!L:L,0))+INDEX(Schnitt4!N:N,MATCH(L50,Schnitt4!L:L,0))</f>
        <v>0</v>
      </c>
      <c r="O50">
        <f t="shared" si="0"/>
        <v>0</v>
      </c>
      <c r="P50">
        <f t="shared" si="1"/>
        <v>42</v>
      </c>
    </row>
    <row r="51" spans="1:16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INDEX(SchnittGes3!M:M,MATCH(L51,SchnittGes3!L:L,0))+INDEX(Schnitt4!M:M,MATCH(L51,Schnitt4!L:L,0))</f>
        <v>0</v>
      </c>
      <c r="N51">
        <f>INDEX(SchnittGes3!N:N,MATCH(L51,SchnittGes3!L:L,0))+INDEX(Schnitt4!N:N,MATCH(L51,Schnitt4!L:L,0))</f>
        <v>0</v>
      </c>
      <c r="O51">
        <f t="shared" si="0"/>
        <v>0</v>
      </c>
      <c r="P51">
        <f t="shared" si="1"/>
        <v>42</v>
      </c>
    </row>
    <row r="52" spans="1:16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INDEX(SchnittGes3!M:M,MATCH(L52,SchnittGes3!L:L,0))+INDEX(Schnitt4!M:M,MATCH(L52,Schnitt4!L:L,0))</f>
        <v>0</v>
      </c>
      <c r="N52">
        <f>INDEX(SchnittGes3!N:N,MATCH(L52,SchnittGes3!L:L,0))+INDEX(Schnitt4!N:N,MATCH(L52,Schnitt4!L:L,0))</f>
        <v>0</v>
      </c>
      <c r="O52">
        <f t="shared" si="0"/>
        <v>0</v>
      </c>
      <c r="P52">
        <f t="shared" si="1"/>
        <v>42</v>
      </c>
    </row>
    <row r="53" spans="1:16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INDEX(SchnittGes3!M:M,MATCH(L53,SchnittGes3!L:L,0))+INDEX(Schnitt4!M:M,MATCH(L53,Schnitt4!L:L,0))</f>
        <v>0</v>
      </c>
      <c r="N53">
        <f>INDEX(SchnittGes3!N:N,MATCH(L53,SchnittGes3!L:L,0))+INDEX(Schnitt4!N:N,MATCH(L53,Schnitt4!L:L,0))</f>
        <v>0</v>
      </c>
      <c r="O53">
        <f t="shared" si="0"/>
        <v>0</v>
      </c>
      <c r="P53">
        <f t="shared" si="1"/>
        <v>42</v>
      </c>
    </row>
    <row r="54" spans="1:16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INDEX(SchnittGes3!M:M,MATCH(L54,SchnittGes3!L:L,0))+INDEX(Schnitt4!M:M,MATCH(L54,Schnitt4!L:L,0))</f>
        <v>0</v>
      </c>
      <c r="N54">
        <f>INDEX(SchnittGes3!N:N,MATCH(L54,SchnittGes3!L:L,0))+INDEX(Schnitt4!N:N,MATCH(L54,Schnitt4!L:L,0))</f>
        <v>0</v>
      </c>
      <c r="O54">
        <f t="shared" si="0"/>
        <v>0</v>
      </c>
      <c r="P54">
        <f t="shared" si="1"/>
        <v>42</v>
      </c>
    </row>
    <row r="55" spans="1:16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INDEX(SchnittGes3!M:M,MATCH(L55,SchnittGes3!L:L,0))+INDEX(Schnitt4!M:M,MATCH(L55,Schnitt4!L:L,0))</f>
        <v>0</v>
      </c>
      <c r="N55">
        <f>INDEX(SchnittGes3!N:N,MATCH(L55,SchnittGes3!L:L,0))+INDEX(Schnitt4!N:N,MATCH(L55,Schnitt4!L:L,0))</f>
        <v>0</v>
      </c>
      <c r="O55">
        <f t="shared" si="0"/>
        <v>0</v>
      </c>
      <c r="P55">
        <f t="shared" si="1"/>
        <v>42</v>
      </c>
    </row>
    <row r="56" spans="1:16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INDEX(SchnittGes3!M:M,MATCH(L56,SchnittGes3!L:L,0))+INDEX(Schnitt4!M:M,MATCH(L56,Schnitt4!L:L,0))</f>
        <v>0</v>
      </c>
      <c r="N56">
        <f>INDEX(SchnittGes3!N:N,MATCH(L56,SchnittGes3!L:L,0))+INDEX(Schnitt4!N:N,MATCH(L56,Schnitt4!L:L,0))</f>
        <v>0</v>
      </c>
      <c r="O56">
        <f t="shared" si="0"/>
        <v>0</v>
      </c>
      <c r="P56">
        <f t="shared" si="1"/>
        <v>42</v>
      </c>
    </row>
    <row r="57" spans="1:16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INDEX(SchnittGes3!M:M,MATCH(L57,SchnittGes3!L:L,0))+INDEX(Schnitt4!M:M,MATCH(L57,Schnitt4!L:L,0))</f>
        <v>0</v>
      </c>
      <c r="N57">
        <f>INDEX(SchnittGes3!N:N,MATCH(L57,SchnittGes3!L:L,0))+INDEX(Schnitt4!N:N,MATCH(L57,Schnitt4!L:L,0))</f>
        <v>0</v>
      </c>
      <c r="O57">
        <f t="shared" si="0"/>
        <v>0</v>
      </c>
      <c r="P57">
        <f t="shared" si="1"/>
        <v>42</v>
      </c>
    </row>
    <row r="58" spans="1:16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INDEX(SchnittGes3!M:M,MATCH(L58,SchnittGes3!L:L,0))+INDEX(Schnitt4!M:M,MATCH(L58,Schnitt4!L:L,0))</f>
        <v>0</v>
      </c>
      <c r="N58">
        <f>INDEX(SchnittGes3!N:N,MATCH(L58,SchnittGes3!L:L,0))+INDEX(Schnitt4!N:N,MATCH(L58,Schnitt4!L:L,0))</f>
        <v>0</v>
      </c>
      <c r="O58">
        <f t="shared" si="0"/>
        <v>0</v>
      </c>
      <c r="P58">
        <f t="shared" si="1"/>
        <v>42</v>
      </c>
    </row>
    <row r="59" spans="1:16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INDEX(SchnittGes3!M:M,MATCH(L59,SchnittGes3!L:L,0))+INDEX(Schnitt4!M:M,MATCH(L59,Schnitt4!L:L,0))</f>
        <v>0</v>
      </c>
      <c r="N59">
        <f>INDEX(SchnittGes3!N:N,MATCH(L59,SchnittGes3!L:L,0))+INDEX(Schnitt4!N:N,MATCH(L59,Schnitt4!L:L,0))</f>
        <v>0</v>
      </c>
      <c r="O59">
        <f t="shared" si="0"/>
        <v>0</v>
      </c>
      <c r="P59">
        <f t="shared" si="1"/>
        <v>42</v>
      </c>
    </row>
    <row r="60" spans="1:16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INDEX(SchnittGes3!M:M,MATCH(L60,SchnittGes3!L:L,0))+INDEX(Schnitt4!M:M,MATCH(L60,Schnitt4!L:L,0))</f>
        <v>0</v>
      </c>
      <c r="N60">
        <f>INDEX(SchnittGes3!N:N,MATCH(L60,SchnittGes3!L:L,0))+INDEX(Schnitt4!N:N,MATCH(L60,Schnitt4!L:L,0))</f>
        <v>0</v>
      </c>
      <c r="O60">
        <f t="shared" si="0"/>
        <v>0</v>
      </c>
      <c r="P60">
        <f t="shared" si="1"/>
        <v>42</v>
      </c>
    </row>
    <row r="61" spans="1:16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INDEX(SchnittGes3!M:M,MATCH(L61,SchnittGes3!L:L,0))+INDEX(Schnitt4!M:M,MATCH(L61,Schnitt4!L:L,0))</f>
        <v>0</v>
      </c>
      <c r="N61">
        <f>INDEX(SchnittGes3!N:N,MATCH(L61,SchnittGes3!L:L,0))+INDEX(Schnitt4!N:N,MATCH(L61,Schnitt4!L:L,0))</f>
        <v>0</v>
      </c>
      <c r="O61">
        <f t="shared" si="0"/>
        <v>0</v>
      </c>
      <c r="P61">
        <f t="shared" si="1"/>
        <v>42</v>
      </c>
    </row>
    <row r="62" spans="1:16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INDEX(SchnittGes3!M:M,MATCH(L62,SchnittGes3!L:L,0))+INDEX(Schnitt4!M:M,MATCH(L62,Schnitt4!L:L,0))</f>
        <v>0</v>
      </c>
      <c r="N62">
        <f>INDEX(SchnittGes3!N:N,MATCH(L62,SchnittGes3!L:L,0))+INDEX(Schnitt4!N:N,MATCH(L62,Schnitt4!L:L,0))</f>
        <v>0</v>
      </c>
      <c r="O62">
        <f t="shared" si="0"/>
        <v>0</v>
      </c>
      <c r="P62">
        <f t="shared" si="1"/>
        <v>42</v>
      </c>
    </row>
    <row r="63" spans="1:16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INDEX(SchnittGes3!M:M,MATCH(L63,SchnittGes3!L:L,0))+INDEX(Schnitt4!M:M,MATCH(L63,Schnitt4!L:L,0))</f>
        <v>0</v>
      </c>
      <c r="N63">
        <f>INDEX(SchnittGes3!N:N,MATCH(L63,SchnittGes3!L:L,0))+INDEX(Schnitt4!N:N,MATCH(L63,Schnitt4!L:L,0))</f>
        <v>0</v>
      </c>
      <c r="O63">
        <f t="shared" si="0"/>
        <v>0</v>
      </c>
      <c r="P63">
        <f t="shared" si="1"/>
        <v>42</v>
      </c>
    </row>
    <row r="64" spans="1:16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INDEX(SchnittGes3!M:M,MATCH(L64,SchnittGes3!L:L,0))+INDEX(Schnitt4!M:M,MATCH(L64,Schnitt4!L:L,0))</f>
        <v>0</v>
      </c>
      <c r="N64">
        <f>INDEX(SchnittGes3!N:N,MATCH(L64,SchnittGes3!L:L,0))+INDEX(Schnitt4!N:N,MATCH(L64,Schnitt4!L:L,0))</f>
        <v>0</v>
      </c>
      <c r="O64">
        <f t="shared" si="0"/>
        <v>0</v>
      </c>
      <c r="P64">
        <f t="shared" si="1"/>
        <v>42</v>
      </c>
    </row>
    <row r="65" spans="1:16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INDEX(SchnittGes3!M:M,MATCH(L65,SchnittGes3!L:L,0))+INDEX(Schnitt4!M:M,MATCH(L65,Schnitt4!L:L,0))</f>
        <v>0</v>
      </c>
      <c r="N65">
        <f>INDEX(SchnittGes3!N:N,MATCH(L65,SchnittGes3!L:L,0))+INDEX(Schnitt4!N:N,MATCH(L65,Schnitt4!L:L,0))</f>
        <v>0</v>
      </c>
      <c r="O65">
        <f t="shared" si="0"/>
        <v>0</v>
      </c>
      <c r="P65">
        <f t="shared" si="1"/>
        <v>42</v>
      </c>
    </row>
    <row r="66" spans="1:16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INDEX(SchnittGes3!M:M,MATCH(L66,SchnittGes3!L:L,0))+INDEX(Schnitt4!M:M,MATCH(L66,Schnitt4!L:L,0))</f>
        <v>0</v>
      </c>
      <c r="N66">
        <f>INDEX(SchnittGes3!N:N,MATCH(L66,SchnittGes3!L:L,0))+INDEX(Schnitt4!N:N,MATCH(L66,Schnitt4!L:L,0))</f>
        <v>0</v>
      </c>
      <c r="O66">
        <f t="shared" ref="O66:O104" si="7">IF(N66=0,0,M66/N66-ROW()/1000000000)</f>
        <v>0</v>
      </c>
      <c r="P66">
        <f t="shared" ref="P66:P104" si="8">RANK(O66,O:O)</f>
        <v>42</v>
      </c>
    </row>
    <row r="67" spans="1:16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INDEX(SchnittGes3!M:M,MATCH(L67,SchnittGes3!L:L,0))+INDEX(Schnitt4!M:M,MATCH(L67,Schnitt4!L:L,0))</f>
        <v>0</v>
      </c>
      <c r="N67">
        <f>INDEX(SchnittGes3!N:N,MATCH(L67,SchnittGes3!L:L,0))+INDEX(Schnitt4!N:N,MATCH(L67,Schnitt4!L:L,0))</f>
        <v>0</v>
      </c>
      <c r="O67">
        <f t="shared" si="7"/>
        <v>0</v>
      </c>
      <c r="P67">
        <f t="shared" si="8"/>
        <v>42</v>
      </c>
    </row>
    <row r="68" spans="1:16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INDEX(SchnittGes3!M:M,MATCH(L68,SchnittGes3!L:L,0))+INDEX(Schnitt4!M:M,MATCH(L68,Schnitt4!L:L,0))</f>
        <v>0</v>
      </c>
      <c r="N68">
        <f>INDEX(SchnittGes3!N:N,MATCH(L68,SchnittGes3!L:L,0))+INDEX(Schnitt4!N:N,MATCH(L68,Schnitt4!L:L,0))</f>
        <v>0</v>
      </c>
      <c r="O68">
        <f t="shared" si="7"/>
        <v>0</v>
      </c>
      <c r="P68">
        <f t="shared" si="8"/>
        <v>42</v>
      </c>
    </row>
    <row r="69" spans="1:16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INDEX(SchnittGes3!M:M,MATCH(L69,SchnittGes3!L:L,0))+INDEX(Schnitt4!M:M,MATCH(L69,Schnitt4!L:L,0))</f>
        <v>0</v>
      </c>
      <c r="N69">
        <f>INDEX(SchnittGes3!N:N,MATCH(L69,SchnittGes3!L:L,0))+INDEX(Schnitt4!N:N,MATCH(L69,Schnitt4!L:L,0))</f>
        <v>0</v>
      </c>
      <c r="O69">
        <f t="shared" si="7"/>
        <v>0</v>
      </c>
      <c r="P69">
        <f t="shared" si="8"/>
        <v>42</v>
      </c>
    </row>
    <row r="70" spans="1:16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INDEX(SchnittGes3!M:M,MATCH(L70,SchnittGes3!L:L,0))+INDEX(Schnitt4!M:M,MATCH(L70,Schnitt4!L:L,0))</f>
        <v>0</v>
      </c>
      <c r="N70">
        <f>INDEX(SchnittGes3!N:N,MATCH(L70,SchnittGes3!L:L,0))+INDEX(Schnitt4!N:N,MATCH(L70,Schnitt4!L:L,0))</f>
        <v>0</v>
      </c>
      <c r="O70">
        <f t="shared" si="7"/>
        <v>0</v>
      </c>
      <c r="P70">
        <f t="shared" si="8"/>
        <v>42</v>
      </c>
    </row>
    <row r="71" spans="1:16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INDEX(SchnittGes3!M:M,MATCH(L71,SchnittGes3!L:L,0))+INDEX(Schnitt4!M:M,MATCH(L71,Schnitt4!L:L,0))</f>
        <v>0</v>
      </c>
      <c r="N71">
        <f>INDEX(SchnittGes3!N:N,MATCH(L71,SchnittGes3!L:L,0))+INDEX(Schnitt4!N:N,MATCH(L71,Schnitt4!L:L,0))</f>
        <v>0</v>
      </c>
      <c r="O71">
        <f t="shared" si="7"/>
        <v>0</v>
      </c>
      <c r="P71">
        <f t="shared" si="8"/>
        <v>42</v>
      </c>
    </row>
    <row r="72" spans="1:16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INDEX(SchnittGes3!M:M,MATCH(L72,SchnittGes3!L:L,0))+INDEX(Schnitt4!M:M,MATCH(L72,Schnitt4!L:L,0))</f>
        <v>0</v>
      </c>
      <c r="N72">
        <f>INDEX(SchnittGes3!N:N,MATCH(L72,SchnittGes3!L:L,0))+INDEX(Schnitt4!N:N,MATCH(L72,Schnitt4!L:L,0))</f>
        <v>0</v>
      </c>
      <c r="O72">
        <f t="shared" si="7"/>
        <v>0</v>
      </c>
      <c r="P72">
        <f t="shared" si="8"/>
        <v>42</v>
      </c>
    </row>
    <row r="73" spans="1:16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8"/>
        <v>42</v>
      </c>
    </row>
    <row r="74" spans="1:16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8"/>
        <v>42</v>
      </c>
    </row>
    <row r="75" spans="1:16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8"/>
        <v>42</v>
      </c>
    </row>
    <row r="76" spans="1:16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si="7"/>
        <v>0</v>
      </c>
      <c r="P76">
        <f t="shared" si="8"/>
        <v>42</v>
      </c>
    </row>
    <row r="77" spans="1:16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7"/>
        <v>0</v>
      </c>
      <c r="P77">
        <f t="shared" si="8"/>
        <v>42</v>
      </c>
    </row>
    <row r="78" spans="1:16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7"/>
        <v>0</v>
      </c>
      <c r="P78">
        <f t="shared" si="8"/>
        <v>42</v>
      </c>
    </row>
    <row r="79" spans="1:16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7"/>
        <v>0</v>
      </c>
      <c r="P79">
        <f t="shared" si="8"/>
        <v>42</v>
      </c>
    </row>
    <row r="80" spans="1:16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7"/>
        <v>0</v>
      </c>
      <c r="P80">
        <f t="shared" si="8"/>
        <v>42</v>
      </c>
    </row>
    <row r="81" spans="1:16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7"/>
        <v>0</v>
      </c>
      <c r="P81">
        <f t="shared" si="8"/>
        <v>42</v>
      </c>
    </row>
    <row r="82" spans="1:16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7"/>
        <v>0</v>
      </c>
      <c r="P82">
        <f t="shared" si="8"/>
        <v>42</v>
      </c>
    </row>
    <row r="83" spans="1:16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7"/>
        <v>0</v>
      </c>
      <c r="P83">
        <f t="shared" si="8"/>
        <v>42</v>
      </c>
    </row>
    <row r="84" spans="1:16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7"/>
        <v>0</v>
      </c>
      <c r="P84">
        <f t="shared" si="8"/>
        <v>42</v>
      </c>
    </row>
    <row r="85" spans="1:16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7"/>
        <v>0</v>
      </c>
      <c r="P85">
        <f t="shared" si="8"/>
        <v>42</v>
      </c>
    </row>
    <row r="86" spans="1:16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7"/>
        <v>0</v>
      </c>
      <c r="P86">
        <f t="shared" si="8"/>
        <v>42</v>
      </c>
    </row>
    <row r="87" spans="1:16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7"/>
        <v>0</v>
      </c>
      <c r="P87">
        <f t="shared" si="8"/>
        <v>42</v>
      </c>
    </row>
    <row r="88" spans="1:16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7"/>
        <v>0</v>
      </c>
      <c r="P88">
        <f t="shared" si="8"/>
        <v>42</v>
      </c>
    </row>
    <row r="89" spans="1:16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7"/>
        <v>0</v>
      </c>
      <c r="P89">
        <f t="shared" si="8"/>
        <v>42</v>
      </c>
    </row>
    <row r="90" spans="1:16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7"/>
        <v>0</v>
      </c>
      <c r="P90">
        <f t="shared" si="8"/>
        <v>42</v>
      </c>
    </row>
    <row r="91" spans="1:16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7"/>
        <v>0</v>
      </c>
      <c r="P91">
        <f t="shared" si="8"/>
        <v>42</v>
      </c>
    </row>
    <row r="92" spans="1:16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7"/>
        <v>0</v>
      </c>
      <c r="P92">
        <f t="shared" si="8"/>
        <v>42</v>
      </c>
    </row>
    <row r="93" spans="1:16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7"/>
        <v>0</v>
      </c>
      <c r="P93">
        <f t="shared" si="8"/>
        <v>42</v>
      </c>
    </row>
    <row r="94" spans="1:16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7"/>
        <v>0</v>
      </c>
      <c r="P94">
        <f t="shared" si="8"/>
        <v>42</v>
      </c>
    </row>
    <row r="95" spans="1:16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7"/>
        <v>0</v>
      </c>
      <c r="P95">
        <f t="shared" si="8"/>
        <v>42</v>
      </c>
    </row>
    <row r="96" spans="1:16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7"/>
        <v>0</v>
      </c>
      <c r="P96">
        <f t="shared" si="8"/>
        <v>42</v>
      </c>
    </row>
    <row r="97" spans="1:16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7"/>
        <v>0</v>
      </c>
      <c r="P97">
        <f t="shared" si="8"/>
        <v>42</v>
      </c>
    </row>
    <row r="98" spans="1:16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7"/>
        <v>0</v>
      </c>
      <c r="P98">
        <f t="shared" si="8"/>
        <v>42</v>
      </c>
    </row>
    <row r="99" spans="1:16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7"/>
        <v>0</v>
      </c>
      <c r="P99">
        <f t="shared" si="8"/>
        <v>42</v>
      </c>
    </row>
    <row r="100" spans="1:16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7"/>
        <v>0</v>
      </c>
      <c r="P100">
        <f t="shared" si="8"/>
        <v>42</v>
      </c>
    </row>
    <row r="101" spans="1:16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7"/>
        <v>0</v>
      </c>
      <c r="P101">
        <f t="shared" si="8"/>
        <v>42</v>
      </c>
    </row>
    <row r="102" spans="1:16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7"/>
        <v>0</v>
      </c>
      <c r="P102">
        <f t="shared" si="8"/>
        <v>42</v>
      </c>
    </row>
    <row r="103" spans="1:16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7"/>
        <v>0</v>
      </c>
      <c r="P103">
        <f t="shared" si="8"/>
        <v>42</v>
      </c>
    </row>
    <row r="104" spans="1:16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7"/>
        <v>0</v>
      </c>
      <c r="P104">
        <f t="shared" si="8"/>
        <v>42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7"/>
  <sheetViews>
    <sheetView showGridLines="0" tabSelected="1" topLeftCell="A23" zoomScaleNormal="100" workbookViewId="0">
      <selection activeCell="C48" sqref="C48:T48"/>
    </sheetView>
  </sheetViews>
  <sheetFormatPr baseColWidth="10" defaultColWidth="0" defaultRowHeight="13.2"/>
  <cols>
    <col min="1" max="1" width="1.21875" customWidth="1"/>
    <col min="2" max="2" width="3.44140625" customWidth="1"/>
    <col min="3" max="3" width="10.664062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21875" customWidth="1"/>
    <col min="9" max="9" width="2.21875" customWidth="1"/>
    <col min="10" max="10" width="3.21875" customWidth="1"/>
    <col min="11" max="11" width="0.6640625" customWidth="1"/>
    <col min="12" max="12" width="9.33203125" customWidth="1"/>
    <col min="13" max="13" width="2.21875" customWidth="1"/>
    <col min="14" max="14" width="3.21875" customWidth="1"/>
    <col min="15" max="15" width="0.6640625" customWidth="1"/>
    <col min="16" max="16" width="11.21875" customWidth="1"/>
    <col min="17" max="17" width="2.21875" customWidth="1"/>
    <col min="18" max="18" width="3.21875" customWidth="1"/>
    <col min="19" max="19" width="0.6640625" customWidth="1"/>
    <col min="20" max="20" width="11.6640625" customWidth="1"/>
    <col min="21" max="21" width="2.21875" customWidth="1"/>
    <col min="22" max="22" width="1" customWidth="1"/>
    <col min="23" max="16384" width="9.21875" hidden="1"/>
  </cols>
  <sheetData>
    <row r="1" spans="2:21" ht="3.75" customHeight="1"/>
    <row r="2" spans="2:21" ht="24.6">
      <c r="B2" s="378" t="s">
        <v>1824</v>
      </c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</row>
    <row r="3" spans="2:21" ht="11.25" customHeight="1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>
      <c r="P4" s="106"/>
      <c r="Q4" s="379"/>
      <c r="R4" s="379"/>
      <c r="S4" s="379"/>
      <c r="T4" s="379"/>
      <c r="U4" s="379"/>
    </row>
    <row r="5" spans="2:21" ht="11.25" customHeight="1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>
      <c r="B6" s="56"/>
      <c r="C6" s="110" t="s">
        <v>1788</v>
      </c>
      <c r="D6" s="110"/>
      <c r="E6" s="380">
        <f>+Spielzettel5!N2</f>
        <v>5</v>
      </c>
      <c r="F6" s="381"/>
      <c r="P6" s="110" t="s">
        <v>1825</v>
      </c>
      <c r="Q6" s="382">
        <f>+Spielzettel5!M1</f>
        <v>45794</v>
      </c>
      <c r="R6" s="383">
        <v>0</v>
      </c>
      <c r="S6" s="383">
        <v>0</v>
      </c>
      <c r="T6" s="384">
        <v>0</v>
      </c>
      <c r="U6" s="111"/>
    </row>
    <row r="7" spans="2:21">
      <c r="B7" s="56"/>
      <c r="C7" s="110"/>
      <c r="D7" s="110"/>
      <c r="U7" s="111"/>
    </row>
    <row r="8" spans="2:21">
      <c r="B8" s="56"/>
      <c r="C8" s="110" t="s">
        <v>1826</v>
      </c>
      <c r="D8" s="110"/>
      <c r="E8" s="388" t="str">
        <f>+Spielzettel5!E2</f>
        <v>Olching 5005 Bowling</v>
      </c>
      <c r="F8" s="389"/>
      <c r="G8" s="389"/>
      <c r="H8" s="389">
        <v>0</v>
      </c>
      <c r="I8" s="389"/>
      <c r="J8" s="390"/>
      <c r="N8" s="110" t="s">
        <v>1827</v>
      </c>
      <c r="P8" s="388" t="str">
        <f>+Spielzettel5!E1</f>
        <v>Landesliga Jugend</v>
      </c>
      <c r="Q8" s="389"/>
      <c r="R8" s="389"/>
      <c r="S8" s="389"/>
      <c r="T8" s="390"/>
      <c r="U8" s="111"/>
    </row>
    <row r="9" spans="2:21" ht="11.25" customHeight="1" thickBot="1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3.8" thickBot="1"/>
    <row r="11" spans="2:21" s="2" customFormat="1" ht="30" customHeight="1" thickBot="1">
      <c r="B11" s="115"/>
      <c r="C11" s="372" t="s">
        <v>1828</v>
      </c>
      <c r="D11" s="372"/>
      <c r="E11" s="372"/>
      <c r="F11" s="372"/>
      <c r="G11" s="372"/>
      <c r="H11" s="372"/>
      <c r="I11" s="372"/>
      <c r="J11" s="372"/>
      <c r="K11" s="372"/>
      <c r="L11" s="372"/>
      <c r="M11" s="372"/>
      <c r="N11" s="372"/>
      <c r="O11" s="372"/>
      <c r="P11" s="372"/>
      <c r="Q11" s="372"/>
      <c r="R11" s="372"/>
      <c r="S11" s="372"/>
      <c r="T11" s="372"/>
      <c r="U11" s="116"/>
    </row>
    <row r="12" spans="2:21" ht="21.75" customHeight="1">
      <c r="B12" s="117"/>
      <c r="C12" s="373" t="s">
        <v>1829</v>
      </c>
      <c r="D12" s="373"/>
      <c r="E12" s="373"/>
      <c r="F12" s="373"/>
      <c r="G12" s="373"/>
      <c r="H12" s="373"/>
      <c r="I12" s="373"/>
      <c r="J12" s="373"/>
      <c r="L12" s="118">
        <v>0.375</v>
      </c>
      <c r="M12" s="119" t="s">
        <v>1830</v>
      </c>
      <c r="P12" s="89"/>
      <c r="U12" s="111"/>
    </row>
    <row r="13" spans="2:21" ht="6.75" customHeight="1" thickBot="1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>
      <c r="B14" s="56"/>
      <c r="U14" s="111"/>
    </row>
    <row r="15" spans="2:21">
      <c r="B15" s="56"/>
      <c r="C15" s="121" t="s">
        <v>1831</v>
      </c>
      <c r="D15" s="121"/>
      <c r="F15" s="122" t="s">
        <v>2599</v>
      </c>
      <c r="G15" s="123"/>
      <c r="H15" t="s">
        <v>1832</v>
      </c>
      <c r="J15" s="122"/>
      <c r="L15" t="s">
        <v>1833</v>
      </c>
      <c r="U15" s="111"/>
    </row>
    <row r="16" spans="2:21">
      <c r="B16" s="56"/>
      <c r="C16" s="121"/>
      <c r="D16" s="121"/>
      <c r="F16" s="7"/>
      <c r="J16" s="86"/>
      <c r="U16" s="111"/>
    </row>
    <row r="17" spans="2:21">
      <c r="B17" s="56"/>
      <c r="C17" s="121" t="s">
        <v>1834</v>
      </c>
      <c r="D17" s="121"/>
      <c r="F17" s="122" t="s">
        <v>2599</v>
      </c>
      <c r="G17" s="123"/>
      <c r="H17" t="s">
        <v>1832</v>
      </c>
      <c r="J17" s="122"/>
      <c r="L17" t="s">
        <v>1833</v>
      </c>
      <c r="U17" s="111"/>
    </row>
    <row r="18" spans="2:21" ht="18.75" customHeight="1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4.950000000000003" customHeight="1">
      <c r="B19" s="56"/>
      <c r="C19" s="366"/>
      <c r="D19" s="367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4"/>
      <c r="T19" s="375"/>
      <c r="U19" s="111"/>
    </row>
    <row r="20" spans="2:21" ht="12.75" customHeight="1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>
      <c r="B21" s="56"/>
      <c r="C21" s="121" t="s">
        <v>1836</v>
      </c>
      <c r="D21" s="121"/>
      <c r="U21" s="111"/>
    </row>
    <row r="22" spans="2:21">
      <c r="B22" s="56"/>
      <c r="C22" s="121" t="s">
        <v>1837</v>
      </c>
      <c r="D22" s="121"/>
      <c r="F22" s="122" t="s">
        <v>2599</v>
      </c>
      <c r="H22" t="s">
        <v>1832</v>
      </c>
      <c r="J22" s="122"/>
      <c r="L22" t="s">
        <v>1833</v>
      </c>
      <c r="U22" s="111"/>
    </row>
    <row r="23" spans="2:21" ht="18.75" customHeight="1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4.950000000000003" customHeight="1">
      <c r="B24" s="56"/>
      <c r="C24" s="366"/>
      <c r="D24" s="367"/>
      <c r="E24" s="367"/>
      <c r="F24" s="367"/>
      <c r="G24" s="367"/>
      <c r="H24" s="367"/>
      <c r="I24" s="367"/>
      <c r="J24" s="367"/>
      <c r="K24" s="367"/>
      <c r="L24" s="367"/>
      <c r="M24" s="367"/>
      <c r="N24" s="367"/>
      <c r="O24" s="367"/>
      <c r="P24" s="367"/>
      <c r="Q24" s="367"/>
      <c r="R24" s="367"/>
      <c r="S24" s="367"/>
      <c r="T24" s="368"/>
      <c r="U24" s="111"/>
    </row>
    <row r="25" spans="2:21" ht="12.75" hidden="1" customHeight="1">
      <c r="B25" s="56"/>
      <c r="C25" s="127"/>
      <c r="D25" s="127"/>
      <c r="U25" s="111"/>
    </row>
    <row r="26" spans="2:21" ht="13.5" hidden="1" customHeight="1">
      <c r="B26" s="56"/>
      <c r="C26" s="121" t="s">
        <v>1838</v>
      </c>
      <c r="D26" s="121"/>
      <c r="U26" s="111"/>
    </row>
    <row r="27" spans="2:21" hidden="1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4.950000000000003" hidden="1" customHeight="1">
      <c r="B29" s="56"/>
      <c r="C29" s="366"/>
      <c r="D29" s="367"/>
      <c r="E29" s="367"/>
      <c r="F29" s="367"/>
      <c r="G29" s="367"/>
      <c r="H29" s="367"/>
      <c r="I29" s="367"/>
      <c r="J29" s="367"/>
      <c r="K29" s="367"/>
      <c r="L29" s="367"/>
      <c r="M29" s="367"/>
      <c r="N29" s="367"/>
      <c r="O29" s="367"/>
      <c r="P29" s="367"/>
      <c r="Q29" s="367"/>
      <c r="R29" s="367"/>
      <c r="S29" s="367"/>
      <c r="T29" s="368"/>
      <c r="U29" s="111"/>
    </row>
    <row r="30" spans="2:21" ht="12.75" customHeight="1" thickBot="1">
      <c r="B30" s="56"/>
      <c r="C30" s="127"/>
      <c r="D30" s="127"/>
      <c r="P30" s="128"/>
      <c r="U30" s="111"/>
    </row>
    <row r="31" spans="2:21" s="133" customFormat="1" ht="21.75" customHeight="1">
      <c r="B31" s="129" t="s">
        <v>1840</v>
      </c>
      <c r="C31" s="130"/>
      <c r="D31" s="130"/>
      <c r="E31" s="130"/>
      <c r="F31" s="130"/>
      <c r="G31" s="130"/>
      <c r="H31" s="131">
        <v>0.4861111111111111</v>
      </c>
      <c r="I31" s="130"/>
      <c r="J31" s="132" t="s">
        <v>1841</v>
      </c>
      <c r="K31" s="132"/>
      <c r="L31" s="131">
        <v>0.49652777777777779</v>
      </c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>
      <c r="B33" s="135"/>
      <c r="U33" s="111"/>
    </row>
    <row r="34" spans="2:21">
      <c r="B34" s="56"/>
      <c r="C34" s="121" t="s">
        <v>1842</v>
      </c>
      <c r="D34" s="121"/>
      <c r="F34" s="122"/>
      <c r="H34" t="s">
        <v>1832</v>
      </c>
      <c r="J34" s="122" t="s">
        <v>2599</v>
      </c>
      <c r="L34" t="s">
        <v>1833</v>
      </c>
      <c r="U34" s="111"/>
    </row>
    <row r="35" spans="2:21" ht="17.25" customHeight="1">
      <c r="B35" s="56"/>
      <c r="C35" s="121" t="s">
        <v>1843</v>
      </c>
      <c r="D35" s="121"/>
      <c r="F35" s="376"/>
      <c r="G35" s="376"/>
      <c r="H35" s="121"/>
      <c r="U35" s="111"/>
    </row>
    <row r="36" spans="2:21" ht="17.25" customHeight="1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4.950000000000003" customHeight="1">
      <c r="B37" s="56"/>
      <c r="C37" s="366"/>
      <c r="D37" s="367"/>
      <c r="E37" s="367"/>
      <c r="F37" s="367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8"/>
      <c r="U37" s="111"/>
    </row>
    <row r="38" spans="2:21">
      <c r="B38" s="56"/>
      <c r="C38" s="127"/>
      <c r="D38" s="127"/>
      <c r="U38" s="111"/>
    </row>
    <row r="39" spans="2:21" ht="6.75" customHeight="1">
      <c r="B39" s="56"/>
      <c r="C39" s="127"/>
      <c r="D39" s="127"/>
      <c r="U39" s="111"/>
    </row>
    <row r="40" spans="2:21">
      <c r="B40" s="56"/>
      <c r="C40" s="121" t="s">
        <v>1845</v>
      </c>
      <c r="D40" s="121"/>
      <c r="F40" s="122" t="s">
        <v>2599</v>
      </c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>
      <c r="B41" s="56"/>
      <c r="C41" s="137" t="s">
        <v>1849</v>
      </c>
      <c r="D41" s="137"/>
      <c r="F41" s="377"/>
      <c r="G41" s="377"/>
      <c r="H41" s="377"/>
      <c r="U41" s="111"/>
    </row>
    <row r="42" spans="2:21" ht="11.25" customHeight="1" thickBot="1">
      <c r="B42" s="56"/>
      <c r="U42" s="111"/>
    </row>
    <row r="43" spans="2:21" s="133" customFormat="1" ht="21.75" customHeight="1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>
        <v>0.54166666666666663</v>
      </c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>
      <c r="B45" s="135"/>
      <c r="U45" s="111"/>
    </row>
    <row r="46" spans="2:21" ht="13.8">
      <c r="B46" s="138" t="s">
        <v>1850</v>
      </c>
      <c r="U46" s="111"/>
    </row>
    <row r="47" spans="2:21" ht="9" customHeight="1">
      <c r="B47" s="56"/>
      <c r="U47" s="111"/>
    </row>
    <row r="48" spans="2:21" ht="80.25" customHeight="1">
      <c r="B48" s="56"/>
      <c r="C48" s="366"/>
      <c r="D48" s="367"/>
      <c r="E48" s="367"/>
      <c r="F48" s="367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8"/>
      <c r="U48" s="111"/>
    </row>
    <row r="49" spans="2:21" ht="11.25" customHeight="1" thickBot="1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3.8" thickBot="1"/>
    <row r="51" spans="2:21" s="2" customFormat="1" ht="30" customHeight="1" thickBot="1">
      <c r="B51" s="115"/>
      <c r="C51" s="372" t="s">
        <v>1851</v>
      </c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O51" s="372"/>
      <c r="P51" s="372"/>
      <c r="Q51" s="372"/>
      <c r="R51" s="372"/>
      <c r="S51" s="372"/>
      <c r="T51" s="372"/>
      <c r="U51" s="116"/>
    </row>
    <row r="52" spans="2:21" ht="9" customHeight="1">
      <c r="B52" s="56"/>
      <c r="U52" s="111"/>
    </row>
    <row r="53" spans="2:21" ht="13.8">
      <c r="B53" s="138"/>
      <c r="C53" s="89" t="s">
        <v>1852</v>
      </c>
      <c r="D53" s="89"/>
      <c r="U53" s="111"/>
    </row>
    <row r="54" spans="2:21" ht="9" customHeight="1">
      <c r="B54" s="56"/>
      <c r="U54" s="111"/>
    </row>
    <row r="55" spans="2:21" ht="36.75" customHeight="1">
      <c r="B55" s="56"/>
      <c r="C55" s="366"/>
      <c r="D55" s="367"/>
      <c r="E55" s="367"/>
      <c r="F55" s="367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8"/>
      <c r="U55" s="111"/>
    </row>
    <row r="56" spans="2:21" ht="12.75" customHeight="1">
      <c r="B56" s="56"/>
      <c r="C56" s="127"/>
      <c r="D56" s="127"/>
      <c r="U56" s="111"/>
    </row>
    <row r="57" spans="2:21" ht="12.75" customHeight="1">
      <c r="B57" s="138"/>
      <c r="C57" s="89" t="s">
        <v>1853</v>
      </c>
      <c r="D57" s="89"/>
      <c r="U57" s="111"/>
    </row>
    <row r="58" spans="2:21" ht="6.75" customHeight="1">
      <c r="B58" s="56"/>
      <c r="U58" s="111"/>
    </row>
    <row r="59" spans="2:21" ht="36.75" customHeight="1">
      <c r="B59" s="56"/>
      <c r="C59" s="366"/>
      <c r="D59" s="367"/>
      <c r="E59" s="367"/>
      <c r="F59" s="367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8"/>
      <c r="U59" s="111"/>
    </row>
    <row r="60" spans="2:21" ht="12.75" customHeight="1">
      <c r="B60" s="56"/>
      <c r="C60" s="127"/>
      <c r="D60" s="127"/>
      <c r="U60" s="111"/>
    </row>
    <row r="61" spans="2:21" ht="12.75" customHeight="1">
      <c r="B61" s="138"/>
      <c r="C61" s="89" t="s">
        <v>1854</v>
      </c>
      <c r="D61" s="89"/>
      <c r="U61" s="111"/>
    </row>
    <row r="62" spans="2:21" ht="6.75" customHeight="1">
      <c r="B62" s="56"/>
      <c r="U62" s="111"/>
    </row>
    <row r="63" spans="2:21" ht="36.75" customHeight="1">
      <c r="B63" s="56"/>
      <c r="C63" s="366"/>
      <c r="D63" s="367"/>
      <c r="E63" s="367"/>
      <c r="F63" s="367"/>
      <c r="G63" s="367"/>
      <c r="H63" s="367"/>
      <c r="I63" s="36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8"/>
      <c r="U63" s="111"/>
    </row>
    <row r="64" spans="2:21" ht="11.25" customHeight="1">
      <c r="B64" s="56"/>
      <c r="C64" s="127"/>
      <c r="D64" s="127"/>
      <c r="U64" s="111"/>
    </row>
    <row r="65" spans="1:21" ht="13.5" customHeight="1">
      <c r="B65" s="138"/>
      <c r="C65" s="89" t="s">
        <v>1855</v>
      </c>
      <c r="D65" s="89"/>
      <c r="U65" s="111"/>
    </row>
    <row r="66" spans="1:21" ht="6.75" customHeight="1">
      <c r="B66" s="56"/>
      <c r="U66" s="111"/>
    </row>
    <row r="67" spans="1:21" ht="36.75" customHeight="1">
      <c r="B67" s="56"/>
      <c r="C67" s="366"/>
      <c r="D67" s="367"/>
      <c r="E67" s="367"/>
      <c r="F67" s="367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8"/>
      <c r="U67" s="111"/>
    </row>
    <row r="68" spans="1:21" ht="11.25" customHeight="1">
      <c r="B68" s="56"/>
      <c r="C68" s="127"/>
      <c r="D68" s="127"/>
      <c r="U68" s="111"/>
    </row>
    <row r="69" spans="1:21" ht="13.8">
      <c r="B69" s="138"/>
      <c r="C69" s="89" t="s">
        <v>1856</v>
      </c>
      <c r="D69" s="89"/>
      <c r="U69" s="111"/>
    </row>
    <row r="70" spans="1:21" ht="6" customHeight="1">
      <c r="B70" s="56"/>
      <c r="U70" s="111"/>
    </row>
    <row r="71" spans="1:21" ht="36.75" customHeight="1">
      <c r="B71" s="56"/>
      <c r="C71" s="366"/>
      <c r="D71" s="367"/>
      <c r="E71" s="367"/>
      <c r="F71" s="367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8"/>
      <c r="U71" s="111"/>
    </row>
    <row r="72" spans="1:21" ht="12.75" customHeight="1">
      <c r="B72" s="56"/>
      <c r="C72" s="127"/>
      <c r="D72" s="127"/>
      <c r="U72" s="111"/>
    </row>
    <row r="73" spans="1:21" ht="12.75" customHeight="1">
      <c r="B73" s="138"/>
      <c r="C73" s="89" t="s">
        <v>1857</v>
      </c>
      <c r="D73" s="89"/>
      <c r="U73" s="111"/>
    </row>
    <row r="74" spans="1:21" ht="6.75" customHeight="1">
      <c r="B74" s="56"/>
      <c r="U74" s="111"/>
    </row>
    <row r="75" spans="1:21" ht="36.75" customHeight="1">
      <c r="B75" s="56"/>
      <c r="C75" s="366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8"/>
      <c r="U75" s="111"/>
    </row>
    <row r="76" spans="1:21" ht="11.25" customHeight="1" thickBot="1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>
      <c r="B78" s="135"/>
      <c r="U78" s="111"/>
    </row>
    <row r="79" spans="1:21" s="53" customFormat="1" ht="18" customHeight="1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>
      <c r="B80" s="56"/>
      <c r="P80" s="53"/>
      <c r="Q80" s="53"/>
      <c r="U80" s="111"/>
    </row>
    <row r="81" spans="2:21" ht="6" customHeight="1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4.950000000000003" customHeight="1">
      <c r="B82" s="56"/>
      <c r="C82" s="369" t="s">
        <v>2640</v>
      </c>
      <c r="D82" s="370"/>
      <c r="E82" s="370"/>
      <c r="F82" s="370"/>
      <c r="G82" s="370"/>
      <c r="H82" s="370"/>
      <c r="I82" s="37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1"/>
      <c r="U82" s="111"/>
    </row>
    <row r="83" spans="2:21" ht="11.25" customHeight="1" thickBot="1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/>
    <row r="85" spans="2:21" ht="17.25" customHeight="1"/>
    <row r="86" spans="2:21">
      <c r="B86" s="89" t="s">
        <v>1862</v>
      </c>
      <c r="D86" s="364" t="s">
        <v>2639</v>
      </c>
      <c r="E86" s="365"/>
      <c r="F86" s="365"/>
      <c r="G86" s="365"/>
      <c r="H86" s="365"/>
      <c r="I86" s="365"/>
      <c r="J86" s="365"/>
      <c r="K86" s="365"/>
      <c r="L86" s="365"/>
      <c r="M86" s="365"/>
      <c r="P86" s="365"/>
      <c r="Q86" s="365"/>
      <c r="R86" s="365"/>
      <c r="S86" s="365"/>
      <c r="T86" s="365"/>
      <c r="U86" s="365"/>
    </row>
    <row r="87" spans="2:21">
      <c r="C87" s="143"/>
      <c r="D87" s="53" t="s">
        <v>1860</v>
      </c>
      <c r="P87" s="144" t="s">
        <v>1861</v>
      </c>
    </row>
  </sheetData>
  <sheetProtection algorithmName="SHA-512" hashValue="WJKPATCUXxS86b2b6TorlUHocmXxD/6DKEjxmiAP8surolGiO9s3cBxhTVDmNj6Dt4g3oV0wG+vdmuhPReovXw==" saltValue="hHLsFfjuNaKjwZLcuLyJ1A==" spinCount="100000" sheet="1" objects="1" scenarios="1" formatCells="0" formatColumns="0" formatRows="0"/>
  <mergeCells count="25"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AD200"/>
  <sheetViews>
    <sheetView view="pageBreakPreview" topLeftCell="A176" zoomScaleNormal="100" zoomScaleSheetLayoutView="100" workbookViewId="0">
      <selection activeCell="I95" sqref="I95:J95"/>
    </sheetView>
  </sheetViews>
  <sheetFormatPr baseColWidth="10" defaultRowHeight="13.2"/>
  <cols>
    <col min="1" max="1" width="4.44140625" customWidth="1"/>
    <col min="2" max="2" width="20.6640625" customWidth="1"/>
    <col min="3" max="3" width="13.6640625" customWidth="1"/>
    <col min="4" max="4" width="7.4414062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4414062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6">
        <f>Schlüssel!$CO$1</f>
        <v>45794</v>
      </c>
      <c r="N1" s="406"/>
      <c r="O1" s="406"/>
      <c r="AD1" s="76" t="s">
        <v>1814</v>
      </c>
    </row>
    <row r="2" spans="1:30" ht="17.25" customHeight="1" thickBot="1">
      <c r="A2" s="53"/>
      <c r="B2" s="54">
        <v>1</v>
      </c>
      <c r="C2" s="35" t="s">
        <v>1787</v>
      </c>
      <c r="D2" s="35"/>
      <c r="E2" s="72" t="str">
        <f>Schlüssel!$CE$2</f>
        <v>Olching 5005 Bowling</v>
      </c>
      <c r="G2" s="66"/>
      <c r="H2" s="66"/>
      <c r="I2" s="66"/>
      <c r="J2" s="66"/>
      <c r="L2" s="66"/>
      <c r="M2" s="34" t="s">
        <v>1785</v>
      </c>
      <c r="N2" s="38">
        <v>5</v>
      </c>
      <c r="O2" s="33"/>
      <c r="AD2" s="77">
        <v>1</v>
      </c>
    </row>
    <row r="3" spans="1:30" ht="15.75" customHeight="1" thickBot="1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3.8" thickBot="1">
      <c r="A4" s="6"/>
      <c r="B4" s="7"/>
      <c r="C4" s="43"/>
      <c r="D4" s="43"/>
      <c r="E4" s="47" t="s">
        <v>10</v>
      </c>
      <c r="F4" s="7">
        <f>VLOOKUP(B2,Schlüssel!$A$5:$DZ$12,93)</f>
        <v>6</v>
      </c>
      <c r="G4" s="51" t="s">
        <v>10</v>
      </c>
      <c r="H4" s="7">
        <f>VLOOKUP(B2,Schlüssel!$A$5:$DZ$12,94)</f>
        <v>4</v>
      </c>
      <c r="I4" s="51" t="s">
        <v>10</v>
      </c>
      <c r="J4" s="7">
        <f>VLOOKUP(B2,Schlüssel!$A$5:$DZ$12,95)</f>
        <v>5</v>
      </c>
      <c r="K4" s="51" t="s">
        <v>10</v>
      </c>
      <c r="L4" s="7">
        <f>VLOOKUP(B2,Schlüssel!$A$5:$DZ$12,96)</f>
        <v>3</v>
      </c>
      <c r="M4" s="51" t="s">
        <v>10</v>
      </c>
      <c r="N4" s="57">
        <f>VLOOKUP(B2,Schlüssel!$A$5:$DZ$12,97)</f>
        <v>7</v>
      </c>
    </row>
    <row r="5" spans="1:30" ht="20.25" customHeight="1">
      <c r="B5" s="44" t="s">
        <v>1</v>
      </c>
      <c r="C5" s="45"/>
      <c r="D5" s="45"/>
      <c r="E5" s="407" t="s">
        <v>1793</v>
      </c>
      <c r="F5" s="408"/>
      <c r="G5" s="407" t="s">
        <v>1794</v>
      </c>
      <c r="H5" s="408"/>
      <c r="I5" s="407" t="s">
        <v>1795</v>
      </c>
      <c r="J5" s="408"/>
      <c r="K5" s="407" t="s">
        <v>1796</v>
      </c>
      <c r="L5" s="408"/>
      <c r="M5" s="407" t="s">
        <v>1797</v>
      </c>
      <c r="N5" s="408"/>
      <c r="O5" s="409" t="s">
        <v>1792</v>
      </c>
      <c r="P5" s="410"/>
    </row>
    <row r="6" spans="1:30" ht="15" customHeight="1" thickBot="1">
      <c r="B6" s="9" t="s">
        <v>1798</v>
      </c>
      <c r="C6" s="48" t="s">
        <v>1799</v>
      </c>
      <c r="D6" s="48" t="s">
        <v>2264</v>
      </c>
      <c r="E6" s="464" t="s">
        <v>1800</v>
      </c>
      <c r="F6" s="465" t="s">
        <v>1801</v>
      </c>
      <c r="G6" s="464" t="s">
        <v>1800</v>
      </c>
      <c r="H6" s="465" t="s">
        <v>1801</v>
      </c>
      <c r="I6" s="464" t="s">
        <v>1800</v>
      </c>
      <c r="J6" s="465" t="s">
        <v>1801</v>
      </c>
      <c r="K6" s="464" t="s">
        <v>1800</v>
      </c>
      <c r="L6" s="465" t="s">
        <v>1801</v>
      </c>
      <c r="M6" s="464" t="s">
        <v>1800</v>
      </c>
      <c r="N6" s="465" t="s">
        <v>1801</v>
      </c>
      <c r="O6" s="464" t="s">
        <v>1800</v>
      </c>
      <c r="P6" s="465" t="s">
        <v>1801</v>
      </c>
    </row>
    <row r="7" spans="1:30" ht="16.95" customHeight="1">
      <c r="A7" s="403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58"/>
      <c r="F7" s="459"/>
      <c r="G7" s="458"/>
      <c r="H7" s="459"/>
      <c r="I7" s="458"/>
      <c r="J7" s="459"/>
      <c r="K7" s="458"/>
      <c r="L7" s="459"/>
      <c r="M7" s="458"/>
      <c r="N7" s="459"/>
      <c r="O7" s="458"/>
      <c r="P7" s="459"/>
    </row>
    <row r="8" spans="1:30" ht="16.95" customHeight="1">
      <c r="A8" s="404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60"/>
      <c r="F8" s="461"/>
      <c r="G8" s="460"/>
      <c r="H8" s="461"/>
      <c r="I8" s="460"/>
      <c r="J8" s="461"/>
      <c r="K8" s="460"/>
      <c r="L8" s="461"/>
      <c r="M8" s="460"/>
      <c r="N8" s="461"/>
      <c r="O8" s="460"/>
      <c r="P8" s="461"/>
    </row>
    <row r="9" spans="1:30" ht="16.95" customHeight="1" thickBot="1">
      <c r="A9" s="405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62"/>
      <c r="F9" s="463"/>
      <c r="G9" s="462"/>
      <c r="H9" s="463"/>
      <c r="I9" s="462"/>
      <c r="J9" s="463"/>
      <c r="K9" s="462"/>
      <c r="L9" s="463"/>
      <c r="M9" s="462"/>
      <c r="N9" s="463"/>
      <c r="O9" s="462"/>
      <c r="P9" s="463"/>
    </row>
    <row r="10" spans="1:30" ht="16.95" customHeight="1">
      <c r="A10" s="403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58"/>
      <c r="F10" s="459"/>
      <c r="G10" s="458"/>
      <c r="H10" s="459"/>
      <c r="I10" s="458"/>
      <c r="J10" s="459"/>
      <c r="K10" s="458"/>
      <c r="L10" s="459"/>
      <c r="M10" s="458"/>
      <c r="N10" s="459"/>
      <c r="O10" s="458"/>
      <c r="P10" s="459"/>
    </row>
    <row r="11" spans="1:30" ht="16.95" customHeight="1">
      <c r="A11" s="404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60"/>
      <c r="F11" s="461"/>
      <c r="G11" s="460"/>
      <c r="H11" s="461"/>
      <c r="I11" s="460"/>
      <c r="J11" s="461"/>
      <c r="K11" s="460"/>
      <c r="L11" s="461"/>
      <c r="M11" s="460"/>
      <c r="N11" s="461"/>
      <c r="O11" s="460"/>
      <c r="P11" s="461"/>
    </row>
    <row r="12" spans="1:30" ht="16.95" customHeight="1" thickBot="1">
      <c r="A12" s="405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62"/>
      <c r="F12" s="463"/>
      <c r="G12" s="462"/>
      <c r="H12" s="463"/>
      <c r="I12" s="462"/>
      <c r="J12" s="463"/>
      <c r="K12" s="462"/>
      <c r="L12" s="463"/>
      <c r="M12" s="462"/>
      <c r="N12" s="463"/>
      <c r="O12" s="462"/>
      <c r="P12" s="463"/>
    </row>
    <row r="13" spans="1:30" ht="16.95" customHeight="1">
      <c r="A13" s="403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58"/>
      <c r="F13" s="459"/>
      <c r="G13" s="458"/>
      <c r="H13" s="459"/>
      <c r="I13" s="458"/>
      <c r="J13" s="459"/>
      <c r="K13" s="458"/>
      <c r="L13" s="459"/>
      <c r="M13" s="458"/>
      <c r="N13" s="459"/>
      <c r="O13" s="458"/>
      <c r="P13" s="459"/>
    </row>
    <row r="14" spans="1:30" ht="16.95" customHeight="1">
      <c r="A14" s="404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60"/>
      <c r="F14" s="461"/>
      <c r="G14" s="460"/>
      <c r="H14" s="461"/>
      <c r="I14" s="460"/>
      <c r="J14" s="461"/>
      <c r="K14" s="460"/>
      <c r="L14" s="461"/>
      <c r="M14" s="460"/>
      <c r="N14" s="461"/>
      <c r="O14" s="460"/>
      <c r="P14" s="461"/>
    </row>
    <row r="15" spans="1:30" ht="16.95" customHeight="1" thickBot="1">
      <c r="A15" s="405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62"/>
      <c r="F15" s="463"/>
      <c r="G15" s="462"/>
      <c r="H15" s="463"/>
      <c r="I15" s="462"/>
      <c r="J15" s="463"/>
      <c r="K15" s="462"/>
      <c r="L15" s="463"/>
      <c r="M15" s="462"/>
      <c r="N15" s="463"/>
      <c r="O15" s="462"/>
      <c r="P15" s="463"/>
    </row>
    <row r="16" spans="1:30" ht="27.75" customHeight="1" thickBot="1">
      <c r="B16" s="11"/>
      <c r="C16" s="25"/>
      <c r="D16" s="204"/>
      <c r="E16" s="456"/>
      <c r="F16" s="457"/>
      <c r="G16" s="456"/>
      <c r="H16" s="457"/>
      <c r="I16" s="456"/>
      <c r="J16" s="457"/>
      <c r="K16" s="456"/>
      <c r="L16" s="457"/>
      <c r="M16" s="456"/>
      <c r="N16" s="457"/>
      <c r="O16" s="456"/>
      <c r="P16" s="457"/>
    </row>
    <row r="17" spans="1:30" ht="24" customHeight="1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>
      <c r="B19" s="211" t="s">
        <v>1790</v>
      </c>
      <c r="C19" s="42" t="s">
        <v>1791</v>
      </c>
      <c r="D19" s="42"/>
      <c r="E19" s="398">
        <f>VLOOKUP(B2,Schlüssel!$A$5:$DZ$12,83)</f>
        <v>3</v>
      </c>
      <c r="F19" s="398"/>
      <c r="G19" s="398">
        <f>VLOOKUP(B2,Schlüssel!$A$5:$DZ$12,84)</f>
        <v>5</v>
      </c>
      <c r="H19" s="398"/>
      <c r="I19" s="398">
        <f>VLOOKUP(B2,Schlüssel!$A$5:$DZ$12,85)</f>
        <v>7</v>
      </c>
      <c r="J19" s="398"/>
      <c r="K19" s="398">
        <f>VLOOKUP(B2,Schlüssel!$A$5:$DZ$12,86)</f>
        <v>4</v>
      </c>
      <c r="L19" s="398"/>
      <c r="M19" s="398">
        <f>VLOOKUP(B2,Schlüssel!$A$5:$DZ$12,87)</f>
        <v>6</v>
      </c>
      <c r="N19" s="398"/>
      <c r="O19" s="399"/>
      <c r="P19" s="399"/>
    </row>
    <row r="20" spans="1:30" ht="28.5" customHeight="1">
      <c r="B20" s="4"/>
      <c r="C20" s="1"/>
      <c r="D20" s="1"/>
      <c r="E20" s="395" t="str">
        <f>VLOOKUP(E19,Schlüssel!$A$5:$K$12,2)</f>
        <v>Highroller Rosenheim 2</v>
      </c>
      <c r="F20" s="396"/>
      <c r="G20" s="395" t="str">
        <f>VLOOKUP(G19,Schlüssel!$A$5:$K$12,2)</f>
        <v>Berchtesgaden 1</v>
      </c>
      <c r="H20" s="396"/>
      <c r="I20" s="395" t="str">
        <f>VLOOKUP(I19,Schlüssel!$A$5:$K$12,2)</f>
        <v>BK München 1</v>
      </c>
      <c r="J20" s="396"/>
      <c r="K20" s="395" t="str">
        <f>VLOOKUP(K19,Schlüssel!$A$5:$K$12,2)</f>
        <v>Highroller Rosenheim 3</v>
      </c>
      <c r="L20" s="396"/>
      <c r="M20" s="395" t="str">
        <f>VLOOKUP(M19,Schlüssel!$A$5:$K$12,2)</f>
        <v>Bowling Jugend Bayern 1</v>
      </c>
      <c r="N20" s="396"/>
      <c r="O20" s="397"/>
      <c r="P20" s="397"/>
    </row>
    <row r="21" spans="1:30" ht="12" customHeight="1">
      <c r="B21" s="4"/>
      <c r="C21" s="1"/>
      <c r="D21" s="1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53"/>
      <c r="P21" s="353"/>
    </row>
    <row r="22" spans="1:30" ht="16.2" customHeight="1">
      <c r="B22" s="39" t="s">
        <v>0</v>
      </c>
      <c r="C22" s="40"/>
      <c r="D22" s="40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3"/>
      <c r="P22" s="393"/>
    </row>
    <row r="23" spans="1:30" ht="16.2" customHeight="1">
      <c r="B23" s="39" t="s">
        <v>2</v>
      </c>
      <c r="C23" s="40"/>
      <c r="D23" s="40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3"/>
      <c r="P23" s="393"/>
    </row>
    <row r="24" spans="1:30" ht="16.2" customHeight="1">
      <c r="B24" s="39" t="s">
        <v>3</v>
      </c>
      <c r="C24" s="40"/>
      <c r="D24" s="40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3"/>
      <c r="P24" s="393"/>
    </row>
    <row r="25" spans="1:30" ht="16.2" customHeight="1">
      <c r="B25" s="41" t="s">
        <v>1792</v>
      </c>
      <c r="C25" s="42"/>
      <c r="D25" s="42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41"/>
      <c r="P25" s="341"/>
    </row>
    <row r="26" spans="1:30" ht="21" customHeight="1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6">
        <f>Schlüssel!$CO$1</f>
        <v>45794</v>
      </c>
      <c r="N26" s="406"/>
      <c r="O26" s="406"/>
      <c r="AD26" s="76"/>
    </row>
    <row r="27" spans="1:30" ht="17.25" customHeight="1" thickBot="1">
      <c r="A27" s="53"/>
      <c r="B27" s="54">
        <f>+B2+1</f>
        <v>2</v>
      </c>
      <c r="C27" s="35" t="s">
        <v>1787</v>
      </c>
      <c r="D27" s="35"/>
      <c r="E27" s="72" t="str">
        <f>Schlüssel!$CE$2</f>
        <v>Olching 5005 Bowling</v>
      </c>
      <c r="G27" s="66"/>
      <c r="H27" s="66"/>
      <c r="I27" s="66"/>
      <c r="J27" s="66"/>
      <c r="L27" s="66"/>
      <c r="M27" s="34" t="s">
        <v>1785</v>
      </c>
      <c r="N27" s="38">
        <v>5</v>
      </c>
      <c r="O27" s="33"/>
      <c r="AD27" s="77"/>
    </row>
    <row r="28" spans="1:30" ht="15.75" customHeight="1" thickBot="1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3.8" thickBot="1">
      <c r="A29" s="6"/>
      <c r="B29" s="7"/>
      <c r="C29" s="43"/>
      <c r="D29" s="43"/>
      <c r="E29" s="47" t="s">
        <v>10</v>
      </c>
      <c r="F29" s="7">
        <f>VLOOKUP(B27,Schlüssel!$A$5:$DZ$12,93)</f>
        <v>8</v>
      </c>
      <c r="G29" s="51" t="s">
        <v>10</v>
      </c>
      <c r="H29" s="7">
        <f>VLOOKUP(B27,Schlüssel!$A$5:$DZ$12,94)</f>
        <v>7</v>
      </c>
      <c r="I29" s="51" t="s">
        <v>10</v>
      </c>
      <c r="J29" s="7">
        <f>VLOOKUP(B27,Schlüssel!$A$5:$DZ$12,95)</f>
        <v>1</v>
      </c>
      <c r="K29" s="51" t="s">
        <v>10</v>
      </c>
      <c r="L29" s="7">
        <f>VLOOKUP(B27,Schlüssel!$A$5:$DZ$12,96)</f>
        <v>6</v>
      </c>
      <c r="M29" s="51" t="s">
        <v>10</v>
      </c>
      <c r="N29" s="57">
        <f>VLOOKUP(B27,Schlüssel!$A$5:$DZ$12,97)</f>
        <v>3</v>
      </c>
    </row>
    <row r="30" spans="1:30" ht="20.25" customHeight="1">
      <c r="B30" s="44" t="s">
        <v>1</v>
      </c>
      <c r="C30" s="45"/>
      <c r="D30" s="45"/>
      <c r="E30" s="407" t="s">
        <v>1793</v>
      </c>
      <c r="F30" s="408"/>
      <c r="G30" s="407" t="s">
        <v>1794</v>
      </c>
      <c r="H30" s="408"/>
      <c r="I30" s="407" t="s">
        <v>1795</v>
      </c>
      <c r="J30" s="408"/>
      <c r="K30" s="407" t="s">
        <v>1796</v>
      </c>
      <c r="L30" s="408"/>
      <c r="M30" s="407" t="s">
        <v>1797</v>
      </c>
      <c r="N30" s="408"/>
      <c r="O30" s="409" t="s">
        <v>1792</v>
      </c>
      <c r="P30" s="410"/>
    </row>
    <row r="31" spans="1:30" ht="15" customHeight="1" thickBot="1">
      <c r="B31" s="9" t="s">
        <v>1798</v>
      </c>
      <c r="C31" s="48" t="s">
        <v>1799</v>
      </c>
      <c r="D31" s="48" t="s">
        <v>2264</v>
      </c>
      <c r="E31" s="464" t="s">
        <v>1800</v>
      </c>
      <c r="F31" s="465" t="s">
        <v>1801</v>
      </c>
      <c r="G31" s="464" t="s">
        <v>1800</v>
      </c>
      <c r="H31" s="465" t="s">
        <v>1801</v>
      </c>
      <c r="I31" s="464" t="s">
        <v>1800</v>
      </c>
      <c r="J31" s="465" t="s">
        <v>1801</v>
      </c>
      <c r="K31" s="464" t="s">
        <v>1800</v>
      </c>
      <c r="L31" s="465" t="s">
        <v>1801</v>
      </c>
      <c r="M31" s="464" t="s">
        <v>1800</v>
      </c>
      <c r="N31" s="465" t="s">
        <v>1801</v>
      </c>
      <c r="O31" s="464" t="s">
        <v>1800</v>
      </c>
      <c r="P31" s="465" t="s">
        <v>1801</v>
      </c>
    </row>
    <row r="32" spans="1:30" ht="16.95" customHeight="1">
      <c r="A32" s="403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58"/>
      <c r="F32" s="459"/>
      <c r="G32" s="458"/>
      <c r="H32" s="459"/>
      <c r="I32" s="458"/>
      <c r="J32" s="459"/>
      <c r="K32" s="458"/>
      <c r="L32" s="459"/>
      <c r="M32" s="458"/>
      <c r="N32" s="459"/>
      <c r="O32" s="458"/>
      <c r="P32" s="459"/>
    </row>
    <row r="33" spans="1:16" ht="16.95" customHeight="1">
      <c r="A33" s="404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60"/>
      <c r="F33" s="461"/>
      <c r="G33" s="460"/>
      <c r="H33" s="461"/>
      <c r="I33" s="460"/>
      <c r="J33" s="461"/>
      <c r="K33" s="460"/>
      <c r="L33" s="461"/>
      <c r="M33" s="460"/>
      <c r="N33" s="461"/>
      <c r="O33" s="460"/>
      <c r="P33" s="461"/>
    </row>
    <row r="34" spans="1:16" ht="16.95" customHeight="1" thickBot="1">
      <c r="A34" s="405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62"/>
      <c r="F34" s="463"/>
      <c r="G34" s="462"/>
      <c r="H34" s="463"/>
      <c r="I34" s="462"/>
      <c r="J34" s="463"/>
      <c r="K34" s="462"/>
      <c r="L34" s="463"/>
      <c r="M34" s="462"/>
      <c r="N34" s="463"/>
      <c r="O34" s="462"/>
      <c r="P34" s="463"/>
    </row>
    <row r="35" spans="1:16" ht="16.95" customHeight="1">
      <c r="A35" s="403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58"/>
      <c r="F35" s="459"/>
      <c r="G35" s="458"/>
      <c r="H35" s="459"/>
      <c r="I35" s="458"/>
      <c r="J35" s="459"/>
      <c r="K35" s="458"/>
      <c r="L35" s="459"/>
      <c r="M35" s="458"/>
      <c r="N35" s="459"/>
      <c r="O35" s="458"/>
      <c r="P35" s="459"/>
    </row>
    <row r="36" spans="1:16" ht="16.95" customHeight="1">
      <c r="A36" s="404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60"/>
      <c r="F36" s="461"/>
      <c r="G36" s="460"/>
      <c r="H36" s="461"/>
      <c r="I36" s="460"/>
      <c r="J36" s="461"/>
      <c r="K36" s="460"/>
      <c r="L36" s="461"/>
      <c r="M36" s="460"/>
      <c r="N36" s="461"/>
      <c r="O36" s="460"/>
      <c r="P36" s="461"/>
    </row>
    <row r="37" spans="1:16" ht="16.95" customHeight="1" thickBot="1">
      <c r="A37" s="405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62"/>
      <c r="F37" s="463"/>
      <c r="G37" s="462"/>
      <c r="H37" s="463"/>
      <c r="I37" s="462"/>
      <c r="J37" s="463"/>
      <c r="K37" s="462"/>
      <c r="L37" s="463"/>
      <c r="M37" s="462"/>
      <c r="N37" s="463"/>
      <c r="O37" s="462"/>
      <c r="P37" s="463"/>
    </row>
    <row r="38" spans="1:16" ht="16.95" customHeight="1">
      <c r="A38" s="403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58"/>
      <c r="F38" s="459"/>
      <c r="G38" s="458"/>
      <c r="H38" s="459"/>
      <c r="I38" s="458"/>
      <c r="J38" s="459"/>
      <c r="K38" s="458"/>
      <c r="L38" s="459"/>
      <c r="M38" s="458"/>
      <c r="N38" s="459"/>
      <c r="O38" s="458"/>
      <c r="P38" s="459"/>
    </row>
    <row r="39" spans="1:16" ht="16.95" customHeight="1">
      <c r="A39" s="404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60"/>
      <c r="F39" s="461"/>
      <c r="G39" s="460"/>
      <c r="H39" s="461"/>
      <c r="I39" s="460"/>
      <c r="J39" s="461"/>
      <c r="K39" s="460"/>
      <c r="L39" s="461"/>
      <c r="M39" s="460"/>
      <c r="N39" s="461"/>
      <c r="O39" s="460"/>
      <c r="P39" s="461"/>
    </row>
    <row r="40" spans="1:16" ht="16.95" customHeight="1" thickBot="1">
      <c r="A40" s="405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62"/>
      <c r="F40" s="463"/>
      <c r="G40" s="462"/>
      <c r="H40" s="463"/>
      <c r="I40" s="462"/>
      <c r="J40" s="463"/>
      <c r="K40" s="462"/>
      <c r="L40" s="463"/>
      <c r="M40" s="462"/>
      <c r="N40" s="463"/>
      <c r="O40" s="462"/>
      <c r="P40" s="463"/>
    </row>
    <row r="41" spans="1:16" ht="27.75" customHeight="1" thickBot="1">
      <c r="B41" s="11"/>
      <c r="C41" s="25"/>
      <c r="D41" s="204"/>
      <c r="E41" s="456"/>
      <c r="F41" s="457"/>
      <c r="G41" s="456"/>
      <c r="H41" s="457"/>
      <c r="I41" s="456"/>
      <c r="J41" s="457"/>
      <c r="K41" s="456"/>
      <c r="L41" s="457"/>
      <c r="M41" s="456"/>
      <c r="N41" s="457"/>
      <c r="O41" s="456"/>
      <c r="P41" s="457"/>
    </row>
    <row r="42" spans="1:16" ht="24" customHeight="1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>
      <c r="B44" s="211" t="s">
        <v>1790</v>
      </c>
      <c r="C44" s="42" t="s">
        <v>1791</v>
      </c>
      <c r="D44" s="42"/>
      <c r="E44" s="398">
        <f>VLOOKUP(B27,Schlüssel!$A$5:$DZ$12,83)</f>
        <v>4</v>
      </c>
      <c r="F44" s="398"/>
      <c r="G44" s="398">
        <f>VLOOKUP(B27,Schlüssel!$A$5:$DZ$12,84)</f>
        <v>7</v>
      </c>
      <c r="H44" s="398"/>
      <c r="I44" s="398">
        <f>VLOOKUP(B27,Schlüssel!$A$5:$DZ$12,85)</f>
        <v>5</v>
      </c>
      <c r="J44" s="398"/>
      <c r="K44" s="398">
        <f>VLOOKUP(B27,Schlüssel!$A$5:$DZ$12,86)</f>
        <v>3</v>
      </c>
      <c r="L44" s="398"/>
      <c r="M44" s="398">
        <f>VLOOKUP(B27,Schlüssel!$A$5:$DZ$12,87)</f>
        <v>8</v>
      </c>
      <c r="N44" s="398"/>
      <c r="O44" s="399"/>
      <c r="P44" s="399"/>
    </row>
    <row r="45" spans="1:16" ht="28.5" customHeight="1">
      <c r="B45" s="4"/>
      <c r="C45" s="1"/>
      <c r="D45" s="1"/>
      <c r="E45" s="395" t="str">
        <f>VLOOKUP(E44,Schlüssel!$A$5:$K$12,2)</f>
        <v>Highroller Rosenheim 3</v>
      </c>
      <c r="F45" s="396"/>
      <c r="G45" s="395" t="str">
        <f>VLOOKUP(G44,Schlüssel!$A$5:$K$12,2)</f>
        <v>BK München 1</v>
      </c>
      <c r="H45" s="396"/>
      <c r="I45" s="395" t="str">
        <f>VLOOKUP(I44,Schlüssel!$A$5:$K$12,2)</f>
        <v>Berchtesgaden 1</v>
      </c>
      <c r="J45" s="396"/>
      <c r="K45" s="395" t="str">
        <f>VLOOKUP(K44,Schlüssel!$A$5:$K$12,2)</f>
        <v>Highroller Rosenheim 2</v>
      </c>
      <c r="L45" s="396"/>
      <c r="M45" s="395" t="str">
        <f>VLOOKUP(M44,Schlüssel!$A$5:$K$12,2)</f>
        <v>EMAX 1</v>
      </c>
      <c r="N45" s="396"/>
      <c r="O45" s="397"/>
      <c r="P45" s="397"/>
    </row>
    <row r="46" spans="1:16" ht="12" customHeight="1">
      <c r="B46" s="4"/>
      <c r="C46" s="1"/>
      <c r="D46" s="1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53"/>
      <c r="P46" s="353"/>
    </row>
    <row r="47" spans="1:16" ht="16.2" customHeight="1">
      <c r="B47" s="39" t="s">
        <v>0</v>
      </c>
      <c r="C47" s="40"/>
      <c r="D47" s="40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3"/>
      <c r="P47" s="393"/>
    </row>
    <row r="48" spans="1:16" ht="16.2" customHeight="1">
      <c r="B48" s="39" t="s">
        <v>2</v>
      </c>
      <c r="C48" s="40"/>
      <c r="D48" s="40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3"/>
      <c r="P48" s="393"/>
    </row>
    <row r="49" spans="1:30" ht="16.2" customHeight="1">
      <c r="B49" s="39" t="s">
        <v>3</v>
      </c>
      <c r="C49" s="40"/>
      <c r="D49" s="40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3"/>
      <c r="P49" s="393"/>
    </row>
    <row r="50" spans="1:30" ht="15.75" customHeight="1">
      <c r="B50" s="41" t="s">
        <v>1792</v>
      </c>
      <c r="C50" s="42"/>
      <c r="D50" s="42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41"/>
      <c r="P50" s="341"/>
    </row>
    <row r="51" spans="1:30" ht="21" customHeight="1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6">
        <f>Schlüssel!$CO$1</f>
        <v>45794</v>
      </c>
      <c r="N51" s="406"/>
      <c r="O51" s="406"/>
      <c r="AD51" s="76"/>
    </row>
    <row r="52" spans="1:30" ht="17.25" customHeight="1" thickBot="1">
      <c r="A52" s="53"/>
      <c r="B52" s="54">
        <f>+B27+1</f>
        <v>3</v>
      </c>
      <c r="C52" s="35" t="s">
        <v>1787</v>
      </c>
      <c r="D52" s="35"/>
      <c r="E52" s="72" t="str">
        <f>Schlüssel!$CE$2</f>
        <v>Olching 5005 Bowling</v>
      </c>
      <c r="G52" s="66"/>
      <c r="H52" s="66"/>
      <c r="I52" s="66"/>
      <c r="J52" s="66"/>
      <c r="L52" s="66"/>
      <c r="M52" s="34" t="s">
        <v>1785</v>
      </c>
      <c r="N52" s="38">
        <v>5</v>
      </c>
      <c r="O52" s="33"/>
      <c r="AD52" s="77"/>
    </row>
    <row r="53" spans="1:30" ht="15.75" customHeight="1" thickBot="1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3.8" thickBot="1">
      <c r="A54" s="6"/>
      <c r="B54" s="7"/>
      <c r="C54" s="43"/>
      <c r="D54" s="43"/>
      <c r="E54" s="47" t="s">
        <v>10</v>
      </c>
      <c r="F54" s="7">
        <f>VLOOKUP(B52,Schlüssel!$A$5:$DZ$12,93)</f>
        <v>5</v>
      </c>
      <c r="G54" s="51" t="s">
        <v>10</v>
      </c>
      <c r="H54" s="7">
        <f>VLOOKUP(B52,Schlüssel!$A$5:$DZ$12,94)</f>
        <v>6</v>
      </c>
      <c r="I54" s="51" t="s">
        <v>10</v>
      </c>
      <c r="J54" s="7">
        <f>VLOOKUP(B52,Schlüssel!$A$5:$DZ$12,95)</f>
        <v>4</v>
      </c>
      <c r="K54" s="51" t="s">
        <v>10</v>
      </c>
      <c r="L54" s="7">
        <f>VLOOKUP(B52,Schlüssel!$A$5:$DZ$12,96)</f>
        <v>5</v>
      </c>
      <c r="M54" s="51" t="s">
        <v>10</v>
      </c>
      <c r="N54" s="57">
        <f>VLOOKUP(B52,Schlüssel!$A$5:$DZ$12,97)</f>
        <v>2</v>
      </c>
    </row>
    <row r="55" spans="1:30" ht="20.25" customHeight="1">
      <c r="B55" s="44" t="s">
        <v>1</v>
      </c>
      <c r="C55" s="45"/>
      <c r="D55" s="45"/>
      <c r="E55" s="407" t="s">
        <v>1793</v>
      </c>
      <c r="F55" s="408"/>
      <c r="G55" s="407" t="s">
        <v>1794</v>
      </c>
      <c r="H55" s="408"/>
      <c r="I55" s="407" t="s">
        <v>1795</v>
      </c>
      <c r="J55" s="408"/>
      <c r="K55" s="407" t="s">
        <v>1796</v>
      </c>
      <c r="L55" s="408"/>
      <c r="M55" s="407" t="s">
        <v>1797</v>
      </c>
      <c r="N55" s="408"/>
      <c r="O55" s="409" t="s">
        <v>1792</v>
      </c>
      <c r="P55" s="410"/>
    </row>
    <row r="56" spans="1:30" ht="15" customHeight="1" thickBot="1">
      <c r="B56" s="9" t="s">
        <v>1798</v>
      </c>
      <c r="C56" s="48" t="s">
        <v>1799</v>
      </c>
      <c r="D56" s="48" t="s">
        <v>2264</v>
      </c>
      <c r="E56" s="464" t="s">
        <v>1800</v>
      </c>
      <c r="F56" s="465" t="s">
        <v>1801</v>
      </c>
      <c r="G56" s="464" t="s">
        <v>1800</v>
      </c>
      <c r="H56" s="465" t="s">
        <v>1801</v>
      </c>
      <c r="I56" s="464" t="s">
        <v>1800</v>
      </c>
      <c r="J56" s="465" t="s">
        <v>1801</v>
      </c>
      <c r="K56" s="464" t="s">
        <v>1800</v>
      </c>
      <c r="L56" s="465" t="s">
        <v>1801</v>
      </c>
      <c r="M56" s="464" t="s">
        <v>1800</v>
      </c>
      <c r="N56" s="465" t="s">
        <v>1801</v>
      </c>
      <c r="O56" s="464" t="s">
        <v>1800</v>
      </c>
      <c r="P56" s="465" t="s">
        <v>1801</v>
      </c>
    </row>
    <row r="57" spans="1:30" ht="16.95" customHeight="1">
      <c r="A57" s="403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58"/>
      <c r="F57" s="459"/>
      <c r="G57" s="458"/>
      <c r="H57" s="459"/>
      <c r="I57" s="458"/>
      <c r="J57" s="459"/>
      <c r="K57" s="458"/>
      <c r="L57" s="459"/>
      <c r="M57" s="458"/>
      <c r="N57" s="459"/>
      <c r="O57" s="458"/>
      <c r="P57" s="459"/>
    </row>
    <row r="58" spans="1:30" ht="16.95" customHeight="1">
      <c r="A58" s="404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60"/>
      <c r="F58" s="461"/>
      <c r="G58" s="460"/>
      <c r="H58" s="461"/>
      <c r="I58" s="460"/>
      <c r="J58" s="461"/>
      <c r="K58" s="460"/>
      <c r="L58" s="461"/>
      <c r="M58" s="460"/>
      <c r="N58" s="461"/>
      <c r="O58" s="460"/>
      <c r="P58" s="461"/>
    </row>
    <row r="59" spans="1:30" ht="16.95" customHeight="1" thickBot="1">
      <c r="A59" s="405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62"/>
      <c r="F59" s="463"/>
      <c r="G59" s="462"/>
      <c r="H59" s="463"/>
      <c r="I59" s="462"/>
      <c r="J59" s="463"/>
      <c r="K59" s="462"/>
      <c r="L59" s="463"/>
      <c r="M59" s="462"/>
      <c r="N59" s="463"/>
      <c r="O59" s="462"/>
      <c r="P59" s="463"/>
    </row>
    <row r="60" spans="1:30" ht="16.95" customHeight="1">
      <c r="A60" s="403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58"/>
      <c r="F60" s="459"/>
      <c r="G60" s="458"/>
      <c r="H60" s="459"/>
      <c r="I60" s="458"/>
      <c r="J60" s="459"/>
      <c r="K60" s="458"/>
      <c r="L60" s="459"/>
      <c r="M60" s="458"/>
      <c r="N60" s="459"/>
      <c r="O60" s="458"/>
      <c r="P60" s="459"/>
    </row>
    <row r="61" spans="1:30" ht="16.95" customHeight="1">
      <c r="A61" s="404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60"/>
      <c r="F61" s="461"/>
      <c r="G61" s="460"/>
      <c r="H61" s="461"/>
      <c r="I61" s="460"/>
      <c r="J61" s="461"/>
      <c r="K61" s="460"/>
      <c r="L61" s="461"/>
      <c r="M61" s="460"/>
      <c r="N61" s="461"/>
      <c r="O61" s="460"/>
      <c r="P61" s="461"/>
    </row>
    <row r="62" spans="1:30" ht="16.95" customHeight="1" thickBot="1">
      <c r="A62" s="405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62"/>
      <c r="F62" s="463"/>
      <c r="G62" s="462"/>
      <c r="H62" s="463"/>
      <c r="I62" s="462"/>
      <c r="J62" s="463"/>
      <c r="K62" s="462"/>
      <c r="L62" s="463"/>
      <c r="M62" s="462"/>
      <c r="N62" s="463"/>
      <c r="O62" s="462"/>
      <c r="P62" s="463"/>
    </row>
    <row r="63" spans="1:30" ht="16.95" customHeight="1">
      <c r="A63" s="403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58"/>
      <c r="F63" s="459"/>
      <c r="G63" s="458"/>
      <c r="H63" s="459"/>
      <c r="I63" s="458"/>
      <c r="J63" s="459"/>
      <c r="K63" s="458"/>
      <c r="L63" s="459"/>
      <c r="M63" s="458"/>
      <c r="N63" s="459"/>
      <c r="O63" s="458"/>
      <c r="P63" s="459"/>
    </row>
    <row r="64" spans="1:30" ht="16.95" customHeight="1">
      <c r="A64" s="404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60"/>
      <c r="F64" s="461"/>
      <c r="G64" s="460"/>
      <c r="H64" s="461"/>
      <c r="I64" s="460"/>
      <c r="J64" s="461"/>
      <c r="K64" s="460"/>
      <c r="L64" s="461"/>
      <c r="M64" s="460"/>
      <c r="N64" s="461"/>
      <c r="O64" s="460"/>
      <c r="P64" s="461"/>
    </row>
    <row r="65" spans="1:30" ht="16.95" customHeight="1" thickBot="1">
      <c r="A65" s="405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62"/>
      <c r="F65" s="463"/>
      <c r="G65" s="462"/>
      <c r="H65" s="463"/>
      <c r="I65" s="462"/>
      <c r="J65" s="463"/>
      <c r="K65" s="462"/>
      <c r="L65" s="463"/>
      <c r="M65" s="462"/>
      <c r="N65" s="463"/>
      <c r="O65" s="462"/>
      <c r="P65" s="463"/>
    </row>
    <row r="66" spans="1:30" ht="27.75" customHeight="1" thickBot="1">
      <c r="B66" s="11"/>
      <c r="C66" s="25"/>
      <c r="D66" s="204"/>
      <c r="E66" s="456"/>
      <c r="F66" s="457"/>
      <c r="G66" s="456"/>
      <c r="H66" s="457"/>
      <c r="I66" s="456"/>
      <c r="J66" s="457"/>
      <c r="K66" s="456"/>
      <c r="L66" s="457"/>
      <c r="M66" s="456"/>
      <c r="N66" s="457"/>
      <c r="O66" s="456"/>
      <c r="P66" s="457"/>
    </row>
    <row r="67" spans="1:30" ht="24" customHeight="1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>
      <c r="B69" s="211" t="s">
        <v>1790</v>
      </c>
      <c r="C69" s="42" t="s">
        <v>1791</v>
      </c>
      <c r="D69" s="42"/>
      <c r="E69" s="398">
        <f>VLOOKUP(B52,Schlüssel!$A$5:$DZ$12,83)</f>
        <v>1</v>
      </c>
      <c r="F69" s="398"/>
      <c r="G69" s="398">
        <f>VLOOKUP(B52,Schlüssel!$A$5:$DZ$12,84)</f>
        <v>6</v>
      </c>
      <c r="H69" s="398"/>
      <c r="I69" s="398">
        <f>VLOOKUP(B52,Schlüssel!$A$5:$DZ$12,85)</f>
        <v>8</v>
      </c>
      <c r="J69" s="398"/>
      <c r="K69" s="398">
        <f>VLOOKUP(B52,Schlüssel!$A$5:$DZ$12,86)</f>
        <v>2</v>
      </c>
      <c r="L69" s="398"/>
      <c r="M69" s="398">
        <f>VLOOKUP(B52,Schlüssel!$A$5:$DZ$12,87)</f>
        <v>5</v>
      </c>
      <c r="N69" s="398"/>
      <c r="O69" s="399"/>
      <c r="P69" s="399"/>
    </row>
    <row r="70" spans="1:30" ht="28.5" customHeight="1">
      <c r="B70" s="4"/>
      <c r="C70" s="1"/>
      <c r="D70" s="1"/>
      <c r="E70" s="395" t="str">
        <f>VLOOKUP(E69,Schlüssel!$A$5:$K$12,2)</f>
        <v>Bad Tölz 1</v>
      </c>
      <c r="F70" s="396"/>
      <c r="G70" s="395" t="str">
        <f>VLOOKUP(G69,Schlüssel!$A$5:$K$12,2)</f>
        <v>Bowling Jugend Bayern 1</v>
      </c>
      <c r="H70" s="396"/>
      <c r="I70" s="395" t="str">
        <f>VLOOKUP(I69,Schlüssel!$A$5:$K$12,2)</f>
        <v>EMAX 1</v>
      </c>
      <c r="J70" s="396"/>
      <c r="K70" s="395" t="str">
        <f>VLOOKUP(K69,Schlüssel!$A$5:$K$12,2)</f>
        <v>Highroller Rosenheim 1</v>
      </c>
      <c r="L70" s="396"/>
      <c r="M70" s="395" t="str">
        <f>VLOOKUP(M69,Schlüssel!$A$5:$K$12,2)</f>
        <v>Berchtesgaden 1</v>
      </c>
      <c r="N70" s="396"/>
      <c r="O70" s="397"/>
      <c r="P70" s="397"/>
    </row>
    <row r="71" spans="1:30" ht="12" customHeight="1">
      <c r="B71" s="4"/>
      <c r="C71" s="1"/>
      <c r="D71" s="1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53"/>
      <c r="P71" s="353"/>
    </row>
    <row r="72" spans="1:30" ht="16.2" customHeight="1">
      <c r="B72" s="39" t="s">
        <v>0</v>
      </c>
      <c r="C72" s="40"/>
      <c r="D72" s="40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3"/>
      <c r="P72" s="393"/>
    </row>
    <row r="73" spans="1:30" ht="16.2" customHeight="1">
      <c r="B73" s="39" t="s">
        <v>2</v>
      </c>
      <c r="C73" s="40"/>
      <c r="D73" s="40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3"/>
      <c r="P73" s="393"/>
    </row>
    <row r="74" spans="1:30" ht="16.2" customHeight="1">
      <c r="B74" s="39" t="s">
        <v>3</v>
      </c>
      <c r="C74" s="40"/>
      <c r="D74" s="40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3"/>
      <c r="P74" s="393"/>
    </row>
    <row r="75" spans="1:30" ht="15.75" customHeight="1">
      <c r="B75" s="41" t="s">
        <v>1792</v>
      </c>
      <c r="C75" s="42"/>
      <c r="D75" s="42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41"/>
      <c r="P75" s="341"/>
    </row>
    <row r="76" spans="1:30" ht="21" customHeight="1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6">
        <f>Schlüssel!$CO$1</f>
        <v>45794</v>
      </c>
      <c r="N76" s="406"/>
      <c r="O76" s="406"/>
      <c r="AD76" s="76"/>
    </row>
    <row r="77" spans="1:30" ht="17.25" customHeight="1" thickBot="1">
      <c r="A77" s="53"/>
      <c r="B77" s="54">
        <f>+B52+1</f>
        <v>4</v>
      </c>
      <c r="C77" s="35" t="s">
        <v>1787</v>
      </c>
      <c r="D77" s="35"/>
      <c r="E77" s="72" t="str">
        <f>Schlüssel!$CE$2</f>
        <v>Olching 5005 Bowling</v>
      </c>
      <c r="G77" s="66"/>
      <c r="H77" s="66"/>
      <c r="I77" s="66"/>
      <c r="J77" s="66"/>
      <c r="L77" s="66"/>
      <c r="M77" s="34" t="s">
        <v>1785</v>
      </c>
      <c r="N77" s="38">
        <v>5</v>
      </c>
      <c r="O77" s="33"/>
      <c r="AD77" s="77"/>
    </row>
    <row r="78" spans="1:30" ht="15.75" customHeight="1" thickBot="1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3.8" thickBot="1">
      <c r="A79" s="6"/>
      <c r="B79" s="7"/>
      <c r="C79" s="43"/>
      <c r="D79" s="43"/>
      <c r="E79" s="47" t="s">
        <v>10</v>
      </c>
      <c r="F79" s="7">
        <f>VLOOKUP(B77,Schlüssel!$A$5:$DZ$12,93)</f>
        <v>7</v>
      </c>
      <c r="G79" s="51" t="s">
        <v>10</v>
      </c>
      <c r="H79" s="7">
        <f>VLOOKUP(B77,Schlüssel!$A$5:$DZ$12,94)</f>
        <v>1</v>
      </c>
      <c r="I79" s="51" t="s">
        <v>10</v>
      </c>
      <c r="J79" s="7">
        <f>VLOOKUP(B77,Schlüssel!$A$5:$DZ$12,95)</f>
        <v>8</v>
      </c>
      <c r="K79" s="51" t="s">
        <v>10</v>
      </c>
      <c r="L79" s="7">
        <f>VLOOKUP(B77,Schlüssel!$A$5:$DZ$12,96)</f>
        <v>4</v>
      </c>
      <c r="M79" s="51" t="s">
        <v>10</v>
      </c>
      <c r="N79" s="57">
        <f>VLOOKUP(B77,Schlüssel!$A$5:$DZ$12,97)</f>
        <v>6</v>
      </c>
    </row>
    <row r="80" spans="1:30" ht="20.25" customHeight="1">
      <c r="B80" s="44" t="s">
        <v>1</v>
      </c>
      <c r="C80" s="45"/>
      <c r="D80" s="45"/>
      <c r="E80" s="407" t="s">
        <v>1793</v>
      </c>
      <c r="F80" s="408"/>
      <c r="G80" s="407" t="s">
        <v>1794</v>
      </c>
      <c r="H80" s="408"/>
      <c r="I80" s="407" t="s">
        <v>1795</v>
      </c>
      <c r="J80" s="408"/>
      <c r="K80" s="407" t="s">
        <v>1796</v>
      </c>
      <c r="L80" s="408"/>
      <c r="M80" s="407" t="s">
        <v>1797</v>
      </c>
      <c r="N80" s="408"/>
      <c r="O80" s="409" t="s">
        <v>1792</v>
      </c>
      <c r="P80" s="410"/>
    </row>
    <row r="81" spans="1:16" ht="15" customHeight="1" thickBot="1">
      <c r="B81" s="9" t="s">
        <v>1798</v>
      </c>
      <c r="C81" s="48" t="s">
        <v>1799</v>
      </c>
      <c r="D81" s="48" t="s">
        <v>2264</v>
      </c>
      <c r="E81" s="464" t="s">
        <v>1800</v>
      </c>
      <c r="F81" s="465" t="s">
        <v>1801</v>
      </c>
      <c r="G81" s="464" t="s">
        <v>1800</v>
      </c>
      <c r="H81" s="465" t="s">
        <v>1801</v>
      </c>
      <c r="I81" s="464" t="s">
        <v>1800</v>
      </c>
      <c r="J81" s="465" t="s">
        <v>1801</v>
      </c>
      <c r="K81" s="464" t="s">
        <v>1800</v>
      </c>
      <c r="L81" s="465" t="s">
        <v>1801</v>
      </c>
      <c r="M81" s="464" t="s">
        <v>1800</v>
      </c>
      <c r="N81" s="465" t="s">
        <v>1801</v>
      </c>
      <c r="O81" s="464" t="s">
        <v>1800</v>
      </c>
      <c r="P81" s="465" t="s">
        <v>1801</v>
      </c>
    </row>
    <row r="82" spans="1:16" ht="16.95" customHeight="1">
      <c r="A82" s="403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58"/>
      <c r="F82" s="459"/>
      <c r="G82" s="458"/>
      <c r="H82" s="459"/>
      <c r="I82" s="458"/>
      <c r="J82" s="459"/>
      <c r="K82" s="458"/>
      <c r="L82" s="459"/>
      <c r="M82" s="458"/>
      <c r="N82" s="459"/>
      <c r="O82" s="458"/>
      <c r="P82" s="459"/>
    </row>
    <row r="83" spans="1:16" ht="16.95" customHeight="1">
      <c r="A83" s="404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60"/>
      <c r="F83" s="461"/>
      <c r="G83" s="460"/>
      <c r="H83" s="461"/>
      <c r="I83" s="460"/>
      <c r="J83" s="461"/>
      <c r="K83" s="460"/>
      <c r="L83" s="461"/>
      <c r="M83" s="460"/>
      <c r="N83" s="461"/>
      <c r="O83" s="460"/>
      <c r="P83" s="461"/>
    </row>
    <row r="84" spans="1:16" ht="16.95" customHeight="1" thickBot="1">
      <c r="A84" s="405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62"/>
      <c r="F84" s="463"/>
      <c r="G84" s="462"/>
      <c r="H84" s="463"/>
      <c r="I84" s="462"/>
      <c r="J84" s="463"/>
      <c r="K84" s="462"/>
      <c r="L84" s="463"/>
      <c r="M84" s="462"/>
      <c r="N84" s="463"/>
      <c r="O84" s="462"/>
      <c r="P84" s="463"/>
    </row>
    <row r="85" spans="1:16" ht="16.95" customHeight="1">
      <c r="A85" s="403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58"/>
      <c r="F85" s="459"/>
      <c r="G85" s="458"/>
      <c r="H85" s="459"/>
      <c r="I85" s="458"/>
      <c r="J85" s="459"/>
      <c r="K85" s="458"/>
      <c r="L85" s="459"/>
      <c r="M85" s="458"/>
      <c r="N85" s="459"/>
      <c r="O85" s="458"/>
      <c r="P85" s="459"/>
    </row>
    <row r="86" spans="1:16" ht="16.95" customHeight="1">
      <c r="A86" s="404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60"/>
      <c r="F86" s="461"/>
      <c r="G86" s="460"/>
      <c r="H86" s="461"/>
      <c r="I86" s="460"/>
      <c r="J86" s="461"/>
      <c r="K86" s="460"/>
      <c r="L86" s="461"/>
      <c r="M86" s="460"/>
      <c r="N86" s="461"/>
      <c r="O86" s="460"/>
      <c r="P86" s="461"/>
    </row>
    <row r="87" spans="1:16" ht="16.95" customHeight="1" thickBot="1">
      <c r="A87" s="405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62"/>
      <c r="F87" s="463"/>
      <c r="G87" s="462"/>
      <c r="H87" s="463"/>
      <c r="I87" s="462"/>
      <c r="J87" s="463"/>
      <c r="K87" s="462"/>
      <c r="L87" s="463"/>
      <c r="M87" s="462"/>
      <c r="N87" s="463"/>
      <c r="O87" s="462"/>
      <c r="P87" s="463"/>
    </row>
    <row r="88" spans="1:16" ht="16.95" customHeight="1">
      <c r="A88" s="403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58"/>
      <c r="F88" s="459"/>
      <c r="G88" s="458"/>
      <c r="H88" s="459"/>
      <c r="I88" s="458"/>
      <c r="J88" s="459"/>
      <c r="K88" s="458"/>
      <c r="L88" s="459"/>
      <c r="M88" s="458"/>
      <c r="N88" s="459"/>
      <c r="O88" s="458"/>
      <c r="P88" s="459"/>
    </row>
    <row r="89" spans="1:16" ht="16.95" customHeight="1">
      <c r="A89" s="404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60"/>
      <c r="F89" s="461"/>
      <c r="G89" s="460"/>
      <c r="H89" s="461"/>
      <c r="I89" s="460"/>
      <c r="J89" s="461"/>
      <c r="K89" s="460"/>
      <c r="L89" s="461"/>
      <c r="M89" s="460"/>
      <c r="N89" s="461"/>
      <c r="O89" s="460"/>
      <c r="P89" s="461"/>
    </row>
    <row r="90" spans="1:16" ht="16.95" customHeight="1" thickBot="1">
      <c r="A90" s="405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62"/>
      <c r="F90" s="463"/>
      <c r="G90" s="462"/>
      <c r="H90" s="463"/>
      <c r="I90" s="462"/>
      <c r="J90" s="463"/>
      <c r="K90" s="462"/>
      <c r="L90" s="463"/>
      <c r="M90" s="462"/>
      <c r="N90" s="463"/>
      <c r="O90" s="462"/>
      <c r="P90" s="463"/>
    </row>
    <row r="91" spans="1:16" ht="27.75" customHeight="1" thickBot="1">
      <c r="B91" s="11"/>
      <c r="C91" s="25"/>
      <c r="D91" s="204"/>
      <c r="E91" s="456"/>
      <c r="F91" s="457"/>
      <c r="G91" s="456"/>
      <c r="H91" s="457"/>
      <c r="I91" s="456"/>
      <c r="J91" s="457"/>
      <c r="K91" s="456"/>
      <c r="L91" s="457"/>
      <c r="M91" s="456"/>
      <c r="N91" s="457"/>
      <c r="O91" s="456"/>
      <c r="P91" s="457"/>
    </row>
    <row r="92" spans="1:16" ht="24" customHeight="1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>
      <c r="B94" s="211" t="s">
        <v>1790</v>
      </c>
      <c r="C94" s="42" t="s">
        <v>1791</v>
      </c>
      <c r="D94" s="42"/>
      <c r="E94" s="398">
        <f>VLOOKUP(B77,Schlüssel!$A$5:$DZ$12,83)</f>
        <v>2</v>
      </c>
      <c r="F94" s="398"/>
      <c r="G94" s="398">
        <f>VLOOKUP(B77,Schlüssel!$A$5:$DZ$12,84)</f>
        <v>8</v>
      </c>
      <c r="H94" s="398"/>
      <c r="I94" s="398">
        <f>VLOOKUP(B77,Schlüssel!$A$5:$DZ$12,85)</f>
        <v>6</v>
      </c>
      <c r="J94" s="398"/>
      <c r="K94" s="398">
        <f>VLOOKUP(B77,Schlüssel!$A$5:$DZ$12,86)</f>
        <v>1</v>
      </c>
      <c r="L94" s="398"/>
      <c r="M94" s="398">
        <f>VLOOKUP(B77,Schlüssel!$A$5:$DZ$12,87)</f>
        <v>7</v>
      </c>
      <c r="N94" s="398"/>
      <c r="O94" s="399"/>
      <c r="P94" s="399"/>
    </row>
    <row r="95" spans="1:16" ht="28.5" customHeight="1">
      <c r="B95" s="4"/>
      <c r="C95" s="1"/>
      <c r="D95" s="1"/>
      <c r="E95" s="395" t="str">
        <f>VLOOKUP(E94,Schlüssel!$A$5:$K$12,2)</f>
        <v>Highroller Rosenheim 1</v>
      </c>
      <c r="F95" s="396"/>
      <c r="G95" s="395" t="str">
        <f>VLOOKUP(G94,Schlüssel!$A$5:$K$12,2)</f>
        <v>EMAX 1</v>
      </c>
      <c r="H95" s="396"/>
      <c r="I95" s="395" t="str">
        <f>VLOOKUP(I94,Schlüssel!$A$5:$K$12,2)</f>
        <v>Bowling Jugend Bayern 1</v>
      </c>
      <c r="J95" s="396"/>
      <c r="K95" s="395" t="str">
        <f>VLOOKUP(K94,Schlüssel!$A$5:$K$12,2)</f>
        <v>Bad Tölz 1</v>
      </c>
      <c r="L95" s="396"/>
      <c r="M95" s="395" t="str">
        <f>VLOOKUP(M94,Schlüssel!$A$5:$K$12,2)</f>
        <v>BK München 1</v>
      </c>
      <c r="N95" s="396"/>
      <c r="O95" s="397"/>
      <c r="P95" s="397"/>
    </row>
    <row r="96" spans="1:16" ht="12" customHeight="1">
      <c r="B96" s="4"/>
      <c r="C96" s="1"/>
      <c r="D96" s="1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53"/>
      <c r="P96" s="353"/>
    </row>
    <row r="97" spans="1:30" ht="16.2" customHeight="1">
      <c r="B97" s="39" t="s">
        <v>0</v>
      </c>
      <c r="C97" s="40"/>
      <c r="D97" s="40"/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393"/>
      <c r="P97" s="393"/>
    </row>
    <row r="98" spans="1:30" ht="16.2" customHeight="1">
      <c r="B98" s="39" t="s">
        <v>2</v>
      </c>
      <c r="C98" s="40"/>
      <c r="D98" s="40"/>
      <c r="E98" s="392"/>
      <c r="F98" s="392"/>
      <c r="G98" s="392"/>
      <c r="H98" s="392"/>
      <c r="I98" s="392"/>
      <c r="J98" s="392"/>
      <c r="K98" s="392"/>
      <c r="L98" s="392"/>
      <c r="M98" s="392"/>
      <c r="N98" s="392"/>
      <c r="O98" s="393"/>
      <c r="P98" s="393"/>
    </row>
    <row r="99" spans="1:30" ht="16.2" customHeight="1">
      <c r="B99" s="39" t="s">
        <v>3</v>
      </c>
      <c r="C99" s="40"/>
      <c r="D99" s="40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3"/>
      <c r="P99" s="393"/>
    </row>
    <row r="100" spans="1:30" ht="15.75" customHeight="1">
      <c r="B100" s="41" t="s">
        <v>1792</v>
      </c>
      <c r="C100" s="42"/>
      <c r="D100" s="42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41"/>
      <c r="P100" s="341"/>
    </row>
    <row r="101" spans="1:30" ht="21" customHeight="1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6">
        <f>Schlüssel!$CO$1</f>
        <v>45794</v>
      </c>
      <c r="N101" s="406"/>
      <c r="O101" s="406"/>
      <c r="AD101" s="76"/>
    </row>
    <row r="102" spans="1:30" ht="17.25" customHeight="1" thickBot="1">
      <c r="A102" s="53"/>
      <c r="B102" s="54">
        <f>+B77+1</f>
        <v>5</v>
      </c>
      <c r="C102" s="35" t="s">
        <v>1787</v>
      </c>
      <c r="D102" s="35"/>
      <c r="E102" s="72" t="str">
        <f>Schlüssel!$CE$2</f>
        <v>Olching 5005 Bowling</v>
      </c>
      <c r="G102" s="66"/>
      <c r="H102" s="66"/>
      <c r="I102" s="66"/>
      <c r="J102" s="66"/>
      <c r="L102" s="66"/>
      <c r="M102" s="34" t="s">
        <v>1785</v>
      </c>
      <c r="N102" s="38">
        <v>5</v>
      </c>
      <c r="O102" s="33"/>
      <c r="AD102" s="77"/>
    </row>
    <row r="103" spans="1:30" ht="15.75" customHeight="1" thickBot="1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3.8" thickBot="1">
      <c r="A104" s="6"/>
      <c r="B104" s="7"/>
      <c r="C104" s="43"/>
      <c r="D104" s="43"/>
      <c r="E104" s="47" t="s">
        <v>10</v>
      </c>
      <c r="F104" s="7">
        <f>VLOOKUP(B102,Schlüssel!$A$5:$DZ$12,93)</f>
        <v>2</v>
      </c>
      <c r="G104" s="51" t="s">
        <v>10</v>
      </c>
      <c r="H104" s="7">
        <f>VLOOKUP(B102,Schlüssel!$A$5:$DZ$12,94)</f>
        <v>3</v>
      </c>
      <c r="I104" s="51" t="s">
        <v>10</v>
      </c>
      <c r="J104" s="7">
        <f>VLOOKUP(B102,Schlüssel!$A$5:$DZ$12,95)</f>
        <v>2</v>
      </c>
      <c r="K104" s="51" t="s">
        <v>10</v>
      </c>
      <c r="L104" s="7">
        <f>VLOOKUP(B102,Schlüssel!$A$5:$DZ$12,96)</f>
        <v>7</v>
      </c>
      <c r="M104" s="51" t="s">
        <v>10</v>
      </c>
      <c r="N104" s="57">
        <f>VLOOKUP(B102,Schlüssel!$A$5:$DZ$12,97)</f>
        <v>1</v>
      </c>
    </row>
    <row r="105" spans="1:30" ht="20.25" customHeight="1">
      <c r="B105" s="44" t="s">
        <v>1</v>
      </c>
      <c r="C105" s="45"/>
      <c r="D105" s="45"/>
      <c r="E105" s="407" t="s">
        <v>1793</v>
      </c>
      <c r="F105" s="408"/>
      <c r="G105" s="407" t="s">
        <v>1794</v>
      </c>
      <c r="H105" s="408"/>
      <c r="I105" s="407" t="s">
        <v>1795</v>
      </c>
      <c r="J105" s="408"/>
      <c r="K105" s="407" t="s">
        <v>1796</v>
      </c>
      <c r="L105" s="408"/>
      <c r="M105" s="407" t="s">
        <v>1797</v>
      </c>
      <c r="N105" s="408"/>
      <c r="O105" s="409" t="s">
        <v>1792</v>
      </c>
      <c r="P105" s="410"/>
    </row>
    <row r="106" spans="1:30" ht="15" customHeight="1" thickBot="1">
      <c r="B106" s="9" t="s">
        <v>1798</v>
      </c>
      <c r="C106" s="48" t="s">
        <v>1799</v>
      </c>
      <c r="D106" s="48" t="s">
        <v>2264</v>
      </c>
      <c r="E106" s="464" t="s">
        <v>1800</v>
      </c>
      <c r="F106" s="465" t="s">
        <v>1801</v>
      </c>
      <c r="G106" s="464" t="s">
        <v>1800</v>
      </c>
      <c r="H106" s="465" t="s">
        <v>1801</v>
      </c>
      <c r="I106" s="464" t="s">
        <v>1800</v>
      </c>
      <c r="J106" s="465" t="s">
        <v>1801</v>
      </c>
      <c r="K106" s="464" t="s">
        <v>1800</v>
      </c>
      <c r="L106" s="465" t="s">
        <v>1801</v>
      </c>
      <c r="M106" s="464" t="s">
        <v>1800</v>
      </c>
      <c r="N106" s="465" t="s">
        <v>1801</v>
      </c>
      <c r="O106" s="464" t="s">
        <v>1800</v>
      </c>
      <c r="P106" s="465" t="s">
        <v>1801</v>
      </c>
    </row>
    <row r="107" spans="1:30" ht="16.95" customHeight="1">
      <c r="A107" s="403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58"/>
      <c r="F107" s="459"/>
      <c r="G107" s="458"/>
      <c r="H107" s="459"/>
      <c r="I107" s="458"/>
      <c r="J107" s="459"/>
      <c r="K107" s="458"/>
      <c r="L107" s="459"/>
      <c r="M107" s="458"/>
      <c r="N107" s="459"/>
      <c r="O107" s="458"/>
      <c r="P107" s="459"/>
    </row>
    <row r="108" spans="1:30" ht="16.95" customHeight="1">
      <c r="A108" s="404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60"/>
      <c r="F108" s="461"/>
      <c r="G108" s="460"/>
      <c r="H108" s="461"/>
      <c r="I108" s="460"/>
      <c r="J108" s="461"/>
      <c r="K108" s="460"/>
      <c r="L108" s="461"/>
      <c r="M108" s="460"/>
      <c r="N108" s="461"/>
      <c r="O108" s="460"/>
      <c r="P108" s="461"/>
    </row>
    <row r="109" spans="1:30" ht="16.95" customHeight="1" thickBot="1">
      <c r="A109" s="405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62"/>
      <c r="F109" s="463"/>
      <c r="G109" s="462"/>
      <c r="H109" s="463"/>
      <c r="I109" s="462"/>
      <c r="J109" s="463"/>
      <c r="K109" s="462"/>
      <c r="L109" s="463"/>
      <c r="M109" s="462"/>
      <c r="N109" s="463"/>
      <c r="O109" s="462"/>
      <c r="P109" s="463"/>
    </row>
    <row r="110" spans="1:30" ht="16.95" customHeight="1">
      <c r="A110" s="403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58"/>
      <c r="F110" s="459"/>
      <c r="G110" s="458"/>
      <c r="H110" s="459"/>
      <c r="I110" s="458"/>
      <c r="J110" s="459"/>
      <c r="K110" s="458"/>
      <c r="L110" s="459"/>
      <c r="M110" s="458"/>
      <c r="N110" s="459"/>
      <c r="O110" s="458"/>
      <c r="P110" s="459"/>
    </row>
    <row r="111" spans="1:30" ht="16.95" customHeight="1">
      <c r="A111" s="404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60"/>
      <c r="F111" s="461"/>
      <c r="G111" s="460"/>
      <c r="H111" s="461"/>
      <c r="I111" s="460"/>
      <c r="J111" s="461"/>
      <c r="K111" s="460"/>
      <c r="L111" s="461"/>
      <c r="M111" s="460"/>
      <c r="N111" s="461"/>
      <c r="O111" s="460"/>
      <c r="P111" s="461"/>
    </row>
    <row r="112" spans="1:30" ht="16.95" customHeight="1" thickBot="1">
      <c r="A112" s="405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62"/>
      <c r="F112" s="463"/>
      <c r="G112" s="462"/>
      <c r="H112" s="463"/>
      <c r="I112" s="462"/>
      <c r="J112" s="463"/>
      <c r="K112" s="462"/>
      <c r="L112" s="463"/>
      <c r="M112" s="462"/>
      <c r="N112" s="463"/>
      <c r="O112" s="462"/>
      <c r="P112" s="463"/>
    </row>
    <row r="113" spans="1:30" ht="16.95" customHeight="1">
      <c r="A113" s="403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58"/>
      <c r="F113" s="459"/>
      <c r="G113" s="458"/>
      <c r="H113" s="459"/>
      <c r="I113" s="458"/>
      <c r="J113" s="459"/>
      <c r="K113" s="458"/>
      <c r="L113" s="459"/>
      <c r="M113" s="458"/>
      <c r="N113" s="459"/>
      <c r="O113" s="458"/>
      <c r="P113" s="459"/>
    </row>
    <row r="114" spans="1:30" ht="16.95" customHeight="1">
      <c r="A114" s="404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60"/>
      <c r="F114" s="461"/>
      <c r="G114" s="460"/>
      <c r="H114" s="461"/>
      <c r="I114" s="460"/>
      <c r="J114" s="461"/>
      <c r="K114" s="460"/>
      <c r="L114" s="461"/>
      <c r="M114" s="460"/>
      <c r="N114" s="461"/>
      <c r="O114" s="460"/>
      <c r="P114" s="461"/>
    </row>
    <row r="115" spans="1:30" ht="16.95" customHeight="1" thickBot="1">
      <c r="A115" s="405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62"/>
      <c r="F115" s="463"/>
      <c r="G115" s="462"/>
      <c r="H115" s="463"/>
      <c r="I115" s="462"/>
      <c r="J115" s="463"/>
      <c r="K115" s="462"/>
      <c r="L115" s="463"/>
      <c r="M115" s="462"/>
      <c r="N115" s="463"/>
      <c r="O115" s="462"/>
      <c r="P115" s="463"/>
    </row>
    <row r="116" spans="1:30" ht="27.75" customHeight="1" thickBot="1">
      <c r="B116" s="11"/>
      <c r="C116" s="25"/>
      <c r="D116" s="204"/>
      <c r="E116" s="456"/>
      <c r="F116" s="457"/>
      <c r="G116" s="456"/>
      <c r="H116" s="457"/>
      <c r="I116" s="456"/>
      <c r="J116" s="457"/>
      <c r="K116" s="456"/>
      <c r="L116" s="457"/>
      <c r="M116" s="456"/>
      <c r="N116" s="457"/>
      <c r="O116" s="456"/>
      <c r="P116" s="457"/>
    </row>
    <row r="117" spans="1:30" ht="24" customHeight="1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>
      <c r="B119" s="211" t="s">
        <v>1790</v>
      </c>
      <c r="C119" s="42" t="s">
        <v>1791</v>
      </c>
      <c r="D119" s="42"/>
      <c r="E119" s="398">
        <f>VLOOKUP(B102,Schlüssel!$A$5:$DZ$12,83)</f>
        <v>7</v>
      </c>
      <c r="F119" s="398"/>
      <c r="G119" s="398">
        <f>VLOOKUP(B102,Schlüssel!$A$5:$DZ$12,84)</f>
        <v>1</v>
      </c>
      <c r="H119" s="398"/>
      <c r="I119" s="398">
        <f>VLOOKUP(B102,Schlüssel!$A$5:$DZ$12,85)</f>
        <v>2</v>
      </c>
      <c r="J119" s="398"/>
      <c r="K119" s="398">
        <f>VLOOKUP(B102,Schlüssel!$A$5:$DZ$12,86)</f>
        <v>8</v>
      </c>
      <c r="L119" s="398"/>
      <c r="M119" s="398">
        <f>VLOOKUP(B102,Schlüssel!$A$5:$DZ$12,87)</f>
        <v>3</v>
      </c>
      <c r="N119" s="398"/>
      <c r="O119" s="399"/>
      <c r="P119" s="399"/>
    </row>
    <row r="120" spans="1:30" ht="28.5" customHeight="1">
      <c r="B120" s="4"/>
      <c r="C120" s="1"/>
      <c r="D120" s="1"/>
      <c r="E120" s="395" t="str">
        <f>VLOOKUP(E119,Schlüssel!$A$5:$K$12,2)</f>
        <v>BK München 1</v>
      </c>
      <c r="F120" s="396"/>
      <c r="G120" s="395" t="str">
        <f>VLOOKUP(G119,Schlüssel!$A$5:$K$12,2)</f>
        <v>Bad Tölz 1</v>
      </c>
      <c r="H120" s="396"/>
      <c r="I120" s="395" t="str">
        <f>VLOOKUP(I119,Schlüssel!$A$5:$K$12,2)</f>
        <v>Highroller Rosenheim 1</v>
      </c>
      <c r="J120" s="396"/>
      <c r="K120" s="395" t="str">
        <f>VLOOKUP(K119,Schlüssel!$A$5:$K$12,2)</f>
        <v>EMAX 1</v>
      </c>
      <c r="L120" s="396"/>
      <c r="M120" s="395" t="str">
        <f>VLOOKUP(M119,Schlüssel!$A$5:$K$12,2)</f>
        <v>Highroller Rosenheim 2</v>
      </c>
      <c r="N120" s="396"/>
      <c r="O120" s="397"/>
      <c r="P120" s="397"/>
    </row>
    <row r="121" spans="1:30" ht="12" customHeight="1">
      <c r="B121" s="4"/>
      <c r="C121" s="1"/>
      <c r="D121" s="1"/>
      <c r="E121" s="394"/>
      <c r="F121" s="394"/>
      <c r="G121" s="394"/>
      <c r="H121" s="394"/>
      <c r="I121" s="394"/>
      <c r="J121" s="394"/>
      <c r="K121" s="394"/>
      <c r="L121" s="394"/>
      <c r="M121" s="394"/>
      <c r="N121" s="394"/>
      <c r="O121" s="353"/>
      <c r="P121" s="353"/>
    </row>
    <row r="122" spans="1:30" ht="16.2" customHeight="1">
      <c r="B122" s="39" t="s">
        <v>0</v>
      </c>
      <c r="C122" s="40"/>
      <c r="D122" s="40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3"/>
      <c r="P122" s="393"/>
    </row>
    <row r="123" spans="1:30" ht="16.2" customHeight="1">
      <c r="B123" s="39" t="s">
        <v>2</v>
      </c>
      <c r="C123" s="40"/>
      <c r="D123" s="40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3"/>
      <c r="P123" s="393"/>
    </row>
    <row r="124" spans="1:30" ht="16.2" customHeight="1">
      <c r="B124" s="39" t="s">
        <v>3</v>
      </c>
      <c r="C124" s="40"/>
      <c r="D124" s="40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3"/>
      <c r="P124" s="393"/>
    </row>
    <row r="125" spans="1:30" ht="15.75" customHeight="1">
      <c r="B125" s="41" t="s">
        <v>1792</v>
      </c>
      <c r="C125" s="42"/>
      <c r="D125" s="42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41"/>
      <c r="P125" s="341"/>
    </row>
    <row r="126" spans="1:30" ht="21" customHeight="1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6">
        <f>Schlüssel!$CO$1</f>
        <v>45794</v>
      </c>
      <c r="N126" s="406"/>
      <c r="O126" s="406"/>
      <c r="AD126" s="76"/>
    </row>
    <row r="127" spans="1:30" ht="17.25" customHeight="1" thickBot="1">
      <c r="A127" s="53"/>
      <c r="B127" s="54">
        <f>+B102+1</f>
        <v>6</v>
      </c>
      <c r="C127" s="35" t="s">
        <v>1787</v>
      </c>
      <c r="D127" s="35"/>
      <c r="E127" s="72" t="str">
        <f>Schlüssel!$CE$2</f>
        <v>Olching 5005 Bowling</v>
      </c>
      <c r="G127" s="66"/>
      <c r="H127" s="66"/>
      <c r="I127" s="66"/>
      <c r="J127" s="66"/>
      <c r="L127" s="66"/>
      <c r="M127" s="34" t="s">
        <v>1785</v>
      </c>
      <c r="N127" s="38">
        <v>5</v>
      </c>
      <c r="O127" s="33"/>
      <c r="AD127" s="77"/>
    </row>
    <row r="128" spans="1:30" ht="15.75" customHeight="1" thickBot="1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3.8" thickBot="1">
      <c r="A129" s="6"/>
      <c r="B129" s="7"/>
      <c r="C129" s="43"/>
      <c r="D129" s="43"/>
      <c r="E129" s="47" t="s">
        <v>10</v>
      </c>
      <c r="F129" s="7">
        <f>VLOOKUP(B127,Schlüssel!$A$5:$DZ$12,93)</f>
        <v>4</v>
      </c>
      <c r="G129" s="51" t="s">
        <v>10</v>
      </c>
      <c r="H129" s="7">
        <f>VLOOKUP(B127,Schlüssel!$A$5:$DZ$12,94)</f>
        <v>5</v>
      </c>
      <c r="I129" s="51" t="s">
        <v>10</v>
      </c>
      <c r="J129" s="7">
        <f>VLOOKUP(B127,Schlüssel!$A$5:$DZ$12,95)</f>
        <v>7</v>
      </c>
      <c r="K129" s="51" t="s">
        <v>10</v>
      </c>
      <c r="L129" s="7">
        <f>VLOOKUP(B127,Schlüssel!$A$5:$DZ$12,96)</f>
        <v>2</v>
      </c>
      <c r="M129" s="51" t="s">
        <v>10</v>
      </c>
      <c r="N129" s="57">
        <f>VLOOKUP(B127,Schlüssel!$A$5:$DZ$12,97)</f>
        <v>8</v>
      </c>
    </row>
    <row r="130" spans="1:16" ht="20.25" customHeight="1">
      <c r="B130" s="44" t="s">
        <v>1</v>
      </c>
      <c r="C130" s="45"/>
      <c r="D130" s="45"/>
      <c r="E130" s="407" t="s">
        <v>1793</v>
      </c>
      <c r="F130" s="408"/>
      <c r="G130" s="407" t="s">
        <v>1794</v>
      </c>
      <c r="H130" s="408"/>
      <c r="I130" s="407" t="s">
        <v>1795</v>
      </c>
      <c r="J130" s="408"/>
      <c r="K130" s="407" t="s">
        <v>1796</v>
      </c>
      <c r="L130" s="408"/>
      <c r="M130" s="407" t="s">
        <v>1797</v>
      </c>
      <c r="N130" s="408"/>
      <c r="O130" s="409" t="s">
        <v>1792</v>
      </c>
      <c r="P130" s="410"/>
    </row>
    <row r="131" spans="1:16" ht="15" customHeight="1" thickBot="1">
      <c r="B131" s="9" t="s">
        <v>1798</v>
      </c>
      <c r="C131" s="48" t="s">
        <v>1799</v>
      </c>
      <c r="D131" s="48" t="s">
        <v>2264</v>
      </c>
      <c r="E131" s="464" t="s">
        <v>1800</v>
      </c>
      <c r="F131" s="465" t="s">
        <v>1801</v>
      </c>
      <c r="G131" s="464" t="s">
        <v>1800</v>
      </c>
      <c r="H131" s="465" t="s">
        <v>1801</v>
      </c>
      <c r="I131" s="464" t="s">
        <v>1800</v>
      </c>
      <c r="J131" s="465" t="s">
        <v>1801</v>
      </c>
      <c r="K131" s="464" t="s">
        <v>1800</v>
      </c>
      <c r="L131" s="465" t="s">
        <v>1801</v>
      </c>
      <c r="M131" s="464" t="s">
        <v>1800</v>
      </c>
      <c r="N131" s="465" t="s">
        <v>1801</v>
      </c>
      <c r="O131" s="464" t="s">
        <v>1800</v>
      </c>
      <c r="P131" s="465" t="s">
        <v>1801</v>
      </c>
    </row>
    <row r="132" spans="1:16" ht="16.95" customHeight="1">
      <c r="A132" s="403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58"/>
      <c r="F132" s="459"/>
      <c r="G132" s="458"/>
      <c r="H132" s="459"/>
      <c r="I132" s="458"/>
      <c r="J132" s="459"/>
      <c r="K132" s="458"/>
      <c r="L132" s="459"/>
      <c r="M132" s="458"/>
      <c r="N132" s="459"/>
      <c r="O132" s="458"/>
      <c r="P132" s="459"/>
    </row>
    <row r="133" spans="1:16" ht="16.95" customHeight="1">
      <c r="A133" s="404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60"/>
      <c r="F133" s="461"/>
      <c r="G133" s="460"/>
      <c r="H133" s="461"/>
      <c r="I133" s="460"/>
      <c r="J133" s="461"/>
      <c r="K133" s="460"/>
      <c r="L133" s="461"/>
      <c r="M133" s="460"/>
      <c r="N133" s="461"/>
      <c r="O133" s="460"/>
      <c r="P133" s="461"/>
    </row>
    <row r="134" spans="1:16" ht="16.95" customHeight="1" thickBot="1">
      <c r="A134" s="405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62"/>
      <c r="F134" s="463"/>
      <c r="G134" s="462"/>
      <c r="H134" s="463"/>
      <c r="I134" s="462"/>
      <c r="J134" s="463"/>
      <c r="K134" s="462"/>
      <c r="L134" s="463"/>
      <c r="M134" s="462"/>
      <c r="N134" s="463"/>
      <c r="O134" s="462"/>
      <c r="P134" s="463"/>
    </row>
    <row r="135" spans="1:16" ht="16.95" customHeight="1">
      <c r="A135" s="403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58"/>
      <c r="F135" s="459"/>
      <c r="G135" s="458"/>
      <c r="H135" s="459"/>
      <c r="I135" s="458"/>
      <c r="J135" s="459"/>
      <c r="K135" s="458"/>
      <c r="L135" s="459"/>
      <c r="M135" s="458"/>
      <c r="N135" s="459"/>
      <c r="O135" s="458"/>
      <c r="P135" s="459"/>
    </row>
    <row r="136" spans="1:16" ht="16.95" customHeight="1">
      <c r="A136" s="404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60"/>
      <c r="F136" s="461"/>
      <c r="G136" s="460"/>
      <c r="H136" s="461"/>
      <c r="I136" s="460"/>
      <c r="J136" s="461"/>
      <c r="K136" s="460"/>
      <c r="L136" s="461"/>
      <c r="M136" s="460"/>
      <c r="N136" s="461"/>
      <c r="O136" s="460"/>
      <c r="P136" s="461"/>
    </row>
    <row r="137" spans="1:16" ht="16.95" customHeight="1" thickBot="1">
      <c r="A137" s="405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62"/>
      <c r="F137" s="463"/>
      <c r="G137" s="462"/>
      <c r="H137" s="463"/>
      <c r="I137" s="462"/>
      <c r="J137" s="463"/>
      <c r="K137" s="462"/>
      <c r="L137" s="463"/>
      <c r="M137" s="462"/>
      <c r="N137" s="463"/>
      <c r="O137" s="462"/>
      <c r="P137" s="463"/>
    </row>
    <row r="138" spans="1:16" ht="16.95" customHeight="1">
      <c r="A138" s="403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58"/>
      <c r="F138" s="459"/>
      <c r="G138" s="458"/>
      <c r="H138" s="459"/>
      <c r="I138" s="458"/>
      <c r="J138" s="459"/>
      <c r="K138" s="458"/>
      <c r="L138" s="459"/>
      <c r="M138" s="458"/>
      <c r="N138" s="459"/>
      <c r="O138" s="458"/>
      <c r="P138" s="459"/>
    </row>
    <row r="139" spans="1:16" ht="16.95" customHeight="1">
      <c r="A139" s="404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60"/>
      <c r="F139" s="461"/>
      <c r="G139" s="460"/>
      <c r="H139" s="461"/>
      <c r="I139" s="460"/>
      <c r="J139" s="461"/>
      <c r="K139" s="460"/>
      <c r="L139" s="461"/>
      <c r="M139" s="460"/>
      <c r="N139" s="461"/>
      <c r="O139" s="460"/>
      <c r="P139" s="461"/>
    </row>
    <row r="140" spans="1:16" ht="16.95" customHeight="1" thickBot="1">
      <c r="A140" s="405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62"/>
      <c r="F140" s="463"/>
      <c r="G140" s="462"/>
      <c r="H140" s="463"/>
      <c r="I140" s="462"/>
      <c r="J140" s="463"/>
      <c r="K140" s="462"/>
      <c r="L140" s="463"/>
      <c r="M140" s="462"/>
      <c r="N140" s="463"/>
      <c r="O140" s="462"/>
      <c r="P140" s="463"/>
    </row>
    <row r="141" spans="1:16" ht="27.75" customHeight="1" thickBot="1">
      <c r="B141" s="11"/>
      <c r="C141" s="25"/>
      <c r="D141" s="204"/>
      <c r="E141" s="456"/>
      <c r="F141" s="457"/>
      <c r="G141" s="456"/>
      <c r="H141" s="457"/>
      <c r="I141" s="456"/>
      <c r="J141" s="457"/>
      <c r="K141" s="456"/>
      <c r="L141" s="457"/>
      <c r="M141" s="456"/>
      <c r="N141" s="457"/>
      <c r="O141" s="456"/>
      <c r="P141" s="457"/>
    </row>
    <row r="142" spans="1:16" ht="24" customHeight="1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>
      <c r="B144" s="211" t="s">
        <v>1790</v>
      </c>
      <c r="C144" s="42" t="s">
        <v>1791</v>
      </c>
      <c r="D144" s="42"/>
      <c r="E144" s="398">
        <f>VLOOKUP(B127,Schlüssel!$A$5:$DZ$12,83)</f>
        <v>8</v>
      </c>
      <c r="F144" s="398"/>
      <c r="G144" s="398">
        <f>VLOOKUP(B127,Schlüssel!$A$5:$DZ$12,84)</f>
        <v>3</v>
      </c>
      <c r="H144" s="398"/>
      <c r="I144" s="398">
        <f>VLOOKUP(B127,Schlüssel!$A$5:$DZ$12,85)</f>
        <v>4</v>
      </c>
      <c r="J144" s="398"/>
      <c r="K144" s="398">
        <f>VLOOKUP(B127,Schlüssel!$A$5:$DZ$12,86)</f>
        <v>7</v>
      </c>
      <c r="L144" s="398"/>
      <c r="M144" s="398">
        <f>VLOOKUP(B127,Schlüssel!$A$5:$DZ$12,87)</f>
        <v>1</v>
      </c>
      <c r="N144" s="398"/>
      <c r="O144" s="399"/>
      <c r="P144" s="399"/>
    </row>
    <row r="145" spans="1:30" ht="28.5" customHeight="1">
      <c r="B145" s="4"/>
      <c r="C145" s="1"/>
      <c r="D145" s="1"/>
      <c r="E145" s="395" t="str">
        <f>VLOOKUP(E144,Schlüssel!$A$5:$K$12,2)</f>
        <v>EMAX 1</v>
      </c>
      <c r="F145" s="396"/>
      <c r="G145" s="395" t="str">
        <f>VLOOKUP(G144,Schlüssel!$A$5:$K$12,2)</f>
        <v>Highroller Rosenheim 2</v>
      </c>
      <c r="H145" s="396"/>
      <c r="I145" s="395" t="str">
        <f>VLOOKUP(I144,Schlüssel!$A$5:$K$12,2)</f>
        <v>Highroller Rosenheim 3</v>
      </c>
      <c r="J145" s="396"/>
      <c r="K145" s="395" t="str">
        <f>VLOOKUP(K144,Schlüssel!$A$5:$K$12,2)</f>
        <v>BK München 1</v>
      </c>
      <c r="L145" s="396"/>
      <c r="M145" s="395" t="str">
        <f>VLOOKUP(M144,Schlüssel!$A$5:$K$12,2)</f>
        <v>Bad Tölz 1</v>
      </c>
      <c r="N145" s="396"/>
      <c r="O145" s="397"/>
      <c r="P145" s="397"/>
    </row>
    <row r="146" spans="1:30" ht="12" customHeight="1">
      <c r="B146" s="4"/>
      <c r="C146" s="1"/>
      <c r="D146" s="1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53"/>
      <c r="P146" s="353"/>
    </row>
    <row r="147" spans="1:30" ht="16.2" customHeight="1">
      <c r="B147" s="39" t="s">
        <v>0</v>
      </c>
      <c r="C147" s="40"/>
      <c r="D147" s="40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3"/>
      <c r="P147" s="393"/>
    </row>
    <row r="148" spans="1:30" ht="16.2" customHeight="1">
      <c r="B148" s="39" t="s">
        <v>2</v>
      </c>
      <c r="C148" s="40"/>
      <c r="D148" s="40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3"/>
      <c r="P148" s="393"/>
    </row>
    <row r="149" spans="1:30" ht="16.2" customHeight="1">
      <c r="B149" s="39" t="s">
        <v>3</v>
      </c>
      <c r="C149" s="40"/>
      <c r="D149" s="40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3"/>
      <c r="P149" s="393"/>
    </row>
    <row r="150" spans="1:30" ht="15.75" customHeight="1">
      <c r="B150" s="41" t="s">
        <v>1792</v>
      </c>
      <c r="C150" s="42"/>
      <c r="D150" s="42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41"/>
      <c r="P150" s="341"/>
    </row>
    <row r="151" spans="1:30" ht="21" customHeight="1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6">
        <f>Schlüssel!$CO$1</f>
        <v>45794</v>
      </c>
      <c r="N151" s="406"/>
      <c r="O151" s="406"/>
      <c r="AD151" s="76"/>
    </row>
    <row r="152" spans="1:30" ht="17.25" customHeight="1" thickBot="1">
      <c r="A152" s="53"/>
      <c r="B152" s="54">
        <f>+B127+1</f>
        <v>7</v>
      </c>
      <c r="C152" s="35" t="s">
        <v>1787</v>
      </c>
      <c r="D152" s="35"/>
      <c r="E152" s="72" t="str">
        <f>Schlüssel!$CE$2</f>
        <v>Olching 5005 Bowling</v>
      </c>
      <c r="G152" s="66"/>
      <c r="H152" s="66"/>
      <c r="I152" s="66"/>
      <c r="J152" s="66"/>
      <c r="L152" s="66"/>
      <c r="M152" s="34" t="s">
        <v>1785</v>
      </c>
      <c r="N152" s="38">
        <v>5</v>
      </c>
      <c r="O152" s="33"/>
      <c r="AD152" s="77"/>
    </row>
    <row r="153" spans="1:30" ht="15.75" customHeight="1" thickBot="1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3.8" thickBot="1">
      <c r="A154" s="6"/>
      <c r="B154" s="7"/>
      <c r="C154" s="43"/>
      <c r="D154" s="43"/>
      <c r="E154" s="47" t="s">
        <v>10</v>
      </c>
      <c r="F154" s="7">
        <f>VLOOKUP(B152,Schlüssel!$A$5:$DZ$12,93)</f>
        <v>1</v>
      </c>
      <c r="G154" s="51" t="s">
        <v>10</v>
      </c>
      <c r="H154" s="7">
        <f>VLOOKUP(B152,Schlüssel!$A$5:$DZ$12,94)</f>
        <v>8</v>
      </c>
      <c r="I154" s="51" t="s">
        <v>10</v>
      </c>
      <c r="J154" s="7">
        <f>VLOOKUP(B152,Schlüssel!$A$5:$DZ$12,95)</f>
        <v>6</v>
      </c>
      <c r="K154" s="51" t="s">
        <v>10</v>
      </c>
      <c r="L154" s="7">
        <f>VLOOKUP(B152,Schlüssel!$A$5:$DZ$12,96)</f>
        <v>1</v>
      </c>
      <c r="M154" s="51" t="s">
        <v>10</v>
      </c>
      <c r="N154" s="57">
        <f>VLOOKUP(B152,Schlüssel!$A$5:$DZ$12,97)</f>
        <v>5</v>
      </c>
    </row>
    <row r="155" spans="1:30" ht="20.25" customHeight="1">
      <c r="B155" s="44" t="s">
        <v>1</v>
      </c>
      <c r="C155" s="45"/>
      <c r="D155" s="45"/>
      <c r="E155" s="407" t="s">
        <v>1793</v>
      </c>
      <c r="F155" s="408"/>
      <c r="G155" s="407" t="s">
        <v>1794</v>
      </c>
      <c r="H155" s="408"/>
      <c r="I155" s="407" t="s">
        <v>1795</v>
      </c>
      <c r="J155" s="408"/>
      <c r="K155" s="407" t="s">
        <v>1796</v>
      </c>
      <c r="L155" s="408"/>
      <c r="M155" s="407" t="s">
        <v>1797</v>
      </c>
      <c r="N155" s="408"/>
      <c r="O155" s="409" t="s">
        <v>1792</v>
      </c>
      <c r="P155" s="410"/>
    </row>
    <row r="156" spans="1:30" ht="15" customHeight="1" thickBot="1">
      <c r="B156" s="9" t="s">
        <v>1798</v>
      </c>
      <c r="C156" s="48" t="s">
        <v>1799</v>
      </c>
      <c r="D156" s="48" t="s">
        <v>2264</v>
      </c>
      <c r="E156" s="464" t="s">
        <v>1800</v>
      </c>
      <c r="F156" s="465" t="s">
        <v>1801</v>
      </c>
      <c r="G156" s="464" t="s">
        <v>1800</v>
      </c>
      <c r="H156" s="465" t="s">
        <v>1801</v>
      </c>
      <c r="I156" s="464" t="s">
        <v>1800</v>
      </c>
      <c r="J156" s="465" t="s">
        <v>1801</v>
      </c>
      <c r="K156" s="464" t="s">
        <v>1800</v>
      </c>
      <c r="L156" s="465" t="s">
        <v>1801</v>
      </c>
      <c r="M156" s="464" t="s">
        <v>1800</v>
      </c>
      <c r="N156" s="465" t="s">
        <v>1801</v>
      </c>
      <c r="O156" s="464" t="s">
        <v>1800</v>
      </c>
      <c r="P156" s="465" t="s">
        <v>1801</v>
      </c>
    </row>
    <row r="157" spans="1:30" ht="16.95" customHeight="1">
      <c r="A157" s="403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58"/>
      <c r="F157" s="459"/>
      <c r="G157" s="458"/>
      <c r="H157" s="459"/>
      <c r="I157" s="458"/>
      <c r="J157" s="459"/>
      <c r="K157" s="458"/>
      <c r="L157" s="459"/>
      <c r="M157" s="458"/>
      <c r="N157" s="459"/>
      <c r="O157" s="458"/>
      <c r="P157" s="459"/>
    </row>
    <row r="158" spans="1:30" ht="16.95" customHeight="1">
      <c r="A158" s="404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60"/>
      <c r="F158" s="461"/>
      <c r="G158" s="460"/>
      <c r="H158" s="461"/>
      <c r="I158" s="460"/>
      <c r="J158" s="461"/>
      <c r="K158" s="460"/>
      <c r="L158" s="461"/>
      <c r="M158" s="460"/>
      <c r="N158" s="461"/>
      <c r="O158" s="460"/>
      <c r="P158" s="461"/>
    </row>
    <row r="159" spans="1:30" ht="16.95" customHeight="1" thickBot="1">
      <c r="A159" s="405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62"/>
      <c r="F159" s="463"/>
      <c r="G159" s="462"/>
      <c r="H159" s="463"/>
      <c r="I159" s="462"/>
      <c r="J159" s="463"/>
      <c r="K159" s="462"/>
      <c r="L159" s="463"/>
      <c r="M159" s="462"/>
      <c r="N159" s="463"/>
      <c r="O159" s="462"/>
      <c r="P159" s="463"/>
    </row>
    <row r="160" spans="1:30" ht="16.95" customHeight="1">
      <c r="A160" s="403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58"/>
      <c r="F160" s="459"/>
      <c r="G160" s="458"/>
      <c r="H160" s="459"/>
      <c r="I160" s="458"/>
      <c r="J160" s="459"/>
      <c r="K160" s="458"/>
      <c r="L160" s="459"/>
      <c r="M160" s="458"/>
      <c r="N160" s="459"/>
      <c r="O160" s="458"/>
      <c r="P160" s="459"/>
    </row>
    <row r="161" spans="1:30" ht="16.95" customHeight="1">
      <c r="A161" s="404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60"/>
      <c r="F161" s="461"/>
      <c r="G161" s="460"/>
      <c r="H161" s="461"/>
      <c r="I161" s="460"/>
      <c r="J161" s="461"/>
      <c r="K161" s="460"/>
      <c r="L161" s="461"/>
      <c r="M161" s="460"/>
      <c r="N161" s="461"/>
      <c r="O161" s="460"/>
      <c r="P161" s="461"/>
    </row>
    <row r="162" spans="1:30" ht="16.95" customHeight="1" thickBot="1">
      <c r="A162" s="405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62"/>
      <c r="F162" s="463"/>
      <c r="G162" s="462"/>
      <c r="H162" s="463"/>
      <c r="I162" s="462"/>
      <c r="J162" s="463"/>
      <c r="K162" s="462"/>
      <c r="L162" s="463"/>
      <c r="M162" s="462"/>
      <c r="N162" s="463"/>
      <c r="O162" s="462"/>
      <c r="P162" s="463"/>
    </row>
    <row r="163" spans="1:30" ht="16.95" customHeight="1">
      <c r="A163" s="403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58"/>
      <c r="F163" s="459"/>
      <c r="G163" s="458"/>
      <c r="H163" s="459"/>
      <c r="I163" s="458"/>
      <c r="J163" s="459"/>
      <c r="K163" s="458"/>
      <c r="L163" s="459"/>
      <c r="M163" s="458"/>
      <c r="N163" s="459"/>
      <c r="O163" s="458"/>
      <c r="P163" s="459"/>
    </row>
    <row r="164" spans="1:30" ht="16.95" customHeight="1">
      <c r="A164" s="404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60"/>
      <c r="F164" s="461"/>
      <c r="G164" s="460"/>
      <c r="H164" s="461"/>
      <c r="I164" s="460"/>
      <c r="J164" s="461"/>
      <c r="K164" s="460"/>
      <c r="L164" s="461"/>
      <c r="M164" s="460"/>
      <c r="N164" s="461"/>
      <c r="O164" s="460"/>
      <c r="P164" s="461"/>
    </row>
    <row r="165" spans="1:30" ht="16.95" customHeight="1" thickBot="1">
      <c r="A165" s="405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62"/>
      <c r="F165" s="463"/>
      <c r="G165" s="462"/>
      <c r="H165" s="463"/>
      <c r="I165" s="462"/>
      <c r="J165" s="463"/>
      <c r="K165" s="462"/>
      <c r="L165" s="463"/>
      <c r="M165" s="462"/>
      <c r="N165" s="463"/>
      <c r="O165" s="462"/>
      <c r="P165" s="463"/>
    </row>
    <row r="166" spans="1:30" ht="27.75" customHeight="1" thickBot="1">
      <c r="B166" s="11"/>
      <c r="C166" s="25"/>
      <c r="D166" s="204"/>
      <c r="E166" s="456"/>
      <c r="F166" s="457"/>
      <c r="G166" s="456"/>
      <c r="H166" s="457"/>
      <c r="I166" s="456"/>
      <c r="J166" s="457"/>
      <c r="K166" s="456"/>
      <c r="L166" s="457"/>
      <c r="M166" s="456"/>
      <c r="N166" s="457"/>
      <c r="O166" s="456"/>
      <c r="P166" s="457"/>
    </row>
    <row r="167" spans="1:30" ht="24" customHeight="1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>
      <c r="B169" s="211" t="s">
        <v>1790</v>
      </c>
      <c r="C169" s="42" t="s">
        <v>1791</v>
      </c>
      <c r="D169" s="42"/>
      <c r="E169" s="398">
        <f>VLOOKUP(B152,Schlüssel!$A$5:$DZ$12,83)</f>
        <v>5</v>
      </c>
      <c r="F169" s="398"/>
      <c r="G169" s="398">
        <f>VLOOKUP(B152,Schlüssel!$A$5:$DZ$12,84)</f>
        <v>2</v>
      </c>
      <c r="H169" s="398"/>
      <c r="I169" s="398">
        <f>VLOOKUP(B152,Schlüssel!$A$5:$DZ$12,85)</f>
        <v>1</v>
      </c>
      <c r="J169" s="398"/>
      <c r="K169" s="398">
        <f>VLOOKUP(B152,Schlüssel!$A$5:$DZ$12,86)</f>
        <v>6</v>
      </c>
      <c r="L169" s="398"/>
      <c r="M169" s="398">
        <f>VLOOKUP(B152,Schlüssel!$A$5:$DZ$12,87)</f>
        <v>4</v>
      </c>
      <c r="N169" s="398"/>
      <c r="O169" s="399"/>
      <c r="P169" s="399"/>
    </row>
    <row r="170" spans="1:30" ht="28.5" customHeight="1">
      <c r="B170" s="4"/>
      <c r="C170" s="1"/>
      <c r="D170" s="1"/>
      <c r="E170" s="395" t="str">
        <f>VLOOKUP(E169,Schlüssel!$A$5:$K$12,2)</f>
        <v>Berchtesgaden 1</v>
      </c>
      <c r="F170" s="396"/>
      <c r="G170" s="395" t="str">
        <f>VLOOKUP(G169,Schlüssel!$A$5:$K$12,2)</f>
        <v>Highroller Rosenheim 1</v>
      </c>
      <c r="H170" s="396"/>
      <c r="I170" s="395" t="str">
        <f>VLOOKUP(I169,Schlüssel!$A$5:$K$12,2)</f>
        <v>Bad Tölz 1</v>
      </c>
      <c r="J170" s="396"/>
      <c r="K170" s="395" t="str">
        <f>VLOOKUP(K169,Schlüssel!$A$5:$K$12,2)</f>
        <v>Bowling Jugend Bayern 1</v>
      </c>
      <c r="L170" s="396"/>
      <c r="M170" s="395" t="str">
        <f>VLOOKUP(M169,Schlüssel!$A$5:$K$12,2)</f>
        <v>Highroller Rosenheim 3</v>
      </c>
      <c r="N170" s="396"/>
      <c r="O170" s="397"/>
      <c r="P170" s="397"/>
    </row>
    <row r="171" spans="1:30" ht="12" customHeight="1">
      <c r="B171" s="4"/>
      <c r="C171" s="1"/>
      <c r="D171" s="1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53"/>
      <c r="P171" s="353"/>
    </row>
    <row r="172" spans="1:30" ht="16.2" customHeight="1">
      <c r="B172" s="39" t="s">
        <v>0</v>
      </c>
      <c r="C172" s="40"/>
      <c r="D172" s="40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/>
      <c r="O172" s="393"/>
      <c r="P172" s="393"/>
    </row>
    <row r="173" spans="1:30" ht="16.2" customHeight="1">
      <c r="B173" s="39" t="s">
        <v>2</v>
      </c>
      <c r="C173" s="40"/>
      <c r="D173" s="40"/>
      <c r="E173" s="392"/>
      <c r="F173" s="392"/>
      <c r="G173" s="392"/>
      <c r="H173" s="392"/>
      <c r="I173" s="392"/>
      <c r="J173" s="392"/>
      <c r="K173" s="392"/>
      <c r="L173" s="392"/>
      <c r="M173" s="392"/>
      <c r="N173" s="392"/>
      <c r="O173" s="393"/>
      <c r="P173" s="393"/>
    </row>
    <row r="174" spans="1:30" ht="16.2" customHeight="1">
      <c r="B174" s="39" t="s">
        <v>3</v>
      </c>
      <c r="C174" s="40"/>
      <c r="D174" s="40"/>
      <c r="E174" s="392"/>
      <c r="F174" s="392"/>
      <c r="G174" s="392"/>
      <c r="H174" s="392"/>
      <c r="I174" s="392"/>
      <c r="J174" s="392"/>
      <c r="K174" s="392"/>
      <c r="L174" s="392"/>
      <c r="M174" s="392"/>
      <c r="N174" s="392"/>
      <c r="O174" s="393"/>
      <c r="P174" s="393"/>
    </row>
    <row r="175" spans="1:30" ht="15.75" customHeight="1">
      <c r="B175" s="41" t="s">
        <v>1792</v>
      </c>
      <c r="C175" s="42"/>
      <c r="D175" s="42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41"/>
      <c r="P175" s="341"/>
    </row>
    <row r="176" spans="1:30" ht="21" customHeight="1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6">
        <f>Schlüssel!$CO$1</f>
        <v>45794</v>
      </c>
      <c r="N176" s="406"/>
      <c r="O176" s="406"/>
      <c r="AD176" s="76"/>
    </row>
    <row r="177" spans="1:30" ht="17.25" customHeight="1" thickBot="1">
      <c r="A177" s="53"/>
      <c r="B177" s="54">
        <f>+B152+1</f>
        <v>8</v>
      </c>
      <c r="C177" s="35" t="s">
        <v>1787</v>
      </c>
      <c r="D177" s="35"/>
      <c r="E177" s="72" t="str">
        <f>Schlüssel!$CE$2</f>
        <v>Olching 5005 Bowling</v>
      </c>
      <c r="G177" s="66"/>
      <c r="H177" s="66"/>
      <c r="I177" s="66"/>
      <c r="J177" s="66"/>
      <c r="L177" s="66"/>
      <c r="M177" s="34" t="s">
        <v>1785</v>
      </c>
      <c r="N177" s="38">
        <v>5</v>
      </c>
      <c r="O177" s="33"/>
      <c r="AD177" s="77"/>
    </row>
    <row r="178" spans="1:30" ht="15.75" customHeight="1" thickBot="1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3.8" thickBot="1">
      <c r="A179" s="6"/>
      <c r="B179" s="7"/>
      <c r="C179" s="43"/>
      <c r="D179" s="43"/>
      <c r="E179" s="47" t="s">
        <v>10</v>
      </c>
      <c r="F179" s="7">
        <f>VLOOKUP(B177,Schlüssel!$A$5:$DZ$12,93)</f>
        <v>3</v>
      </c>
      <c r="G179" s="51" t="s">
        <v>10</v>
      </c>
      <c r="H179" s="7">
        <f>VLOOKUP(B177,Schlüssel!$A$5:$DZ$12,94)</f>
        <v>2</v>
      </c>
      <c r="I179" s="51" t="s">
        <v>10</v>
      </c>
      <c r="J179" s="7">
        <f>VLOOKUP(B177,Schlüssel!$A$5:$DZ$12,95)</f>
        <v>3</v>
      </c>
      <c r="K179" s="51" t="s">
        <v>10</v>
      </c>
      <c r="L179" s="7">
        <f>VLOOKUP(B177,Schlüssel!$A$5:$DZ$12,96)</f>
        <v>8</v>
      </c>
      <c r="M179" s="51" t="s">
        <v>10</v>
      </c>
      <c r="N179" s="57">
        <f>VLOOKUP(B177,Schlüssel!$A$5:$DZ$12,97)</f>
        <v>4</v>
      </c>
    </row>
    <row r="180" spans="1:30" ht="20.25" customHeight="1">
      <c r="B180" s="44" t="s">
        <v>1</v>
      </c>
      <c r="C180" s="45"/>
      <c r="D180" s="45"/>
      <c r="E180" s="407" t="s">
        <v>1793</v>
      </c>
      <c r="F180" s="408"/>
      <c r="G180" s="407" t="s">
        <v>1794</v>
      </c>
      <c r="H180" s="408"/>
      <c r="I180" s="407" t="s">
        <v>1795</v>
      </c>
      <c r="J180" s="408"/>
      <c r="K180" s="407" t="s">
        <v>1796</v>
      </c>
      <c r="L180" s="408"/>
      <c r="M180" s="407" t="s">
        <v>1797</v>
      </c>
      <c r="N180" s="408"/>
      <c r="O180" s="409" t="s">
        <v>1792</v>
      </c>
      <c r="P180" s="410"/>
    </row>
    <row r="181" spans="1:30" ht="15" customHeight="1" thickBot="1">
      <c r="B181" s="9" t="s">
        <v>1798</v>
      </c>
      <c r="C181" s="48" t="s">
        <v>1799</v>
      </c>
      <c r="D181" s="48" t="s">
        <v>2264</v>
      </c>
      <c r="E181" s="464" t="s">
        <v>1800</v>
      </c>
      <c r="F181" s="465" t="s">
        <v>1801</v>
      </c>
      <c r="G181" s="464" t="s">
        <v>1800</v>
      </c>
      <c r="H181" s="465" t="s">
        <v>1801</v>
      </c>
      <c r="I181" s="464" t="s">
        <v>1800</v>
      </c>
      <c r="J181" s="465" t="s">
        <v>1801</v>
      </c>
      <c r="K181" s="464" t="s">
        <v>1800</v>
      </c>
      <c r="L181" s="465" t="s">
        <v>1801</v>
      </c>
      <c r="M181" s="464" t="s">
        <v>1800</v>
      </c>
      <c r="N181" s="465" t="s">
        <v>1801</v>
      </c>
      <c r="O181" s="464" t="s">
        <v>1800</v>
      </c>
      <c r="P181" s="465" t="s">
        <v>1801</v>
      </c>
    </row>
    <row r="182" spans="1:30" ht="16.95" customHeight="1">
      <c r="A182" s="403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58"/>
      <c r="F182" s="459"/>
      <c r="G182" s="458"/>
      <c r="H182" s="459"/>
      <c r="I182" s="458"/>
      <c r="J182" s="459"/>
      <c r="K182" s="458"/>
      <c r="L182" s="459"/>
      <c r="M182" s="458"/>
      <c r="N182" s="459"/>
      <c r="O182" s="458"/>
      <c r="P182" s="459"/>
    </row>
    <row r="183" spans="1:30" ht="16.95" customHeight="1">
      <c r="A183" s="404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60"/>
      <c r="F183" s="461"/>
      <c r="G183" s="460"/>
      <c r="H183" s="461"/>
      <c r="I183" s="460"/>
      <c r="J183" s="461"/>
      <c r="K183" s="460"/>
      <c r="L183" s="461"/>
      <c r="M183" s="460"/>
      <c r="N183" s="461"/>
      <c r="O183" s="460"/>
      <c r="P183" s="461"/>
    </row>
    <row r="184" spans="1:30" ht="16.95" customHeight="1" thickBot="1">
      <c r="A184" s="405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62"/>
      <c r="F184" s="463"/>
      <c r="G184" s="462"/>
      <c r="H184" s="463"/>
      <c r="I184" s="462"/>
      <c r="J184" s="463"/>
      <c r="K184" s="462"/>
      <c r="L184" s="463"/>
      <c r="M184" s="462"/>
      <c r="N184" s="463"/>
      <c r="O184" s="462"/>
      <c r="P184" s="463"/>
    </row>
    <row r="185" spans="1:30" ht="16.95" customHeight="1">
      <c r="A185" s="403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58"/>
      <c r="F185" s="459"/>
      <c r="G185" s="458"/>
      <c r="H185" s="459"/>
      <c r="I185" s="458"/>
      <c r="J185" s="459"/>
      <c r="K185" s="458"/>
      <c r="L185" s="459"/>
      <c r="M185" s="458"/>
      <c r="N185" s="459"/>
      <c r="O185" s="458"/>
      <c r="P185" s="459"/>
    </row>
    <row r="186" spans="1:30" ht="16.95" customHeight="1">
      <c r="A186" s="404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60"/>
      <c r="F186" s="461"/>
      <c r="G186" s="460"/>
      <c r="H186" s="461"/>
      <c r="I186" s="460"/>
      <c r="J186" s="461"/>
      <c r="K186" s="460"/>
      <c r="L186" s="461"/>
      <c r="M186" s="460"/>
      <c r="N186" s="461"/>
      <c r="O186" s="460"/>
      <c r="P186" s="461"/>
    </row>
    <row r="187" spans="1:30" ht="16.95" customHeight="1" thickBot="1">
      <c r="A187" s="405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62"/>
      <c r="F187" s="463"/>
      <c r="G187" s="462"/>
      <c r="H187" s="463"/>
      <c r="I187" s="462"/>
      <c r="J187" s="463"/>
      <c r="K187" s="462"/>
      <c r="L187" s="463"/>
      <c r="M187" s="462"/>
      <c r="N187" s="463"/>
      <c r="O187" s="462"/>
      <c r="P187" s="463"/>
    </row>
    <row r="188" spans="1:30" ht="16.95" customHeight="1">
      <c r="A188" s="403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58"/>
      <c r="F188" s="459"/>
      <c r="G188" s="458"/>
      <c r="H188" s="459"/>
      <c r="I188" s="458"/>
      <c r="J188" s="459"/>
      <c r="K188" s="458"/>
      <c r="L188" s="459"/>
      <c r="M188" s="458"/>
      <c r="N188" s="459"/>
      <c r="O188" s="458"/>
      <c r="P188" s="459"/>
    </row>
    <row r="189" spans="1:30" ht="16.95" customHeight="1">
      <c r="A189" s="404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60"/>
      <c r="F189" s="461"/>
      <c r="G189" s="460"/>
      <c r="H189" s="461"/>
      <c r="I189" s="460"/>
      <c r="J189" s="461"/>
      <c r="K189" s="460"/>
      <c r="L189" s="461"/>
      <c r="M189" s="460"/>
      <c r="N189" s="461"/>
      <c r="O189" s="460"/>
      <c r="P189" s="461"/>
    </row>
    <row r="190" spans="1:30" ht="16.95" customHeight="1" thickBot="1">
      <c r="A190" s="405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62"/>
      <c r="F190" s="463"/>
      <c r="G190" s="462"/>
      <c r="H190" s="463"/>
      <c r="I190" s="462"/>
      <c r="J190" s="463"/>
      <c r="K190" s="462"/>
      <c r="L190" s="463"/>
      <c r="M190" s="462"/>
      <c r="N190" s="463"/>
      <c r="O190" s="462"/>
      <c r="P190" s="463"/>
    </row>
    <row r="191" spans="1:30" ht="27.75" customHeight="1" thickBot="1">
      <c r="B191" s="11"/>
      <c r="C191" s="25"/>
      <c r="D191" s="204"/>
      <c r="E191" s="456"/>
      <c r="F191" s="457"/>
      <c r="G191" s="456"/>
      <c r="H191" s="457"/>
      <c r="I191" s="456"/>
      <c r="J191" s="457"/>
      <c r="K191" s="456"/>
      <c r="L191" s="457"/>
      <c r="M191" s="456"/>
      <c r="N191" s="457"/>
      <c r="O191" s="456"/>
      <c r="P191" s="457"/>
    </row>
    <row r="192" spans="1:30" ht="24" customHeight="1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>
      <c r="B194" s="211" t="s">
        <v>1790</v>
      </c>
      <c r="C194" s="42" t="s">
        <v>1791</v>
      </c>
      <c r="D194" s="42"/>
      <c r="E194" s="398">
        <f>VLOOKUP(B177,Schlüssel!$A$5:$DZ$12,83)</f>
        <v>6</v>
      </c>
      <c r="F194" s="398"/>
      <c r="G194" s="398">
        <f>VLOOKUP(B177,Schlüssel!$A$5:$DZ$12,84)</f>
        <v>4</v>
      </c>
      <c r="H194" s="398"/>
      <c r="I194" s="398">
        <f>VLOOKUP(B177,Schlüssel!$A$5:$DZ$12,85)</f>
        <v>3</v>
      </c>
      <c r="J194" s="398"/>
      <c r="K194" s="398">
        <f>VLOOKUP(B177,Schlüssel!$A$5:$DZ$12,86)</f>
        <v>5</v>
      </c>
      <c r="L194" s="398"/>
      <c r="M194" s="398">
        <f>VLOOKUP(B177,Schlüssel!$A$5:$DZ$12,87)</f>
        <v>2</v>
      </c>
      <c r="N194" s="398"/>
      <c r="O194" s="399"/>
      <c r="P194" s="399"/>
    </row>
    <row r="195" spans="2:16" ht="28.5" customHeight="1">
      <c r="B195" s="4"/>
      <c r="C195" s="1"/>
      <c r="D195" s="1"/>
      <c r="E195" s="395" t="str">
        <f>VLOOKUP(E194,Schlüssel!$A$5:$K$12,2)</f>
        <v>Bowling Jugend Bayern 1</v>
      </c>
      <c r="F195" s="396"/>
      <c r="G195" s="395" t="str">
        <f>VLOOKUP(G194,Schlüssel!$A$5:$K$12,2)</f>
        <v>Highroller Rosenheim 3</v>
      </c>
      <c r="H195" s="396"/>
      <c r="I195" s="395" t="str">
        <f>VLOOKUP(I194,Schlüssel!$A$5:$K$12,2)</f>
        <v>Highroller Rosenheim 2</v>
      </c>
      <c r="J195" s="396"/>
      <c r="K195" s="395" t="str">
        <f>VLOOKUP(K194,Schlüssel!$A$5:$K$12,2)</f>
        <v>Berchtesgaden 1</v>
      </c>
      <c r="L195" s="396"/>
      <c r="M195" s="395" t="str">
        <f>VLOOKUP(M194,Schlüssel!$A$5:$K$12,2)</f>
        <v>Highroller Rosenheim 1</v>
      </c>
      <c r="N195" s="396"/>
      <c r="O195" s="397"/>
      <c r="P195" s="397"/>
    </row>
    <row r="196" spans="2:16" ht="12" customHeight="1">
      <c r="B196" s="4"/>
      <c r="C196" s="1"/>
      <c r="D196" s="1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53"/>
      <c r="P196" s="353"/>
    </row>
    <row r="197" spans="2:16" ht="16.2" customHeight="1">
      <c r="B197" s="39" t="s">
        <v>0</v>
      </c>
      <c r="C197" s="40"/>
      <c r="D197" s="40"/>
      <c r="E197" s="392"/>
      <c r="F197" s="392"/>
      <c r="G197" s="392"/>
      <c r="H197" s="392"/>
      <c r="I197" s="392"/>
      <c r="J197" s="392"/>
      <c r="K197" s="392"/>
      <c r="L197" s="392"/>
      <c r="M197" s="392"/>
      <c r="N197" s="392"/>
      <c r="O197" s="393"/>
      <c r="P197" s="393"/>
    </row>
    <row r="198" spans="2:16" ht="16.2" customHeight="1">
      <c r="B198" s="39" t="s">
        <v>2</v>
      </c>
      <c r="C198" s="40"/>
      <c r="D198" s="40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/>
      <c r="O198" s="393"/>
      <c r="P198" s="393"/>
    </row>
    <row r="199" spans="2:16" ht="16.2" customHeight="1">
      <c r="B199" s="39" t="s">
        <v>3</v>
      </c>
      <c r="C199" s="40"/>
      <c r="D199" s="40"/>
      <c r="E199" s="392"/>
      <c r="F199" s="392"/>
      <c r="G199" s="392"/>
      <c r="H199" s="392"/>
      <c r="I199" s="392"/>
      <c r="J199" s="392"/>
      <c r="K199" s="392"/>
      <c r="L199" s="392"/>
      <c r="M199" s="392"/>
      <c r="N199" s="392"/>
      <c r="O199" s="393"/>
      <c r="P199" s="393"/>
    </row>
    <row r="200" spans="2:16" ht="15.75" customHeight="1">
      <c r="B200" s="41" t="s">
        <v>1792</v>
      </c>
      <c r="C200" s="42"/>
      <c r="D200" s="42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41"/>
      <c r="P200" s="341"/>
    </row>
  </sheetData>
  <mergeCells count="944">
    <mergeCell ref="I6:J6"/>
    <mergeCell ref="E8:F8"/>
    <mergeCell ref="G8:H8"/>
    <mergeCell ref="I8:J8"/>
    <mergeCell ref="K8:L8"/>
    <mergeCell ref="M8:N8"/>
    <mergeCell ref="O20:P20"/>
    <mergeCell ref="E19:F19"/>
    <mergeCell ref="G19:H19"/>
    <mergeCell ref="I19:J19"/>
    <mergeCell ref="K19:L19"/>
    <mergeCell ref="M19:N19"/>
    <mergeCell ref="O11:P11"/>
    <mergeCell ref="E10:F10"/>
    <mergeCell ref="G10:H10"/>
    <mergeCell ref="I10:J10"/>
    <mergeCell ref="K10:L10"/>
    <mergeCell ref="M10:N10"/>
    <mergeCell ref="O10:P10"/>
    <mergeCell ref="O12:P12"/>
    <mergeCell ref="E13:F13"/>
    <mergeCell ref="G13:H13"/>
    <mergeCell ref="I13:J13"/>
    <mergeCell ref="K13:L13"/>
    <mergeCell ref="A7:A9"/>
    <mergeCell ref="A13:A15"/>
    <mergeCell ref="O5:P5"/>
    <mergeCell ref="A10:A12"/>
    <mergeCell ref="K6:L6"/>
    <mergeCell ref="M6:N6"/>
    <mergeCell ref="O6:P6"/>
    <mergeCell ref="E7:F7"/>
    <mergeCell ref="G7:H7"/>
    <mergeCell ref="I7:J7"/>
    <mergeCell ref="E15:F15"/>
    <mergeCell ref="G15:H15"/>
    <mergeCell ref="I15:J15"/>
    <mergeCell ref="K7:L7"/>
    <mergeCell ref="M7:N7"/>
    <mergeCell ref="O7:P7"/>
    <mergeCell ref="E6:F6"/>
    <mergeCell ref="G6:H6"/>
    <mergeCell ref="O8:P8"/>
    <mergeCell ref="E11:F11"/>
    <mergeCell ref="G11:H11"/>
    <mergeCell ref="I11:J11"/>
    <mergeCell ref="K11:L11"/>
    <mergeCell ref="M11:N11"/>
    <mergeCell ref="E22:F22"/>
    <mergeCell ref="G22:H22"/>
    <mergeCell ref="I22:J22"/>
    <mergeCell ref="K22:L22"/>
    <mergeCell ref="M22:N22"/>
    <mergeCell ref="O22:P22"/>
    <mergeCell ref="M1:O1"/>
    <mergeCell ref="E5:F5"/>
    <mergeCell ref="G5:H5"/>
    <mergeCell ref="I5:J5"/>
    <mergeCell ref="K5:L5"/>
    <mergeCell ref="M5:N5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A38:A40"/>
    <mergeCell ref="E38:F38"/>
    <mergeCell ref="G38:H38"/>
    <mergeCell ref="I38:J38"/>
    <mergeCell ref="A35:A37"/>
    <mergeCell ref="A32:A34"/>
    <mergeCell ref="E32:F32"/>
    <mergeCell ref="G32:H32"/>
    <mergeCell ref="I32:J32"/>
    <mergeCell ref="E34:F34"/>
    <mergeCell ref="E33:F33"/>
    <mergeCell ref="G33:H33"/>
    <mergeCell ref="I33:J33"/>
    <mergeCell ref="E37:F37"/>
    <mergeCell ref="G37:H37"/>
    <mergeCell ref="I37:J37"/>
    <mergeCell ref="E40:F40"/>
    <mergeCell ref="G40:H40"/>
    <mergeCell ref="I40:J40"/>
    <mergeCell ref="G34:H34"/>
    <mergeCell ref="I34:J34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A63:A65"/>
    <mergeCell ref="E63:F63"/>
    <mergeCell ref="G63:H63"/>
    <mergeCell ref="I63:J63"/>
    <mergeCell ref="A60:A62"/>
    <mergeCell ref="A57:A59"/>
    <mergeCell ref="E57:F57"/>
    <mergeCell ref="G57:H57"/>
    <mergeCell ref="I57:J57"/>
    <mergeCell ref="E59:F59"/>
    <mergeCell ref="G59:H59"/>
    <mergeCell ref="I59:J59"/>
    <mergeCell ref="E65:F65"/>
    <mergeCell ref="G65:H65"/>
    <mergeCell ref="I65:J65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A88:A90"/>
    <mergeCell ref="E88:F88"/>
    <mergeCell ref="G88:H88"/>
    <mergeCell ref="I88:J88"/>
    <mergeCell ref="A85:A87"/>
    <mergeCell ref="A82:A84"/>
    <mergeCell ref="E82:F82"/>
    <mergeCell ref="G82:H82"/>
    <mergeCell ref="I82:J82"/>
    <mergeCell ref="E84:F84"/>
    <mergeCell ref="G84:H84"/>
    <mergeCell ref="I84:J84"/>
    <mergeCell ref="E90:F90"/>
    <mergeCell ref="G90:H90"/>
    <mergeCell ref="I90:J90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A113:A115"/>
    <mergeCell ref="E113:F113"/>
    <mergeCell ref="G113:H113"/>
    <mergeCell ref="I113:J113"/>
    <mergeCell ref="A110:A112"/>
    <mergeCell ref="A107:A109"/>
    <mergeCell ref="E107:F107"/>
    <mergeCell ref="G107:H107"/>
    <mergeCell ref="I107:J107"/>
    <mergeCell ref="E109:F109"/>
    <mergeCell ref="G109:H109"/>
    <mergeCell ref="I109:J109"/>
    <mergeCell ref="E115:F115"/>
    <mergeCell ref="G115:H115"/>
    <mergeCell ref="I115:J115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A138:A140"/>
    <mergeCell ref="E138:F138"/>
    <mergeCell ref="G138:H138"/>
    <mergeCell ref="I138:J138"/>
    <mergeCell ref="A135:A137"/>
    <mergeCell ref="A132:A134"/>
    <mergeCell ref="E132:F132"/>
    <mergeCell ref="G132:H132"/>
    <mergeCell ref="I132:J132"/>
    <mergeCell ref="E134:F134"/>
    <mergeCell ref="G134:H134"/>
    <mergeCell ref="I134:J134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9:F9"/>
    <mergeCell ref="G9:H9"/>
    <mergeCell ref="I9:J9"/>
    <mergeCell ref="K9:L9"/>
    <mergeCell ref="M9:N9"/>
    <mergeCell ref="O9:P9"/>
    <mergeCell ref="O13:P13"/>
    <mergeCell ref="E14:F14"/>
    <mergeCell ref="G14:H14"/>
    <mergeCell ref="I14:J14"/>
    <mergeCell ref="K14:L14"/>
    <mergeCell ref="M14:N14"/>
    <mergeCell ref="O14:P14"/>
    <mergeCell ref="E12:F12"/>
    <mergeCell ref="G12:H12"/>
    <mergeCell ref="I12:J12"/>
    <mergeCell ref="K12:L12"/>
    <mergeCell ref="M12:N12"/>
    <mergeCell ref="M13:N13"/>
    <mergeCell ref="E31:F31"/>
    <mergeCell ref="G31:H31"/>
    <mergeCell ref="I31:J31"/>
    <mergeCell ref="K31:L31"/>
    <mergeCell ref="M31:N31"/>
    <mergeCell ref="O31:P31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M26:O26"/>
    <mergeCell ref="E30:F30"/>
    <mergeCell ref="G30:H30"/>
    <mergeCell ref="I30:J30"/>
    <mergeCell ref="K30:L30"/>
    <mergeCell ref="M30:N30"/>
    <mergeCell ref="O30:P30"/>
    <mergeCell ref="E25:F25"/>
    <mergeCell ref="G25:H25"/>
    <mergeCell ref="K32:L32"/>
    <mergeCell ref="M32:N32"/>
    <mergeCell ref="O32:P32"/>
    <mergeCell ref="I25:J25"/>
    <mergeCell ref="K25:L25"/>
    <mergeCell ref="M25:N25"/>
    <mergeCell ref="O25:P25"/>
    <mergeCell ref="K33:L33"/>
    <mergeCell ref="M33:N33"/>
    <mergeCell ref="O33:P33"/>
    <mergeCell ref="K34:L34"/>
    <mergeCell ref="M34:N34"/>
    <mergeCell ref="O34:P34"/>
    <mergeCell ref="E35:F35"/>
    <mergeCell ref="G35:H35"/>
    <mergeCell ref="I35:J35"/>
    <mergeCell ref="K35:L35"/>
    <mergeCell ref="M35:N35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1:F141"/>
    <mergeCell ref="G141:H141"/>
    <mergeCell ref="I141:J141"/>
    <mergeCell ref="K141:L141"/>
    <mergeCell ref="M141:N141"/>
    <mergeCell ref="O141:P141"/>
    <mergeCell ref="E140:F140"/>
    <mergeCell ref="G140:H140"/>
    <mergeCell ref="I140:J140"/>
    <mergeCell ref="K140:L140"/>
    <mergeCell ref="M140:N140"/>
    <mergeCell ref="O140:P140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198" priority="22" stopIfTrue="1" operator="equal">
      <formula>0</formula>
    </cfRule>
  </conditionalFormatting>
  <conditionalFormatting sqref="D32:D40">
    <cfRule type="cellIs" dxfId="197" priority="19" stopIfTrue="1" operator="equal">
      <formula>0</formula>
    </cfRule>
  </conditionalFormatting>
  <conditionalFormatting sqref="D57:D65">
    <cfRule type="cellIs" dxfId="196" priority="16" stopIfTrue="1" operator="equal">
      <formula>0</formula>
    </cfRule>
  </conditionalFormatting>
  <conditionalFormatting sqref="D82:D90">
    <cfRule type="cellIs" dxfId="195" priority="13" stopIfTrue="1" operator="equal">
      <formula>0</formula>
    </cfRule>
  </conditionalFormatting>
  <conditionalFormatting sqref="D107:D115">
    <cfRule type="cellIs" dxfId="194" priority="10" stopIfTrue="1" operator="equal">
      <formula>0</formula>
    </cfRule>
  </conditionalFormatting>
  <conditionalFormatting sqref="D132:D140">
    <cfRule type="cellIs" dxfId="193" priority="7" stopIfTrue="1" operator="equal">
      <formula>0</formula>
    </cfRule>
  </conditionalFormatting>
  <conditionalFormatting sqref="D157:D165">
    <cfRule type="cellIs" dxfId="192" priority="4" stopIfTrue="1" operator="equal">
      <formula>0</formula>
    </cfRule>
  </conditionalFormatting>
  <conditionalFormatting sqref="D182:D190">
    <cfRule type="cellIs" dxfId="191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BM208"/>
  <sheetViews>
    <sheetView view="pageBreakPreview" topLeftCell="A189" zoomScaleNormal="100" zoomScaleSheetLayoutView="100" workbookViewId="0">
      <selection activeCell="Q145" sqref="Q145"/>
    </sheetView>
  </sheetViews>
  <sheetFormatPr baseColWidth="10" defaultRowHeight="13.2"/>
  <cols>
    <col min="1" max="1" width="4.44140625" customWidth="1"/>
    <col min="2" max="2" width="15.6640625" bestFit="1" customWidth="1"/>
    <col min="3" max="3" width="6.44140625" bestFit="1" customWidth="1"/>
    <col min="4" max="4" width="7.44140625" bestFit="1" customWidth="1"/>
    <col min="5" max="5" width="6.33203125" bestFit="1" customWidth="1"/>
    <col min="6" max="6" width="8.33203125" bestFit="1" customWidth="1"/>
    <col min="7" max="7" width="4.44140625" bestFit="1" customWidth="1"/>
    <col min="8" max="8" width="5.6640625" customWidth="1"/>
    <col min="9" max="9" width="8.33203125" bestFit="1" customWidth="1"/>
    <col min="10" max="10" width="4.44140625" bestFit="1" customWidth="1"/>
    <col min="11" max="11" width="5.6640625" customWidth="1"/>
    <col min="12" max="12" width="8.33203125" bestFit="1" customWidth="1"/>
    <col min="13" max="13" width="4.44140625" bestFit="1" customWidth="1"/>
    <col min="14" max="14" width="5.6640625" customWidth="1"/>
    <col min="15" max="15" width="8.33203125" bestFit="1" customWidth="1"/>
    <col min="16" max="16" width="4.44140625" bestFit="1" customWidth="1"/>
    <col min="17" max="17" width="5.6640625" bestFit="1" customWidth="1"/>
    <col min="18" max="18" width="8.33203125" bestFit="1" customWidth="1"/>
    <col min="19" max="19" width="4.44140625" bestFit="1" customWidth="1"/>
    <col min="20" max="20" width="4.6640625" bestFit="1" customWidth="1"/>
    <col min="21" max="21" width="8.33203125" bestFit="1" customWidth="1"/>
    <col min="22" max="22" width="4.4414062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3203125" hidden="1" customWidth="1"/>
    <col min="41" max="41" width="10.6640625" hidden="1" customWidth="1"/>
    <col min="42" max="42" width="11.33203125" hidden="1" customWidth="1"/>
    <col min="43" max="43" width="6.44140625" style="169" hidden="1" customWidth="1"/>
    <col min="44" max="44" width="11.33203125" style="169" hidden="1" customWidth="1"/>
    <col min="45" max="45" width="7.6640625" style="169" hidden="1" customWidth="1"/>
    <col min="46" max="46" width="5.44140625" style="169" hidden="1" customWidth="1"/>
    <col min="47" max="47" width="6.33203125" style="169" hidden="1" customWidth="1"/>
    <col min="48" max="48" width="5.44140625" style="169" hidden="1" customWidth="1"/>
    <col min="49" max="49" width="6" style="169" hidden="1" customWidth="1"/>
    <col min="50" max="50" width="8.44140625" style="169" hidden="1" customWidth="1"/>
    <col min="51" max="55" width="4.33203125" style="169" hidden="1" customWidth="1"/>
    <col min="56" max="56" width="14.6640625" style="169" hidden="1" customWidth="1"/>
    <col min="57" max="57" width="5.33203125" style="169" hidden="1" customWidth="1"/>
    <col min="58" max="58" width="9.44140625" style="169" hidden="1" customWidth="1"/>
    <col min="59" max="59" width="11" style="169" hidden="1" customWidth="1"/>
    <col min="60" max="60" width="17.33203125" style="169" hidden="1" customWidth="1"/>
    <col min="61" max="62" width="5.33203125" style="169" hidden="1" customWidth="1"/>
    <col min="63" max="63" width="7.6640625" style="169" hidden="1" customWidth="1"/>
    <col min="64" max="64" width="11.44140625" style="169" hidden="1" customWidth="1"/>
    <col min="65" max="65" width="5.33203125" style="169" hidden="1" customWidth="1"/>
    <col min="66" max="79" width="11.44140625" customWidth="1"/>
  </cols>
  <sheetData>
    <row r="1" spans="1:65" ht="21" customHeight="1">
      <c r="A1" s="255"/>
      <c r="B1" s="7" t="s">
        <v>1802</v>
      </c>
      <c r="C1" s="24"/>
      <c r="D1" s="24"/>
      <c r="E1" s="35" t="s">
        <v>1786</v>
      </c>
      <c r="F1" s="35"/>
      <c r="G1" s="427" t="str">
        <f>Schlüssel!$C$1</f>
        <v>Landesliga Jugend</v>
      </c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06">
        <f>Schlüssel!$CO$1</f>
        <v>45794</v>
      </c>
      <c r="T1" s="406"/>
      <c r="U1" s="406"/>
      <c r="V1" s="406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>
      <c r="A2" s="53"/>
      <c r="B2" s="54">
        <v>1</v>
      </c>
      <c r="E2" s="35" t="s">
        <v>1787</v>
      </c>
      <c r="F2" s="35"/>
      <c r="G2" s="413" t="str">
        <f>Schlüssel!$CE$2</f>
        <v>Olching 5005 Bowling</v>
      </c>
      <c r="H2" s="413"/>
      <c r="I2" s="413"/>
      <c r="J2" s="413"/>
      <c r="K2" s="413"/>
      <c r="L2" s="413"/>
      <c r="M2" s="413"/>
      <c r="N2" s="413"/>
      <c r="O2" s="413"/>
      <c r="P2" s="66"/>
      <c r="Q2" s="411" t="s">
        <v>1785</v>
      </c>
      <c r="R2" s="412"/>
      <c r="S2" s="38">
        <v>5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>
      <c r="B3" s="414" t="str">
        <f>VLOOKUP(B2,Schlüssel!$A$5:$B$12,2)</f>
        <v>Bad Tölz 1</v>
      </c>
      <c r="C3" s="415"/>
      <c r="D3" s="415"/>
      <c r="E3" s="415"/>
      <c r="F3" s="415"/>
      <c r="G3" s="416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3.8" hidden="1" thickBot="1">
      <c r="A4" s="6"/>
      <c r="B4" s="7"/>
      <c r="C4" s="43"/>
      <c r="D4" s="43"/>
      <c r="E4" s="162" t="s">
        <v>10</v>
      </c>
      <c r="F4" s="220"/>
      <c r="G4" s="159">
        <f>VLOOKUP(B2,Schlüssel!$A$5:$EK$12,93)</f>
        <v>6</v>
      </c>
      <c r="H4" s="161" t="s">
        <v>10</v>
      </c>
      <c r="I4" s="220"/>
      <c r="J4" s="159">
        <f>VLOOKUP(B2,Schlüssel!$A$5:$EK$12,94)</f>
        <v>4</v>
      </c>
      <c r="K4" s="161" t="s">
        <v>10</v>
      </c>
      <c r="L4" s="220"/>
      <c r="M4" s="159">
        <f>VLOOKUP(B2,Schlüssel!$A$5:$EK$12,95)</f>
        <v>5</v>
      </c>
      <c r="N4" s="161" t="s">
        <v>10</v>
      </c>
      <c r="O4" s="220"/>
      <c r="P4" s="159">
        <f>VLOOKUP(B2,Schlüssel!$A$5:$EK$12,96)</f>
        <v>3</v>
      </c>
      <c r="Q4" s="161" t="s">
        <v>10</v>
      </c>
      <c r="R4" s="220"/>
      <c r="S4" s="160">
        <f>VLOOKUP(B2,Schlüssel!$A$5:$EK$12,97)</f>
        <v>7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>
      <c r="B5" s="44" t="s">
        <v>1</v>
      </c>
      <c r="C5" s="208"/>
      <c r="D5" s="217"/>
      <c r="E5" s="423" t="s">
        <v>1793</v>
      </c>
      <c r="F5" s="423"/>
      <c r="G5" s="408"/>
      <c r="H5" s="407" t="s">
        <v>1794</v>
      </c>
      <c r="I5" s="423"/>
      <c r="J5" s="408"/>
      <c r="K5" s="407" t="s">
        <v>1795</v>
      </c>
      <c r="L5" s="423"/>
      <c r="M5" s="408"/>
      <c r="N5" s="407" t="s">
        <v>1796</v>
      </c>
      <c r="O5" s="423"/>
      <c r="P5" s="408"/>
      <c r="Q5" s="407" t="s">
        <v>1797</v>
      </c>
      <c r="R5" s="423"/>
      <c r="S5" s="437"/>
      <c r="T5" s="439" t="s">
        <v>1792</v>
      </c>
      <c r="U5" s="440"/>
      <c r="V5" s="410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6.95" customHeight="1">
      <c r="A7" s="403" t="s">
        <v>0</v>
      </c>
      <c r="B7" s="58" t="str">
        <f>IF(C7=0,"",VLOOKUP(C7,Starter!$A$1:$D$196,2,FALSE))</f>
        <v>Mathe, Maximilian</v>
      </c>
      <c r="C7" s="232">
        <v>38844</v>
      </c>
      <c r="D7" s="238">
        <f t="shared" ref="D7:D15" si="0">+AP7</f>
        <v>0</v>
      </c>
      <c r="E7" s="221">
        <v>127</v>
      </c>
      <c r="F7" s="240">
        <f t="shared" ref="F7:F15" si="1">IF(E7&gt;0,E7+$D7,0)</f>
        <v>127</v>
      </c>
      <c r="G7" s="428">
        <f>IF(SUM(F7:F9)+E22=0,0,IF(ABS(SUM(F7:F9))=E22,Spielorte!$A$30/2,IF(ABS(SUM(F7:F9))&gt;E22,Spielorte!$A$30,0)))</f>
        <v>0</v>
      </c>
      <c r="H7" s="221">
        <v>138</v>
      </c>
      <c r="I7" s="240">
        <f t="shared" ref="I7:I15" si="2">IF(H7&gt;0,H7+$D7,0)</f>
        <v>138</v>
      </c>
      <c r="J7" s="428">
        <f>IF(SUM(I7:I9)+H22=0,0,IF(ABS(SUM(I7:I9))=H22,Spielorte!$A$30/2,IF(ABS(SUM(I7:I9))&gt;H22,Spielorte!$A$30,0)))</f>
        <v>0</v>
      </c>
      <c r="K7" s="221">
        <v>187</v>
      </c>
      <c r="L7" s="240">
        <f t="shared" ref="L7:L15" si="3">IF(K7&gt;0,K7+$D7,0)</f>
        <v>187</v>
      </c>
      <c r="M7" s="428">
        <f>IF(SUM(L7:L9)+K22=0,0,IF(ABS(SUM(L7:L9))=K22,Spielorte!$A$30/2,IF(ABS(SUM(L7:L9))&gt;K22,Spielorte!$A$30,0)))</f>
        <v>0</v>
      </c>
      <c r="N7" s="221">
        <v>154</v>
      </c>
      <c r="O7" s="240">
        <f t="shared" ref="O7:O15" si="4">IF(N7&gt;0,N7+$D7,0)</f>
        <v>154</v>
      </c>
      <c r="P7" s="428">
        <f>IF(SUM(O7:O9)+N22=0,0,IF(ABS(SUM(O7:O9))=N22,Spielorte!$A$30/2,IF(ABS(SUM(O7:O9))&gt;N22,Spielorte!$A$30,0)))</f>
        <v>1</v>
      </c>
      <c r="Q7" s="221">
        <v>185</v>
      </c>
      <c r="R7" s="240">
        <f t="shared" ref="R7:R15" si="5">IF(Q7&gt;0,Q7+$D7,0)</f>
        <v>185</v>
      </c>
      <c r="S7" s="428">
        <f>IF(SUM(R7:R9)+Q22=0,0,IF(ABS(SUM(R7:R9))=Q22,Spielorte!$A$30/2,IF(ABS(SUM(R7:R9))&gt;Q22,Spielorte!$A$30,0)))</f>
        <v>1</v>
      </c>
      <c r="T7" s="221">
        <f t="shared" ref="T7:U15" si="6">ABS(SUM(E7:E7))+ABS(SUM(H7:H7))+ABS(SUM(K7:K7))+ABS(SUM(N7:N7))+ABS(SUM(Q7:Q7))</f>
        <v>791</v>
      </c>
      <c r="U7" s="240">
        <f t="shared" si="6"/>
        <v>791</v>
      </c>
      <c r="V7" s="400">
        <f>SUM(G7+J7+M7+P7+S7)</f>
        <v>2</v>
      </c>
      <c r="W7" s="79"/>
      <c r="X7" s="79"/>
      <c r="Y7" s="79"/>
      <c r="Z7" s="79"/>
      <c r="AA7" s="79"/>
      <c r="AB7" s="79"/>
      <c r="AL7" s="169">
        <f>IF(AU7=0,0,IFERROR(INDEX(RanglisteST5!K:K,MATCH(AU7,RanglisteST5!A:A,0)),0))</f>
        <v>177.06</v>
      </c>
      <c r="AM7" s="169">
        <f>IF(AU7=0,0,SUMIF(AU7:AU15,AU7,AV7:AV15))</f>
        <v>791</v>
      </c>
      <c r="AN7" s="169">
        <f>IF(AU7=0,0,SUMIF(AU7:AU15,AU7,AW7:AW15))</f>
        <v>5</v>
      </c>
      <c r="AO7" s="169">
        <f t="shared" ref="AO7:AO15" si="7">IFERROR(AM7/AN7,0)</f>
        <v>158.19999999999999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38844</v>
      </c>
      <c r="AV7" s="167">
        <f t="shared" ref="AV7:AV15" si="9">T7</f>
        <v>791</v>
      </c>
      <c r="AW7" s="169">
        <f t="shared" ref="AW7:AW15" si="10">COUNT(AY7:BC7)</f>
        <v>5</v>
      </c>
      <c r="AX7" s="169">
        <f t="shared" ref="AX7:AX15" si="11">COUNTIF(AY7:BC7,"&gt;0")</f>
        <v>5</v>
      </c>
      <c r="AY7" s="169">
        <f t="shared" ref="AY7:AY15" si="12">IF(E7=0,"",E7)</f>
        <v>127</v>
      </c>
      <c r="AZ7" s="169">
        <f t="shared" ref="AZ7:AZ15" si="13">IF(H7=0,"",H7)</f>
        <v>138</v>
      </c>
      <c r="BA7" s="169">
        <f t="shared" ref="BA7:BA15" si="14">IF(K7=0,"",K7)</f>
        <v>187</v>
      </c>
      <c r="BB7" s="169">
        <f t="shared" ref="BB7:BB15" si="15">IF(N7=0,"",N7)</f>
        <v>154</v>
      </c>
      <c r="BC7" s="169">
        <f t="shared" ref="BC7:BC15" si="16">IF(Q7=0,"",Q7)</f>
        <v>185</v>
      </c>
      <c r="BD7" s="170"/>
      <c r="BE7" s="168"/>
      <c r="BF7" s="169">
        <f t="shared" ref="BF7:BF15" si="17">MAX(AY7:BC7)</f>
        <v>187</v>
      </c>
      <c r="BG7" s="169">
        <f t="shared" ref="BG7:BG15" si="18">IF(BF7&lt;MAX(BF:BF),0,BF7+ROW()/1000000000)</f>
        <v>0</v>
      </c>
      <c r="BH7" s="169" t="str">
        <f>+B3</f>
        <v>Bad Tölz 1</v>
      </c>
      <c r="BI7" s="168">
        <f t="shared" ref="BI7:BI15" si="19">RANK(BG7,BG:BG)</f>
        <v>2</v>
      </c>
      <c r="BJ7" s="169">
        <f t="shared" ref="BJ7:BJ15" si="20">SUMIF(AY7:BC7,"&gt;0")</f>
        <v>791</v>
      </c>
      <c r="BK7" s="169">
        <f>IF(COUNTIF(AY7:BC7,"&gt;0")&lt;Spielorte!$A$23,0,AV7/Spielorte!$A$23)</f>
        <v>158.19999999999999</v>
      </c>
      <c r="BL7" s="169">
        <f t="shared" ref="BL7:BL15" si="21">IF(BK7&lt;MAX(BK:BK),0,BK7+ROW()/1000000000)</f>
        <v>0</v>
      </c>
      <c r="BM7" s="168">
        <f t="shared" ref="BM7:BM15" si="22">IF(BL7=0,0,RANK(BL7,BL:BL))</f>
        <v>0</v>
      </c>
    </row>
    <row r="8" spans="1:65" ht="16.95" customHeight="1">
      <c r="A8" s="404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9"/>
      <c r="H8" s="222"/>
      <c r="I8" s="241">
        <f t="shared" si="2"/>
        <v>0</v>
      </c>
      <c r="J8" s="429"/>
      <c r="K8" s="222"/>
      <c r="L8" s="241">
        <f t="shared" si="3"/>
        <v>0</v>
      </c>
      <c r="M8" s="429"/>
      <c r="N8" s="222"/>
      <c r="O8" s="241">
        <f t="shared" si="4"/>
        <v>0</v>
      </c>
      <c r="P8" s="429"/>
      <c r="Q8" s="222"/>
      <c r="R8" s="241">
        <f t="shared" si="5"/>
        <v>0</v>
      </c>
      <c r="S8" s="429"/>
      <c r="T8" s="222">
        <f t="shared" si="6"/>
        <v>0</v>
      </c>
      <c r="U8" s="241">
        <f t="shared" si="6"/>
        <v>0</v>
      </c>
      <c r="V8" s="401"/>
      <c r="W8" s="79"/>
      <c r="X8" s="79"/>
      <c r="Y8" s="79"/>
      <c r="Z8" s="79"/>
      <c r="AA8" s="79"/>
      <c r="AB8" s="79"/>
      <c r="AL8" s="169">
        <f>IF(AU8=0,0,IFERROR(INDEX(RanglisteST5!K:K,MATCH(AU8,RanglisteST5!A:A,0)),0))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0</v>
      </c>
      <c r="BH8" s="169" t="str">
        <f t="shared" ref="BH8:BH15" si="23">+BH7</f>
        <v>Bad Tölz 1</v>
      </c>
      <c r="BI8" s="168">
        <f t="shared" si="19"/>
        <v>2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0</v>
      </c>
      <c r="BM8" s="168">
        <f t="shared" si="22"/>
        <v>0</v>
      </c>
    </row>
    <row r="9" spans="1:65" ht="16.95" customHeight="1" thickBot="1">
      <c r="A9" s="405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30"/>
      <c r="H9" s="224"/>
      <c r="I9" s="242">
        <f t="shared" si="2"/>
        <v>0</v>
      </c>
      <c r="J9" s="430"/>
      <c r="K9" s="224"/>
      <c r="L9" s="242">
        <f t="shared" si="3"/>
        <v>0</v>
      </c>
      <c r="M9" s="430"/>
      <c r="N9" s="224"/>
      <c r="O9" s="242">
        <f t="shared" si="4"/>
        <v>0</v>
      </c>
      <c r="P9" s="430"/>
      <c r="Q9" s="224"/>
      <c r="R9" s="242">
        <f t="shared" si="5"/>
        <v>0</v>
      </c>
      <c r="S9" s="430"/>
      <c r="T9" s="224">
        <f t="shared" si="6"/>
        <v>0</v>
      </c>
      <c r="U9" s="242">
        <f t="shared" si="6"/>
        <v>0</v>
      </c>
      <c r="V9" s="402"/>
      <c r="W9" s="79"/>
      <c r="X9" s="79"/>
      <c r="Y9" s="79"/>
      <c r="Z9" s="79"/>
      <c r="AA9" s="79"/>
      <c r="AB9" s="79"/>
      <c r="AL9" s="169">
        <f>IF(AU9=0,0,IFERROR(INDEX(RanglisteST5!K:K,MATCH(AU9,RanglisteST5!A:A,0)),0))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0</v>
      </c>
      <c r="BH9" s="169" t="str">
        <f t="shared" si="23"/>
        <v>Bad Tölz 1</v>
      </c>
      <c r="BI9" s="168">
        <f t="shared" si="19"/>
        <v>2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0</v>
      </c>
      <c r="BM9" s="168">
        <f t="shared" si="22"/>
        <v>0</v>
      </c>
    </row>
    <row r="10" spans="1:65" ht="16.95" customHeight="1">
      <c r="A10" s="403" t="s">
        <v>2</v>
      </c>
      <c r="B10" s="58" t="str">
        <f>IF(C10=0,"",VLOOKUP(C10,Starter!$A$1:$D$196,2,FALSE))</f>
        <v>Rothemund, Louis</v>
      </c>
      <c r="C10" s="235">
        <v>38893</v>
      </c>
      <c r="D10" s="238">
        <f t="shared" si="0"/>
        <v>58</v>
      </c>
      <c r="E10" s="221">
        <v>75</v>
      </c>
      <c r="F10" s="240">
        <f t="shared" si="1"/>
        <v>133</v>
      </c>
      <c r="G10" s="428">
        <f>IF(SUM(F10:F12)+E23=0,0,IF(ABS(SUM(F10:F12))=E23,Spielorte!$A$30/2,IF(ABS(SUM(F10:F12))&gt;E23,Spielorte!$A$30,0)))</f>
        <v>0</v>
      </c>
      <c r="H10" s="221">
        <v>104</v>
      </c>
      <c r="I10" s="240">
        <f t="shared" si="2"/>
        <v>162</v>
      </c>
      <c r="J10" s="428">
        <f>IF(SUM(I10:I12)+H23=0,0,IF(ABS(SUM(I10:I12))=H23,Spielorte!$A$30/2,IF(ABS(SUM(I10:I12))&gt;H23,Spielorte!$A$30,0)))</f>
        <v>0</v>
      </c>
      <c r="K10" s="221">
        <v>120</v>
      </c>
      <c r="L10" s="240">
        <f t="shared" si="3"/>
        <v>178</v>
      </c>
      <c r="M10" s="428">
        <f>IF(SUM(L10:L12)+K23=0,0,IF(ABS(SUM(L10:L12))=K23,Spielorte!$A$30/2,IF(ABS(SUM(L10:L12))&gt;K23,Spielorte!$A$30,0)))</f>
        <v>0</v>
      </c>
      <c r="N10" s="221">
        <v>55</v>
      </c>
      <c r="O10" s="240">
        <f t="shared" si="4"/>
        <v>113</v>
      </c>
      <c r="P10" s="428">
        <f>IF(SUM(O10:O12)+N23=0,0,IF(ABS(SUM(O10:O12))=N23,Spielorte!$A$30/2,IF(ABS(SUM(O10:O12))&gt;N23,Spielorte!$A$30,0)))</f>
        <v>0</v>
      </c>
      <c r="Q10" s="221">
        <v>118</v>
      </c>
      <c r="R10" s="240">
        <f t="shared" si="5"/>
        <v>176</v>
      </c>
      <c r="S10" s="428">
        <f>IF(SUM(R10:R12)+Q23=0,0,IF(ABS(SUM(R10:R12))=Q23,Spielorte!$A$30/2,IF(ABS(SUM(R10:R12))&gt;Q23,Spielorte!$A$30,0)))</f>
        <v>1</v>
      </c>
      <c r="T10" s="221">
        <f t="shared" si="6"/>
        <v>472</v>
      </c>
      <c r="U10" s="240">
        <f t="shared" si="6"/>
        <v>762</v>
      </c>
      <c r="V10" s="400">
        <f>SUM(G10+J10+M10+P10+S10)</f>
        <v>1</v>
      </c>
      <c r="W10" s="79"/>
      <c r="X10" s="79"/>
      <c r="Y10" s="79"/>
      <c r="Z10" s="79"/>
      <c r="AA10" s="79"/>
      <c r="AB10" s="79"/>
      <c r="AL10" s="169">
        <f>IF(AU10=0,0,IFERROR(INDEX(RanglisteST5!K:K,MATCH(AU10,RanglisteST5!A:A,0)),0))</f>
        <v>86.95</v>
      </c>
      <c r="AM10" s="169">
        <f>IF(AU10=0,0,SUMIF(AU7:AU15,AU10,AV7:AV15))</f>
        <v>472</v>
      </c>
      <c r="AN10" s="169">
        <f>IF(AU10=0,0,SUMIF(AU7:AU15,AU10,AW7:AW15))</f>
        <v>5</v>
      </c>
      <c r="AO10" s="169">
        <f t="shared" si="7"/>
        <v>94.4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58</v>
      </c>
      <c r="AQ10" s="166"/>
      <c r="AR10" s="167"/>
      <c r="AS10" s="167"/>
      <c r="AT10" s="168"/>
      <c r="AU10" s="171">
        <f t="shared" si="8"/>
        <v>38893</v>
      </c>
      <c r="AV10" s="167">
        <f t="shared" si="9"/>
        <v>472</v>
      </c>
      <c r="AW10" s="169">
        <f t="shared" si="10"/>
        <v>5</v>
      </c>
      <c r="AX10" s="169">
        <f t="shared" si="11"/>
        <v>5</v>
      </c>
      <c r="AY10" s="169">
        <f t="shared" si="12"/>
        <v>75</v>
      </c>
      <c r="AZ10" s="169">
        <f t="shared" si="13"/>
        <v>104</v>
      </c>
      <c r="BA10" s="169">
        <f t="shared" si="14"/>
        <v>120</v>
      </c>
      <c r="BB10" s="169">
        <f t="shared" si="15"/>
        <v>55</v>
      </c>
      <c r="BC10" s="169">
        <f t="shared" si="16"/>
        <v>118</v>
      </c>
      <c r="BD10" s="170"/>
      <c r="BE10" s="168"/>
      <c r="BF10" s="169">
        <f t="shared" si="17"/>
        <v>120</v>
      </c>
      <c r="BG10" s="169">
        <f t="shared" si="18"/>
        <v>0</v>
      </c>
      <c r="BH10" s="169" t="str">
        <f t="shared" si="23"/>
        <v>Bad Tölz 1</v>
      </c>
      <c r="BI10" s="168">
        <f t="shared" si="19"/>
        <v>2</v>
      </c>
      <c r="BJ10" s="169">
        <f t="shared" si="20"/>
        <v>472</v>
      </c>
      <c r="BK10" s="169">
        <f>IF(COUNTIF(AY10:BC10,"&gt;0")&lt;Spielorte!$A$23,0,AV10/Spielorte!$A$23)</f>
        <v>94.4</v>
      </c>
      <c r="BL10" s="169">
        <f t="shared" si="21"/>
        <v>0</v>
      </c>
      <c r="BM10" s="168">
        <f t="shared" si="22"/>
        <v>0</v>
      </c>
    </row>
    <row r="11" spans="1:65" ht="16.95" customHeight="1">
      <c r="A11" s="404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9"/>
      <c r="H11" s="222"/>
      <c r="I11" s="241">
        <f t="shared" si="2"/>
        <v>0</v>
      </c>
      <c r="J11" s="429"/>
      <c r="K11" s="222"/>
      <c r="L11" s="241">
        <f t="shared" si="3"/>
        <v>0</v>
      </c>
      <c r="M11" s="429"/>
      <c r="N11" s="222"/>
      <c r="O11" s="241">
        <f t="shared" si="4"/>
        <v>0</v>
      </c>
      <c r="P11" s="429"/>
      <c r="Q11" s="222"/>
      <c r="R11" s="241">
        <f t="shared" si="5"/>
        <v>0</v>
      </c>
      <c r="S11" s="429"/>
      <c r="T11" s="222">
        <f t="shared" si="6"/>
        <v>0</v>
      </c>
      <c r="U11" s="241">
        <f t="shared" si="6"/>
        <v>0</v>
      </c>
      <c r="V11" s="401"/>
      <c r="W11" s="79"/>
      <c r="X11" s="79"/>
      <c r="Y11" s="79"/>
      <c r="Z11" s="79"/>
      <c r="AA11" s="79"/>
      <c r="AB11" s="79"/>
      <c r="AL11" s="169">
        <f>IF(AU11=0,0,IFERROR(INDEX(RanglisteST5!K:K,MATCH(AU11,RanglisteST5!A:A,0)),0))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0</v>
      </c>
      <c r="BH11" s="169" t="str">
        <f t="shared" si="23"/>
        <v>Bad Tölz 1</v>
      </c>
      <c r="BI11" s="168">
        <f t="shared" si="19"/>
        <v>2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0</v>
      </c>
      <c r="BM11" s="168">
        <f t="shared" si="22"/>
        <v>0</v>
      </c>
    </row>
    <row r="12" spans="1:65" ht="16.95" customHeight="1" thickBot="1">
      <c r="A12" s="405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30"/>
      <c r="H12" s="224"/>
      <c r="I12" s="242">
        <f t="shared" si="2"/>
        <v>0</v>
      </c>
      <c r="J12" s="430"/>
      <c r="K12" s="224"/>
      <c r="L12" s="242">
        <f t="shared" si="3"/>
        <v>0</v>
      </c>
      <c r="M12" s="430"/>
      <c r="N12" s="224"/>
      <c r="O12" s="242">
        <f t="shared" si="4"/>
        <v>0</v>
      </c>
      <c r="P12" s="430"/>
      <c r="Q12" s="224"/>
      <c r="R12" s="242">
        <f t="shared" si="5"/>
        <v>0</v>
      </c>
      <c r="S12" s="430"/>
      <c r="T12" s="224">
        <f t="shared" si="6"/>
        <v>0</v>
      </c>
      <c r="U12" s="242">
        <f t="shared" si="6"/>
        <v>0</v>
      </c>
      <c r="V12" s="402"/>
      <c r="W12" s="79"/>
      <c r="X12" s="79"/>
      <c r="Y12" s="79"/>
      <c r="Z12" s="79"/>
      <c r="AA12" s="79"/>
      <c r="AB12" s="79"/>
      <c r="AL12" s="169">
        <f>IF(AU12=0,0,IFERROR(INDEX(RanglisteST5!K:K,MATCH(AU12,RanglisteST5!A:A,0)),0))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0</v>
      </c>
      <c r="BH12" s="169" t="str">
        <f t="shared" si="23"/>
        <v>Bad Tölz 1</v>
      </c>
      <c r="BI12" s="168">
        <f t="shared" si="19"/>
        <v>2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0</v>
      </c>
      <c r="BM12" s="168">
        <f t="shared" si="22"/>
        <v>0</v>
      </c>
    </row>
    <row r="13" spans="1:65" ht="16.95" customHeight="1">
      <c r="A13" s="403" t="s">
        <v>3</v>
      </c>
      <c r="B13" s="58" t="str">
        <f>IF(C13=0,"",VLOOKUP(C13,Starter!$A$1:$D$196,2,FALSE))</f>
        <v>Sturm, Sebastian</v>
      </c>
      <c r="C13" s="235">
        <v>38772</v>
      </c>
      <c r="D13" s="238">
        <f t="shared" si="0"/>
        <v>12</v>
      </c>
      <c r="E13" s="221">
        <v>103</v>
      </c>
      <c r="F13" s="240">
        <f t="shared" si="1"/>
        <v>115</v>
      </c>
      <c r="G13" s="428">
        <f>IF(SUM(F13:F15)+E24=0,0,IF(ABS(SUM(F13:F15))=E24,Spielorte!$A$30/2,IF(ABS(SUM(F13:F15))&gt;E24,Spielorte!$A$30,0)))</f>
        <v>0</v>
      </c>
      <c r="H13" s="221">
        <v>116</v>
      </c>
      <c r="I13" s="240">
        <f t="shared" si="2"/>
        <v>128</v>
      </c>
      <c r="J13" s="428">
        <f>IF(SUM(I13:I15)+H24=0,0,IF(ABS(SUM(I13:I15))=H24,Spielorte!$A$30/2,IF(ABS(SUM(I13:I15))&gt;H24,Spielorte!$A$30,0)))</f>
        <v>0</v>
      </c>
      <c r="K13" s="221">
        <v>138</v>
      </c>
      <c r="L13" s="240">
        <f t="shared" si="3"/>
        <v>150</v>
      </c>
      <c r="M13" s="428">
        <f>IF(SUM(L13:L15)+K24=0,0,IF(ABS(SUM(L13:L15))=K24,Spielorte!$A$30/2,IF(ABS(SUM(L13:L15))&gt;K24,Spielorte!$A$30,0)))</f>
        <v>0</v>
      </c>
      <c r="N13" s="221">
        <v>128</v>
      </c>
      <c r="O13" s="240">
        <f t="shared" si="4"/>
        <v>140</v>
      </c>
      <c r="P13" s="428">
        <f>IF(SUM(O13:O15)+N24=0,0,IF(ABS(SUM(O13:O15))=N24,Spielorte!$A$30/2,IF(ABS(SUM(O13:O15))&gt;N24,Spielorte!$A$30,0)))</f>
        <v>0</v>
      </c>
      <c r="Q13" s="221">
        <v>126</v>
      </c>
      <c r="R13" s="240">
        <f t="shared" si="5"/>
        <v>138</v>
      </c>
      <c r="S13" s="428">
        <f>IF(SUM(R13:R15)+Q24=0,0,IF(ABS(SUM(R13:R15))=Q24,Spielorte!$A$30/2,IF(ABS(SUM(R13:R15))&gt;Q24,Spielorte!$A$30,0)))</f>
        <v>1</v>
      </c>
      <c r="T13" s="221">
        <f t="shared" si="6"/>
        <v>611</v>
      </c>
      <c r="U13" s="240">
        <f t="shared" si="6"/>
        <v>671</v>
      </c>
      <c r="V13" s="400">
        <f>SUM(G13+J13+M13+P13+S13)</f>
        <v>1</v>
      </c>
      <c r="W13" s="79"/>
      <c r="X13" s="79"/>
      <c r="Y13" s="79"/>
      <c r="Z13" s="79"/>
      <c r="AA13" s="79"/>
      <c r="AB13" s="79"/>
      <c r="AL13" s="169">
        <f>IF(AU13=0,0,IFERROR(INDEX(RanglisteST5!K:K,MATCH(AU13,RanglisteST5!A:A,0)),0))</f>
        <v>145.25</v>
      </c>
      <c r="AM13" s="169">
        <f>IF(AU13=0,0,SUMIF(AU7:AU15,AU13,AV7:AV15))</f>
        <v>611</v>
      </c>
      <c r="AN13" s="169">
        <f>IF(AU13=0,0,SUMIF(AU7:AU15,AU13,AW7:AW15))</f>
        <v>5</v>
      </c>
      <c r="AO13" s="169">
        <f t="shared" si="7"/>
        <v>122.2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12</v>
      </c>
      <c r="AQ13" s="166"/>
      <c r="AR13" s="167"/>
      <c r="AS13" s="167"/>
      <c r="AT13" s="168"/>
      <c r="AU13" s="171">
        <f t="shared" si="8"/>
        <v>38772</v>
      </c>
      <c r="AV13" s="167">
        <f t="shared" si="9"/>
        <v>611</v>
      </c>
      <c r="AW13" s="169">
        <f t="shared" si="10"/>
        <v>5</v>
      </c>
      <c r="AX13" s="169">
        <f t="shared" si="11"/>
        <v>5</v>
      </c>
      <c r="AY13" s="169">
        <f t="shared" si="12"/>
        <v>103</v>
      </c>
      <c r="AZ13" s="169">
        <f t="shared" si="13"/>
        <v>116</v>
      </c>
      <c r="BA13" s="169">
        <f t="shared" si="14"/>
        <v>138</v>
      </c>
      <c r="BB13" s="169">
        <f t="shared" si="15"/>
        <v>128</v>
      </c>
      <c r="BC13" s="169">
        <f t="shared" si="16"/>
        <v>126</v>
      </c>
      <c r="BD13" s="170"/>
      <c r="BE13" s="168"/>
      <c r="BF13" s="169">
        <f t="shared" si="17"/>
        <v>138</v>
      </c>
      <c r="BG13" s="169">
        <f t="shared" si="18"/>
        <v>0</v>
      </c>
      <c r="BH13" s="169" t="str">
        <f t="shared" si="23"/>
        <v>Bad Tölz 1</v>
      </c>
      <c r="BI13" s="168">
        <f t="shared" si="19"/>
        <v>2</v>
      </c>
      <c r="BJ13" s="169">
        <f t="shared" si="20"/>
        <v>611</v>
      </c>
      <c r="BK13" s="169">
        <f>IF(COUNTIF(AY13:BC13,"&gt;0")&lt;Spielorte!$A$23,0,AV13/Spielorte!$A$23)</f>
        <v>122.2</v>
      </c>
      <c r="BL13" s="169">
        <f t="shared" si="21"/>
        <v>0</v>
      </c>
      <c r="BM13" s="168">
        <f t="shared" si="22"/>
        <v>0</v>
      </c>
    </row>
    <row r="14" spans="1:65" ht="16.95" customHeight="1">
      <c r="A14" s="404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9"/>
      <c r="H14" s="222"/>
      <c r="I14" s="241">
        <f t="shared" si="2"/>
        <v>0</v>
      </c>
      <c r="J14" s="429"/>
      <c r="K14" s="222"/>
      <c r="L14" s="241">
        <f t="shared" si="3"/>
        <v>0</v>
      </c>
      <c r="M14" s="429"/>
      <c r="N14" s="222"/>
      <c r="O14" s="241">
        <f t="shared" si="4"/>
        <v>0</v>
      </c>
      <c r="P14" s="429"/>
      <c r="Q14" s="222"/>
      <c r="R14" s="241">
        <f t="shared" si="5"/>
        <v>0</v>
      </c>
      <c r="S14" s="429"/>
      <c r="T14" s="222">
        <f t="shared" si="6"/>
        <v>0</v>
      </c>
      <c r="U14" s="241">
        <f t="shared" si="6"/>
        <v>0</v>
      </c>
      <c r="V14" s="401"/>
      <c r="W14" s="79"/>
      <c r="X14" s="79"/>
      <c r="Y14" s="79"/>
      <c r="Z14" s="79"/>
      <c r="AA14" s="79"/>
      <c r="AB14" s="79"/>
      <c r="AL14" s="169">
        <f>IF(AU14=0,0,IFERROR(INDEX(RanglisteST5!K:K,MATCH(AU14,RanglisteST5!A:A,0)),0))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0</v>
      </c>
      <c r="BH14" s="169" t="str">
        <f t="shared" si="23"/>
        <v>Bad Tölz 1</v>
      </c>
      <c r="BI14" s="168">
        <f t="shared" si="19"/>
        <v>2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0</v>
      </c>
      <c r="BM14" s="168">
        <f t="shared" si="22"/>
        <v>0</v>
      </c>
    </row>
    <row r="15" spans="1:65" ht="16.95" customHeight="1" thickBot="1">
      <c r="A15" s="405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30"/>
      <c r="H15" s="224"/>
      <c r="I15" s="242">
        <f t="shared" si="2"/>
        <v>0</v>
      </c>
      <c r="J15" s="430"/>
      <c r="K15" s="224"/>
      <c r="L15" s="242">
        <f t="shared" si="3"/>
        <v>0</v>
      </c>
      <c r="M15" s="430"/>
      <c r="N15" s="224"/>
      <c r="O15" s="242">
        <f t="shared" si="4"/>
        <v>0</v>
      </c>
      <c r="P15" s="430"/>
      <c r="Q15" s="224"/>
      <c r="R15" s="242">
        <f t="shared" si="5"/>
        <v>0</v>
      </c>
      <c r="S15" s="430"/>
      <c r="T15" s="224">
        <f t="shared" si="6"/>
        <v>0</v>
      </c>
      <c r="U15" s="242">
        <f t="shared" si="6"/>
        <v>0</v>
      </c>
      <c r="V15" s="402"/>
      <c r="W15" s="79"/>
      <c r="X15" s="79"/>
      <c r="Y15" s="79"/>
      <c r="Z15" s="79"/>
      <c r="AA15" s="79"/>
      <c r="AB15" s="79"/>
      <c r="AL15" s="169">
        <f>IF(AU15=0,0,IFERROR(INDEX(RanglisteST5!K:K,MATCH(AU15,RanglisteST5!A:A,0)),0))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0</v>
      </c>
      <c r="BH15" s="169" t="str">
        <f t="shared" si="23"/>
        <v>Bad Tölz 1</v>
      </c>
      <c r="BI15" s="168">
        <f t="shared" si="19"/>
        <v>2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0</v>
      </c>
      <c r="BM15" s="168">
        <f t="shared" si="22"/>
        <v>0</v>
      </c>
    </row>
    <row r="16" spans="1:65" ht="27.75" customHeight="1" thickBot="1">
      <c r="B16" s="218" t="s">
        <v>1792</v>
      </c>
      <c r="C16" s="204"/>
      <c r="D16" s="219"/>
      <c r="E16" s="226">
        <f>ABS(SUM(E7:E9))+ABS(SUM(E10:E12))+ABS(SUM(E13:E15))</f>
        <v>305</v>
      </c>
      <c r="F16" s="225">
        <f>ABS(SUM(F7:F9))+ABS(SUM(F10:F12))+ABS(SUM(F13:F15))</f>
        <v>375</v>
      </c>
      <c r="G16" s="81">
        <f>IF(F16+E25=0,0,IF(F16=E25,Spielorte!$A$31/2,IF(F16&gt;E25,Spielorte!$A$31,0)))</f>
        <v>0</v>
      </c>
      <c r="H16" s="226">
        <f>ABS(SUM(H7:H9))+ABS(SUM(H10:H12))+ABS(SUM(H13:H15))</f>
        <v>358</v>
      </c>
      <c r="I16" s="225">
        <f>ABS(SUM(I7:I9))+ABS(SUM(I10:I12))+ABS(SUM(I13:I15))</f>
        <v>428</v>
      </c>
      <c r="J16" s="81">
        <f>IF(I16+H25=0,0,IF(I16=H25,Spielorte!$A$31/2,IF(I16&gt;H25,Spielorte!$A$31,0)))</f>
        <v>0</v>
      </c>
      <c r="K16" s="226">
        <f>ABS(SUM(K7:K9))+ABS(SUM(K10:K12))+ABS(SUM(K13:K15))</f>
        <v>445</v>
      </c>
      <c r="L16" s="225">
        <f>ABS(SUM(L7:L9))+ABS(SUM(L10:L12))+ABS(SUM(L13:L15))</f>
        <v>515</v>
      </c>
      <c r="M16" s="81">
        <f>IF(L16+K25=0,0,IF(L16=K25,Spielorte!$A$31/2,IF(L16&gt;K25,Spielorte!$A$31,0)))</f>
        <v>0</v>
      </c>
      <c r="N16" s="226">
        <f>ABS(SUM(N7:N9))+ABS(SUM(N10:N12))+ABS(SUM(N13:N15))</f>
        <v>337</v>
      </c>
      <c r="O16" s="225">
        <f>ABS(SUM(O7:O9))+ABS(SUM(O10:O12))+ABS(SUM(O13:O15))</f>
        <v>407</v>
      </c>
      <c r="P16" s="81">
        <f>IF(O16+N25=0,0,IF(O16=N25,Spielorte!$A$31/2,IF(O16&gt;N25,Spielorte!$A$31,0)))</f>
        <v>0</v>
      </c>
      <c r="Q16" s="226">
        <f>ABS(SUM(Q7:Q9))+ABS(SUM(Q10:Q12))+ABS(SUM(Q13:Q15))</f>
        <v>429</v>
      </c>
      <c r="R16" s="225">
        <f>ABS(SUM(R7:R9))+ABS(SUM(R10:R12))+ABS(SUM(R13:R15))</f>
        <v>499</v>
      </c>
      <c r="S16" s="81">
        <f>IF(R16+Q25=0,0,IF(R16=Q25,Spielorte!$A$31/2,IF(R16&gt;Q25,Spielorte!$A$31,0)))</f>
        <v>2</v>
      </c>
      <c r="T16" s="228">
        <f>SUM(E16+H16+K16+N16+Q16)</f>
        <v>1874</v>
      </c>
      <c r="U16" s="229">
        <f>SUM(F16+I16+L16+O16+R16)</f>
        <v>2224</v>
      </c>
      <c r="V16" s="12">
        <f>SUM(G16+J16+M16+P16+S16)</f>
        <v>2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1</v>
      </c>
      <c r="Q17" s="1"/>
      <c r="R17" s="1"/>
      <c r="S17" s="61">
        <f>SUM(S7:S16)</f>
        <v>5</v>
      </c>
      <c r="T17" s="1"/>
      <c r="U17" s="1"/>
      <c r="V17" s="61">
        <f>SUM(V7:V16)</f>
        <v>6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6</v>
      </c>
      <c r="AR17" s="167">
        <f>+T16</f>
        <v>1874</v>
      </c>
      <c r="AS17" s="167">
        <f>+U16</f>
        <v>2224</v>
      </c>
      <c r="AT17" s="168">
        <f>+B2</f>
        <v>1</v>
      </c>
      <c r="AW17" s="169">
        <f>SUM(AW1:AW16)</f>
        <v>15</v>
      </c>
      <c r="BD17" s="166">
        <f>+AS17/1000000+AQ17+AR17/1000000000000</f>
        <v>6.0022240018739996</v>
      </c>
      <c r="BE17" s="168">
        <f>RANK(BD17,BD:BD)</f>
        <v>7</v>
      </c>
      <c r="BI17" s="168"/>
      <c r="BM17" s="168"/>
    </row>
    <row r="18" spans="1:65" ht="11.25" customHeight="1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>
      <c r="B19" s="231" t="s">
        <v>1790</v>
      </c>
      <c r="C19" s="210"/>
      <c r="D19" s="42"/>
      <c r="E19" s="434">
        <f>VLOOKUP($B2,Schlüssel!$A$5:$EK$12,83)</f>
        <v>3</v>
      </c>
      <c r="F19" s="435"/>
      <c r="G19" s="436"/>
      <c r="H19" s="434">
        <f>VLOOKUP($B2,Schlüssel!$A$5:$EK$12,84)</f>
        <v>5</v>
      </c>
      <c r="I19" s="435"/>
      <c r="J19" s="436"/>
      <c r="K19" s="434">
        <f>VLOOKUP($B2,Schlüssel!$A$5:$EK$12,85)</f>
        <v>7</v>
      </c>
      <c r="L19" s="435"/>
      <c r="M19" s="436"/>
      <c r="N19" s="434">
        <f>VLOOKUP($B2,Schlüssel!$A$5:$EK$12,86)</f>
        <v>4</v>
      </c>
      <c r="O19" s="435"/>
      <c r="P19" s="436"/>
      <c r="Q19" s="434">
        <f>VLOOKUP($B2,Schlüssel!$A$5:$EK$12,87)</f>
        <v>6</v>
      </c>
      <c r="R19" s="435"/>
      <c r="S19" s="436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>
      <c r="B20" s="3" t="s">
        <v>9</v>
      </c>
      <c r="C20" s="1"/>
      <c r="D20" s="1"/>
      <c r="E20" s="395" t="str">
        <f>VLOOKUP(E19,Schlüssel!$A$5:$K$12,2)</f>
        <v>Highroller Rosenheim 2</v>
      </c>
      <c r="F20" s="438"/>
      <c r="G20" s="396"/>
      <c r="H20" s="395" t="str">
        <f>VLOOKUP(H19,Schlüssel!$A$5:$K$12,2)</f>
        <v>Berchtesgaden 1</v>
      </c>
      <c r="I20" s="438"/>
      <c r="J20" s="396"/>
      <c r="K20" s="395" t="str">
        <f>VLOOKUP(K19,Schlüssel!$A$5:$K$12,2)</f>
        <v>BK München 1</v>
      </c>
      <c r="L20" s="438"/>
      <c r="M20" s="396"/>
      <c r="N20" s="395" t="str">
        <f>VLOOKUP(N19,Schlüssel!$A$5:$K$12,2)</f>
        <v>Highroller Rosenheim 3</v>
      </c>
      <c r="O20" s="438"/>
      <c r="P20" s="396"/>
      <c r="Q20" s="395" t="str">
        <f>VLOOKUP(Q19,Schlüssel!$A$5:$K$12,2)</f>
        <v>Bowling Jugend Bayern 1</v>
      </c>
      <c r="R20" s="438"/>
      <c r="S20" s="396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" customHeight="1">
      <c r="B22" s="417" t="s">
        <v>2275</v>
      </c>
      <c r="C22" s="418"/>
      <c r="D22" s="419"/>
      <c r="E22" s="431">
        <f>ABS(INDEX(F:F,MATCH(E19,$B:$B,0)+5)+INDEX(F:F,MATCH(E19,$B:$B,0)+6)+INDEX(F:F,MATCH(E19,$B:$B,0)+7))</f>
        <v>144</v>
      </c>
      <c r="F22" s="432"/>
      <c r="G22" s="433"/>
      <c r="H22" s="431">
        <f>ABS(INDEX(I:I,MATCH(H19,$B:$B,0)+5)+INDEX(I:I,MATCH(H19,$B:$B,0)+6)+INDEX(I:I,MATCH(H19,$B:$B,0)+7))</f>
        <v>165</v>
      </c>
      <c r="I22" s="432"/>
      <c r="J22" s="433"/>
      <c r="K22" s="431">
        <f>ABS(INDEX(L:L,MATCH(K19,$B:$B,0)+5)+INDEX(L:L,MATCH(K19,$B:$B,0)+6)+INDEX(L:L,MATCH(K19,$B:$B,0)+7))</f>
        <v>223</v>
      </c>
      <c r="L22" s="432"/>
      <c r="M22" s="433"/>
      <c r="N22" s="431">
        <f>ABS(INDEX(O:O,MATCH(N19,$B:$B,0)+5)+INDEX(O:O,MATCH(N19,$B:$B,0)+6)+INDEX(O:O,MATCH(N19,$B:$B,0)+7))</f>
        <v>153</v>
      </c>
      <c r="O22" s="432"/>
      <c r="P22" s="433"/>
      <c r="Q22" s="431">
        <f>ABS(INDEX(R:R,MATCH(Q19,$B:$B,0)+5)+INDEX(R:R,MATCH(Q19,$B:$B,0)+6)+INDEX(R:R,MATCH(Q19,$B:$B,0)+7))</f>
        <v>158</v>
      </c>
      <c r="R22" s="432"/>
      <c r="S22" s="433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" customHeight="1">
      <c r="B23" s="417" t="s">
        <v>2276</v>
      </c>
      <c r="C23" s="418"/>
      <c r="D23" s="419"/>
      <c r="E23" s="424">
        <f>ABS(INDEX(F:F,MATCH(E19,$B:$B,0)+8)+INDEX(F:F,MATCH(E19,$B:$B,0)+9)+INDEX(F:F,MATCH(E19,$B:$B,0)+10))</f>
        <v>148</v>
      </c>
      <c r="F23" s="425"/>
      <c r="G23" s="426"/>
      <c r="H23" s="424">
        <f>ABS(INDEX(I:I,MATCH(H19,$B:$B,0)+8)+INDEX(I:I,MATCH(H19,$B:$B,0)+9)+INDEX(I:I,MATCH(H19,$B:$B,0)+10))</f>
        <v>245</v>
      </c>
      <c r="I23" s="425"/>
      <c r="J23" s="426"/>
      <c r="K23" s="424">
        <f>ABS(INDEX(L:L,MATCH(K19,$B:$B,0)+8)+INDEX(L:L,MATCH(K19,$B:$B,0)+9)+INDEX(L:L,MATCH(K19,$B:$B,0)+10))</f>
        <v>195</v>
      </c>
      <c r="L23" s="425"/>
      <c r="M23" s="426"/>
      <c r="N23" s="424">
        <f>ABS(INDEX(O:O,MATCH(N19,$B:$B,0)+8)+INDEX(O:O,MATCH(N19,$B:$B,0)+9)+INDEX(O:O,MATCH(N19,$B:$B,0)+10))</f>
        <v>146</v>
      </c>
      <c r="O23" s="425"/>
      <c r="P23" s="426"/>
      <c r="Q23" s="424">
        <f>ABS(INDEX(R:R,MATCH(Q19,$B:$B,0)+8)+INDEX(R:R,MATCH(Q19,$B:$B,0)+9)+INDEX(R:R,MATCH(Q19,$B:$B,0)+10))</f>
        <v>170</v>
      </c>
      <c r="R23" s="425"/>
      <c r="S23" s="426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" customHeight="1">
      <c r="B24" s="417" t="s">
        <v>2277</v>
      </c>
      <c r="C24" s="418"/>
      <c r="D24" s="419"/>
      <c r="E24" s="424">
        <f>ABS(INDEX(F:F,MATCH(E19,$B:$B,0)+11)+INDEX(F:F,MATCH(E19,$B:$B,0)+12)+INDEX(F:F,MATCH(E19,$B:$B,0)+13))</f>
        <v>150</v>
      </c>
      <c r="F24" s="425"/>
      <c r="G24" s="426"/>
      <c r="H24" s="424">
        <f>ABS(INDEX(I:I,MATCH(H19,$B:$B,0)+11)+INDEX(I:I,MATCH(H19,$B:$B,0)+12)+INDEX(I:I,MATCH(H19,$B:$B,0)+13))</f>
        <v>155</v>
      </c>
      <c r="I24" s="425"/>
      <c r="J24" s="426"/>
      <c r="K24" s="424">
        <f>ABS(INDEX(L:L,MATCH(K19,$B:$B,0)+11)+INDEX(L:L,MATCH(K19,$B:$B,0)+12)+INDEX(L:L,MATCH(K19,$B:$B,0)+13))</f>
        <v>257</v>
      </c>
      <c r="L24" s="425"/>
      <c r="M24" s="426"/>
      <c r="N24" s="424">
        <f>ABS(INDEX(O:O,MATCH(N19,$B:$B,0)+11)+INDEX(O:O,MATCH(N19,$B:$B,0)+12)+INDEX(O:O,MATCH(N19,$B:$B,0)+13))</f>
        <v>165</v>
      </c>
      <c r="O24" s="425"/>
      <c r="P24" s="426"/>
      <c r="Q24" s="424">
        <f>ABS(INDEX(R:R,MATCH(Q19,$B:$B,0)+11)+INDEX(R:R,MATCH(Q19,$B:$B,0)+12)+INDEX(R:R,MATCH(Q19,$B:$B,0)+13))</f>
        <v>103</v>
      </c>
      <c r="R24" s="425"/>
      <c r="S24" s="426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" customHeight="1">
      <c r="B25" s="420" t="s">
        <v>2278</v>
      </c>
      <c r="C25" s="421"/>
      <c r="D25" s="422"/>
      <c r="E25" s="407">
        <f>SUM(E22:E24)</f>
        <v>442</v>
      </c>
      <c r="F25" s="423"/>
      <c r="G25" s="408"/>
      <c r="H25" s="407">
        <f>SUM(H22:H24)</f>
        <v>565</v>
      </c>
      <c r="I25" s="423"/>
      <c r="J25" s="408"/>
      <c r="K25" s="407">
        <f>SUM(K22:K24)</f>
        <v>675</v>
      </c>
      <c r="L25" s="423"/>
      <c r="M25" s="408"/>
      <c r="N25" s="407">
        <f>SUM(N22:N24)</f>
        <v>464</v>
      </c>
      <c r="O25" s="423"/>
      <c r="P25" s="408"/>
      <c r="Q25" s="407">
        <f>SUM(Q22:Q24)</f>
        <v>431</v>
      </c>
      <c r="R25" s="423"/>
      <c r="S25" s="408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>
      <c r="A27" s="255"/>
      <c r="B27" s="7" t="s">
        <v>1802</v>
      </c>
      <c r="C27" s="24"/>
      <c r="D27" s="24"/>
      <c r="E27" s="35" t="s">
        <v>1786</v>
      </c>
      <c r="F27" s="35"/>
      <c r="G27" s="427" t="str">
        <f>Schlüssel!$C$1</f>
        <v>Landesliga Jugend</v>
      </c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06">
        <f>Schlüssel!$CO$1</f>
        <v>45794</v>
      </c>
      <c r="T27" s="406"/>
      <c r="U27" s="406"/>
      <c r="V27" s="406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>
      <c r="A28" s="53"/>
      <c r="B28" s="54">
        <v>2</v>
      </c>
      <c r="E28" s="35" t="s">
        <v>1787</v>
      </c>
      <c r="F28" s="35"/>
      <c r="G28" s="413" t="str">
        <f>Schlüssel!$CE$2</f>
        <v>Olching 5005 Bowling</v>
      </c>
      <c r="H28" s="413"/>
      <c r="I28" s="413"/>
      <c r="J28" s="413"/>
      <c r="K28" s="413"/>
      <c r="L28" s="413"/>
      <c r="M28" s="413"/>
      <c r="N28" s="413"/>
      <c r="O28" s="413"/>
      <c r="P28" s="66"/>
      <c r="Q28" s="411" t="s">
        <v>1785</v>
      </c>
      <c r="R28" s="412"/>
      <c r="S28" s="38">
        <v>5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>
      <c r="B29" s="414" t="str">
        <f>VLOOKUP(B28,Schlüssel!$A$5:$B$12,2)</f>
        <v>Highroller Rosenheim 1</v>
      </c>
      <c r="C29" s="415"/>
      <c r="D29" s="415"/>
      <c r="E29" s="415"/>
      <c r="F29" s="415"/>
      <c r="G29" s="416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3.8" hidden="1" thickBot="1">
      <c r="A30" s="6"/>
      <c r="B30" s="7"/>
      <c r="C30" s="43"/>
      <c r="D30" s="43"/>
      <c r="E30" s="162" t="s">
        <v>10</v>
      </c>
      <c r="F30" s="220"/>
      <c r="G30" s="159">
        <f>VLOOKUP(B28,Schlüssel!$A$5:$EK$12,93)</f>
        <v>8</v>
      </c>
      <c r="H30" s="161" t="s">
        <v>10</v>
      </c>
      <c r="I30" s="220"/>
      <c r="J30" s="159">
        <f>VLOOKUP(B28,Schlüssel!$A$5:$EK$12,94)</f>
        <v>7</v>
      </c>
      <c r="K30" s="161" t="s">
        <v>10</v>
      </c>
      <c r="L30" s="220"/>
      <c r="M30" s="159">
        <f>VLOOKUP(B28,Schlüssel!$A$5:$EK$12,95)</f>
        <v>1</v>
      </c>
      <c r="N30" s="161" t="s">
        <v>10</v>
      </c>
      <c r="O30" s="220"/>
      <c r="P30" s="159">
        <f>VLOOKUP(B28,Schlüssel!$A$5:$EK$12,96)</f>
        <v>6</v>
      </c>
      <c r="Q30" s="161" t="s">
        <v>10</v>
      </c>
      <c r="R30" s="220"/>
      <c r="S30" s="160">
        <f>VLOOKUP(B28,Schlüssel!$A$5:$EK$12,97)</f>
        <v>3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>
      <c r="B31" s="44" t="s">
        <v>1</v>
      </c>
      <c r="C31" s="208"/>
      <c r="D31" s="217"/>
      <c r="E31" s="423" t="s">
        <v>1793</v>
      </c>
      <c r="F31" s="423"/>
      <c r="G31" s="408"/>
      <c r="H31" s="407" t="s">
        <v>1794</v>
      </c>
      <c r="I31" s="423"/>
      <c r="J31" s="408"/>
      <c r="K31" s="407" t="s">
        <v>1795</v>
      </c>
      <c r="L31" s="423"/>
      <c r="M31" s="408"/>
      <c r="N31" s="407" t="s">
        <v>1796</v>
      </c>
      <c r="O31" s="423"/>
      <c r="P31" s="408"/>
      <c r="Q31" s="407" t="s">
        <v>1797</v>
      </c>
      <c r="R31" s="423"/>
      <c r="S31" s="437"/>
      <c r="T31" s="439" t="s">
        <v>1792</v>
      </c>
      <c r="U31" s="440"/>
      <c r="V31" s="410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6.95" customHeight="1">
      <c r="A33" s="403" t="s">
        <v>0</v>
      </c>
      <c r="B33" s="58" t="str">
        <f>IF(C33=0,"",VLOOKUP(C33,Starter!$A$1:$D$196,2,FALSE))</f>
        <v>Stölzel, Celia</v>
      </c>
      <c r="C33" s="232">
        <v>38759</v>
      </c>
      <c r="D33" s="238">
        <f t="shared" ref="D33:D41" si="24">+AP33</f>
        <v>6</v>
      </c>
      <c r="E33" s="221">
        <v>173</v>
      </c>
      <c r="F33" s="240">
        <f t="shared" ref="F33:F41" si="25">IF(E33&gt;0,E33+$D33,0)</f>
        <v>179</v>
      </c>
      <c r="G33" s="428">
        <f>IF(SUM(F33:F35)+E48=0,0,IF(ABS(SUM(F33:F35))=E48,Spielorte!$A$30/2,IF(ABS(SUM(F33:F35))&gt;E48,Spielorte!$A$30,0)))</f>
        <v>1</v>
      </c>
      <c r="H33" s="221">
        <v>170</v>
      </c>
      <c r="I33" s="240">
        <f t="shared" ref="I33:I41" si="26">IF(H33&gt;0,H33+$D33,0)</f>
        <v>176</v>
      </c>
      <c r="J33" s="428">
        <f>IF(SUM(I33:I35)+H48=0,0,IF(ABS(SUM(I33:I35))=H48,Spielorte!$A$30/2,IF(ABS(SUM(I33:I35))&gt;H48,Spielorte!$A$30,0)))</f>
        <v>0</v>
      </c>
      <c r="K33" s="221">
        <v>171</v>
      </c>
      <c r="L33" s="240">
        <f t="shared" ref="L33:L41" si="27">IF(K33&gt;0,K33+$D33,0)</f>
        <v>177</v>
      </c>
      <c r="M33" s="428">
        <f>IF(SUM(L33:L35)+K48=0,0,IF(ABS(SUM(L33:L35))=K48,Spielorte!$A$30/2,IF(ABS(SUM(L33:L35))&gt;K48,Spielorte!$A$30,0)))</f>
        <v>0.5</v>
      </c>
      <c r="N33" s="221">
        <v>183</v>
      </c>
      <c r="O33" s="240">
        <f t="shared" ref="O33:O41" si="28">IF(N33&gt;0,N33+$D33,0)</f>
        <v>189</v>
      </c>
      <c r="P33" s="428">
        <f>IF(SUM(O33:O35)+N48=0,0,IF(ABS(SUM(O33:O35))=N48,Spielorte!$A$30/2,IF(ABS(SUM(O33:O35))&gt;N48,Spielorte!$A$30,0)))</f>
        <v>1</v>
      </c>
      <c r="Q33" s="221">
        <v>190</v>
      </c>
      <c r="R33" s="240">
        <f t="shared" ref="R33:R41" si="29">IF(Q33&gt;0,Q33+$D33,0)</f>
        <v>196</v>
      </c>
      <c r="S33" s="428">
        <f>IF(SUM(R33:R35)+Q48=0,0,IF(ABS(SUM(R33:R35))=Q48,Spielorte!$A$30/2,IF(ABS(SUM(R33:R35))&gt;Q48,Spielorte!$A$30,0)))</f>
        <v>1</v>
      </c>
      <c r="T33" s="221">
        <f t="shared" ref="T33:U41" si="30">ABS(SUM(E33:E33))+ABS(SUM(H33:H33))+ABS(SUM(K33:K33))+ABS(SUM(N33:N33))+ABS(SUM(Q33:Q33))</f>
        <v>887</v>
      </c>
      <c r="U33" s="240">
        <f t="shared" si="30"/>
        <v>917</v>
      </c>
      <c r="V33" s="400">
        <f>SUM(G33+J33+M33+P33+S33)</f>
        <v>3.5</v>
      </c>
      <c r="W33" s="79"/>
      <c r="X33" s="79"/>
      <c r="Y33" s="79"/>
      <c r="Z33" s="79"/>
      <c r="AA33" s="79"/>
      <c r="AB33" s="79"/>
      <c r="AL33" s="169">
        <f>IF(AU33=0,0,IFERROR(INDEX(RanglisteST5!K:K,MATCH(AU33,RanglisteST5!A:A,0)),0))</f>
        <v>152.69</v>
      </c>
      <c r="AM33" s="169">
        <f>IF(AU33=0,0,SUMIF(AU33:AU41,AU33,AV33:AV41))</f>
        <v>887</v>
      </c>
      <c r="AN33" s="169">
        <f>IF(AU33=0,0,SUMIF(AU33:AU41,AU33,AW33:AW41))</f>
        <v>5</v>
      </c>
      <c r="AO33" s="169">
        <f t="shared" ref="AO33:AO41" si="31">IFERROR(AM33/AN33,0)</f>
        <v>177.4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6</v>
      </c>
      <c r="AQ33" s="166"/>
      <c r="AR33" s="167"/>
      <c r="AS33" s="167"/>
      <c r="AT33" s="168"/>
      <c r="AU33" s="171">
        <f t="shared" ref="AU33:AU41" si="32">C33</f>
        <v>38759</v>
      </c>
      <c r="AV33" s="167">
        <f t="shared" ref="AV33:AV41" si="33">T33</f>
        <v>887</v>
      </c>
      <c r="AW33" s="169">
        <f t="shared" ref="AW33:AW41" si="34">COUNT(AY33:BC33)</f>
        <v>5</v>
      </c>
      <c r="AX33" s="169">
        <f t="shared" ref="AX33:AX41" si="35">COUNTIF(AY33:BC33,"&gt;0")</f>
        <v>5</v>
      </c>
      <c r="AY33" s="169">
        <f t="shared" ref="AY33:AY41" si="36">IF(E33=0,"",E33)</f>
        <v>173</v>
      </c>
      <c r="AZ33" s="169">
        <f t="shared" ref="AZ33:AZ41" si="37">IF(H33=0,"",H33)</f>
        <v>170</v>
      </c>
      <c r="BA33" s="169">
        <f t="shared" ref="BA33:BA41" si="38">IF(K33=0,"",K33)</f>
        <v>171</v>
      </c>
      <c r="BB33" s="169">
        <f t="shared" ref="BB33:BB41" si="39">IF(N33=0,"",N33)</f>
        <v>183</v>
      </c>
      <c r="BC33" s="169">
        <f t="shared" ref="BC33:BC41" si="40">IF(Q33=0,"",Q33)</f>
        <v>190</v>
      </c>
      <c r="BD33" s="170"/>
      <c r="BE33" s="168"/>
      <c r="BF33" s="169">
        <f t="shared" ref="BF33:BF41" si="41">MAX(AY33:BC33)</f>
        <v>190</v>
      </c>
      <c r="BG33" s="169">
        <f t="shared" ref="BG33:BG41" si="42">IF(BF33&lt;MAX(BF:BF),0,BF33+ROW()/1000000000)</f>
        <v>0</v>
      </c>
      <c r="BH33" s="169" t="str">
        <f>+B29</f>
        <v>Highroller Rosenheim 1</v>
      </c>
      <c r="BI33" s="168">
        <f t="shared" ref="BI33:BI41" si="43">RANK(BG33,BG:BG)</f>
        <v>2</v>
      </c>
      <c r="BJ33" s="169">
        <f t="shared" ref="BJ33:BJ41" si="44">SUMIF(AY33:BC33,"&gt;0")</f>
        <v>887</v>
      </c>
      <c r="BK33" s="169">
        <f>IF(COUNTIF(AY33:BC33,"&gt;0")&lt;Spielorte!$A$23,0,AV33/Spielorte!$A$23)</f>
        <v>177.4</v>
      </c>
      <c r="BL33" s="169">
        <f t="shared" ref="BL33:BL41" si="45">IF(BK33&lt;MAX(BK:BK),0,BK33+ROW()/1000000000)</f>
        <v>0</v>
      </c>
      <c r="BM33" s="168">
        <f t="shared" ref="BM33:BM41" si="46">IF(BL33=0,0,RANK(BL33,BL:BL))</f>
        <v>0</v>
      </c>
    </row>
    <row r="34" spans="1:65" ht="16.95" customHeight="1">
      <c r="A34" s="404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9"/>
      <c r="H34" s="222"/>
      <c r="I34" s="241">
        <f t="shared" si="26"/>
        <v>0</v>
      </c>
      <c r="J34" s="429"/>
      <c r="K34" s="222"/>
      <c r="L34" s="241">
        <f t="shared" si="27"/>
        <v>0</v>
      </c>
      <c r="M34" s="429"/>
      <c r="N34" s="222"/>
      <c r="O34" s="241">
        <f t="shared" si="28"/>
        <v>0</v>
      </c>
      <c r="P34" s="429"/>
      <c r="Q34" s="222"/>
      <c r="R34" s="241">
        <f t="shared" si="29"/>
        <v>0</v>
      </c>
      <c r="S34" s="429"/>
      <c r="T34" s="222">
        <f t="shared" si="30"/>
        <v>0</v>
      </c>
      <c r="U34" s="241">
        <f t="shared" si="30"/>
        <v>0</v>
      </c>
      <c r="V34" s="401"/>
      <c r="W34" s="79"/>
      <c r="X34" s="79"/>
      <c r="Y34" s="79"/>
      <c r="Z34" s="79"/>
      <c r="AA34" s="79"/>
      <c r="AB34" s="79"/>
      <c r="AL34" s="169">
        <f>IF(AU34=0,0,IFERROR(INDEX(RanglisteST5!K:K,MATCH(AU34,RanglisteST5!A:A,0)),0))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0</v>
      </c>
      <c r="BH34" s="169" t="str">
        <f t="shared" ref="BH34:BH41" si="47">+BH33</f>
        <v>Highroller Rosenheim 1</v>
      </c>
      <c r="BI34" s="168">
        <f t="shared" si="43"/>
        <v>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0</v>
      </c>
      <c r="BM34" s="168">
        <f t="shared" si="46"/>
        <v>0</v>
      </c>
    </row>
    <row r="35" spans="1:65" ht="16.95" customHeight="1" thickBot="1">
      <c r="A35" s="405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30"/>
      <c r="H35" s="224"/>
      <c r="I35" s="242">
        <f t="shared" si="26"/>
        <v>0</v>
      </c>
      <c r="J35" s="430"/>
      <c r="K35" s="224"/>
      <c r="L35" s="242">
        <f t="shared" si="27"/>
        <v>0</v>
      </c>
      <c r="M35" s="430"/>
      <c r="N35" s="224"/>
      <c r="O35" s="242">
        <f t="shared" si="28"/>
        <v>0</v>
      </c>
      <c r="P35" s="430"/>
      <c r="Q35" s="224"/>
      <c r="R35" s="242">
        <f t="shared" si="29"/>
        <v>0</v>
      </c>
      <c r="S35" s="430"/>
      <c r="T35" s="224">
        <f t="shared" si="30"/>
        <v>0</v>
      </c>
      <c r="U35" s="242">
        <f t="shared" si="30"/>
        <v>0</v>
      </c>
      <c r="V35" s="402"/>
      <c r="W35" s="79"/>
      <c r="X35" s="79"/>
      <c r="Y35" s="79"/>
      <c r="Z35" s="79"/>
      <c r="AA35" s="79"/>
      <c r="AB35" s="79"/>
      <c r="AL35" s="169">
        <f>IF(AU35=0,0,IFERROR(INDEX(RanglisteST5!K:K,MATCH(AU35,RanglisteST5!A:A,0)),0))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0</v>
      </c>
      <c r="BH35" s="169" t="str">
        <f t="shared" si="47"/>
        <v>Highroller Rosenheim 1</v>
      </c>
      <c r="BI35" s="168">
        <f t="shared" si="43"/>
        <v>2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0</v>
      </c>
      <c r="BM35" s="168">
        <f t="shared" si="46"/>
        <v>0</v>
      </c>
    </row>
    <row r="36" spans="1:65" ht="16.95" customHeight="1">
      <c r="A36" s="403" t="s">
        <v>2</v>
      </c>
      <c r="B36" s="58" t="str">
        <f>IF(C36=0,"",VLOOKUP(C36,Starter!$A$1:$D$196,2,FALSE))</f>
        <v>Achhammer, Klara</v>
      </c>
      <c r="C36" s="235">
        <v>38760</v>
      </c>
      <c r="D36" s="238">
        <f t="shared" si="24"/>
        <v>8</v>
      </c>
      <c r="E36" s="221">
        <v>123</v>
      </c>
      <c r="F36" s="240">
        <f t="shared" si="25"/>
        <v>131</v>
      </c>
      <c r="G36" s="428">
        <f>IF(SUM(F36:F38)+E49=0,0,IF(ABS(SUM(F36:F38))=E49,Spielorte!$A$30/2,IF(ABS(SUM(F36:F38))&gt;E49,Spielorte!$A$30,0)))</f>
        <v>1</v>
      </c>
      <c r="H36" s="221">
        <v>158</v>
      </c>
      <c r="I36" s="240">
        <f t="shared" si="26"/>
        <v>166</v>
      </c>
      <c r="J36" s="428">
        <f>IF(SUM(I36:I38)+H49=0,0,IF(ABS(SUM(I36:I38))=H49,Spielorte!$A$30/2,IF(ABS(SUM(I36:I38))&gt;H49,Spielorte!$A$30,0)))</f>
        <v>0</v>
      </c>
      <c r="K36" s="221">
        <v>155</v>
      </c>
      <c r="L36" s="240">
        <f t="shared" si="27"/>
        <v>163</v>
      </c>
      <c r="M36" s="428">
        <f>IF(SUM(L36:L38)+K49=0,0,IF(ABS(SUM(L36:L38))=K49,Spielorte!$A$30/2,IF(ABS(SUM(L36:L38))&gt;K49,Spielorte!$A$30,0)))</f>
        <v>1</v>
      </c>
      <c r="N36" s="221">
        <v>139</v>
      </c>
      <c r="O36" s="240">
        <f t="shared" si="28"/>
        <v>147</v>
      </c>
      <c r="P36" s="428">
        <f>IF(SUM(O36:O38)+N49=0,0,IF(ABS(SUM(O36:O38))=N49,Spielorte!$A$30/2,IF(ABS(SUM(O36:O38))&gt;N49,Spielorte!$A$30,0)))</f>
        <v>0</v>
      </c>
      <c r="Q36" s="221">
        <v>169</v>
      </c>
      <c r="R36" s="240">
        <f t="shared" si="29"/>
        <v>177</v>
      </c>
      <c r="S36" s="428">
        <f>IF(SUM(R36:R38)+Q49=0,0,IF(ABS(SUM(R36:R38))=Q49,Spielorte!$A$30/2,IF(ABS(SUM(R36:R38))&gt;Q49,Spielorte!$A$30,0)))</f>
        <v>0.5</v>
      </c>
      <c r="T36" s="221">
        <f t="shared" si="30"/>
        <v>744</v>
      </c>
      <c r="U36" s="240">
        <f t="shared" si="30"/>
        <v>784</v>
      </c>
      <c r="V36" s="400">
        <f>SUM(G36+J36+M36+P36+S36)</f>
        <v>2.5</v>
      </c>
      <c r="W36" s="79"/>
      <c r="X36" s="79"/>
      <c r="Y36" s="79"/>
      <c r="Z36" s="79"/>
      <c r="AA36" s="79"/>
      <c r="AB36" s="79"/>
      <c r="AL36" s="169">
        <f>IF(AU36=0,0,IFERROR(INDEX(RanglisteST5!K:K,MATCH(AU36,RanglisteST5!A:A,0)),0))</f>
        <v>150.43</v>
      </c>
      <c r="AM36" s="169">
        <f>IF(AU36=0,0,SUMIF(AU33:AU41,AU36,AV33:AV41))</f>
        <v>744</v>
      </c>
      <c r="AN36" s="169">
        <f>IF(AU36=0,0,SUMIF(AU33:AU41,AU36,AW33:AW41))</f>
        <v>5</v>
      </c>
      <c r="AO36" s="169">
        <f t="shared" si="31"/>
        <v>148.80000000000001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8</v>
      </c>
      <c r="AQ36" s="166"/>
      <c r="AR36" s="167"/>
      <c r="AS36" s="167"/>
      <c r="AT36" s="168"/>
      <c r="AU36" s="171">
        <f t="shared" si="32"/>
        <v>38760</v>
      </c>
      <c r="AV36" s="167">
        <f t="shared" si="33"/>
        <v>744</v>
      </c>
      <c r="AW36" s="169">
        <f t="shared" si="34"/>
        <v>5</v>
      </c>
      <c r="AX36" s="169">
        <f t="shared" si="35"/>
        <v>5</v>
      </c>
      <c r="AY36" s="169">
        <f t="shared" si="36"/>
        <v>123</v>
      </c>
      <c r="AZ36" s="169">
        <f t="shared" si="37"/>
        <v>158</v>
      </c>
      <c r="BA36" s="169">
        <f t="shared" si="38"/>
        <v>155</v>
      </c>
      <c r="BB36" s="169">
        <f t="shared" si="39"/>
        <v>139</v>
      </c>
      <c r="BC36" s="169">
        <f t="shared" si="40"/>
        <v>169</v>
      </c>
      <c r="BD36" s="170"/>
      <c r="BE36" s="168"/>
      <c r="BF36" s="169">
        <f t="shared" si="41"/>
        <v>169</v>
      </c>
      <c r="BG36" s="169">
        <f t="shared" si="42"/>
        <v>0</v>
      </c>
      <c r="BH36" s="169" t="str">
        <f t="shared" si="47"/>
        <v>Highroller Rosenheim 1</v>
      </c>
      <c r="BI36" s="168">
        <f t="shared" si="43"/>
        <v>2</v>
      </c>
      <c r="BJ36" s="169">
        <f t="shared" si="44"/>
        <v>744</v>
      </c>
      <c r="BK36" s="169">
        <f>IF(COUNTIF(AY36:BC36,"&gt;0")&lt;Spielorte!$A$23,0,AV36/Spielorte!$A$23)</f>
        <v>148.80000000000001</v>
      </c>
      <c r="BL36" s="169">
        <f t="shared" si="45"/>
        <v>0</v>
      </c>
      <c r="BM36" s="168">
        <f t="shared" si="46"/>
        <v>0</v>
      </c>
    </row>
    <row r="37" spans="1:65" ht="16.95" customHeight="1">
      <c r="A37" s="404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9"/>
      <c r="H37" s="222"/>
      <c r="I37" s="241">
        <f t="shared" si="26"/>
        <v>0</v>
      </c>
      <c r="J37" s="429"/>
      <c r="K37" s="222"/>
      <c r="L37" s="241">
        <f t="shared" si="27"/>
        <v>0</v>
      </c>
      <c r="M37" s="429"/>
      <c r="N37" s="222"/>
      <c r="O37" s="241">
        <f t="shared" si="28"/>
        <v>0</v>
      </c>
      <c r="P37" s="429"/>
      <c r="Q37" s="222"/>
      <c r="R37" s="241">
        <f t="shared" si="29"/>
        <v>0</v>
      </c>
      <c r="S37" s="429"/>
      <c r="T37" s="222">
        <f t="shared" si="30"/>
        <v>0</v>
      </c>
      <c r="U37" s="241">
        <f t="shared" si="30"/>
        <v>0</v>
      </c>
      <c r="V37" s="401"/>
      <c r="W37" s="79"/>
      <c r="X37" s="79"/>
      <c r="Y37" s="79"/>
      <c r="Z37" s="79"/>
      <c r="AA37" s="79"/>
      <c r="AB37" s="79"/>
      <c r="AL37" s="169">
        <f>IF(AU37=0,0,IFERROR(INDEX(RanglisteST5!K:K,MATCH(AU37,RanglisteST5!A:A,0)),0))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0</v>
      </c>
      <c r="BH37" s="169" t="str">
        <f t="shared" si="47"/>
        <v>Highroller Rosenheim 1</v>
      </c>
      <c r="BI37" s="168">
        <f t="shared" si="43"/>
        <v>2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0</v>
      </c>
      <c r="BM37" s="168">
        <f t="shared" si="46"/>
        <v>0</v>
      </c>
    </row>
    <row r="38" spans="1:65" ht="16.95" customHeight="1" thickBot="1">
      <c r="A38" s="405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30"/>
      <c r="H38" s="224"/>
      <c r="I38" s="242">
        <f t="shared" si="26"/>
        <v>0</v>
      </c>
      <c r="J38" s="430"/>
      <c r="K38" s="224"/>
      <c r="L38" s="242">
        <f t="shared" si="27"/>
        <v>0</v>
      </c>
      <c r="M38" s="430"/>
      <c r="N38" s="224"/>
      <c r="O38" s="242">
        <f t="shared" si="28"/>
        <v>0</v>
      </c>
      <c r="P38" s="430"/>
      <c r="Q38" s="224"/>
      <c r="R38" s="242">
        <f t="shared" si="29"/>
        <v>0</v>
      </c>
      <c r="S38" s="430"/>
      <c r="T38" s="224">
        <f t="shared" si="30"/>
        <v>0</v>
      </c>
      <c r="U38" s="242">
        <f t="shared" si="30"/>
        <v>0</v>
      </c>
      <c r="V38" s="402"/>
      <c r="W38" s="79"/>
      <c r="X38" s="79"/>
      <c r="Y38" s="79"/>
      <c r="Z38" s="79"/>
      <c r="AA38" s="79"/>
      <c r="AB38" s="79"/>
      <c r="AL38" s="169">
        <f>IF(AU38=0,0,IFERROR(INDEX(RanglisteST5!K:K,MATCH(AU38,RanglisteST5!A:A,0)),0))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0</v>
      </c>
      <c r="BH38" s="169" t="str">
        <f t="shared" si="47"/>
        <v>Highroller Rosenheim 1</v>
      </c>
      <c r="BI38" s="168">
        <f t="shared" si="43"/>
        <v>2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0</v>
      </c>
      <c r="BM38" s="168">
        <f t="shared" si="46"/>
        <v>0</v>
      </c>
    </row>
    <row r="39" spans="1:65" ht="16.95" customHeight="1">
      <c r="A39" s="403" t="s">
        <v>3</v>
      </c>
      <c r="B39" s="58" t="str">
        <f>IF(C39=0,"",VLOOKUP(C39,Starter!$A$1:$D$196,2,FALSE))</f>
        <v>Weiss, Luisa Samira</v>
      </c>
      <c r="C39" s="235">
        <v>38773</v>
      </c>
      <c r="D39" s="238">
        <f t="shared" si="24"/>
        <v>7</v>
      </c>
      <c r="E39" s="221">
        <v>143</v>
      </c>
      <c r="F39" s="240">
        <f t="shared" si="25"/>
        <v>150</v>
      </c>
      <c r="G39" s="428">
        <f>IF(SUM(F39:F41)+E50=0,0,IF(ABS(SUM(F39:F41))=E50,Spielorte!$A$30/2,IF(ABS(SUM(F39:F41))&gt;E50,Spielorte!$A$30,0)))</f>
        <v>0</v>
      </c>
      <c r="H39" s="221">
        <v>178</v>
      </c>
      <c r="I39" s="240">
        <f t="shared" si="26"/>
        <v>185</v>
      </c>
      <c r="J39" s="428">
        <f>IF(SUM(I39:I41)+H50=0,0,IF(ABS(SUM(I39:I41))=H50,Spielorte!$A$30/2,IF(ABS(SUM(I39:I41))&gt;H50,Spielorte!$A$30,0)))</f>
        <v>0</v>
      </c>
      <c r="K39" s="221">
        <v>118</v>
      </c>
      <c r="L39" s="240">
        <f t="shared" si="27"/>
        <v>125</v>
      </c>
      <c r="M39" s="428">
        <f>IF(SUM(L39:L41)+K50=0,0,IF(ABS(SUM(L39:L41))=K50,Spielorte!$A$30/2,IF(ABS(SUM(L39:L41))&gt;K50,Spielorte!$A$30,0)))</f>
        <v>0</v>
      </c>
      <c r="N39" s="221">
        <v>123</v>
      </c>
      <c r="O39" s="240">
        <f t="shared" si="28"/>
        <v>130</v>
      </c>
      <c r="P39" s="428">
        <f>IF(SUM(O39:O41)+N50=0,0,IF(ABS(SUM(O39:O41))=N50,Spielorte!$A$30/2,IF(ABS(SUM(O39:O41))&gt;N50,Spielorte!$A$30,0)))</f>
        <v>0</v>
      </c>
      <c r="Q39" s="221">
        <v>145</v>
      </c>
      <c r="R39" s="240">
        <f t="shared" si="29"/>
        <v>152</v>
      </c>
      <c r="S39" s="428">
        <f>IF(SUM(R39:R41)+Q50=0,0,IF(ABS(SUM(R39:R41))=Q50,Spielorte!$A$30/2,IF(ABS(SUM(R39:R41))&gt;Q50,Spielorte!$A$30,0)))</f>
        <v>0</v>
      </c>
      <c r="T39" s="221">
        <f t="shared" si="30"/>
        <v>707</v>
      </c>
      <c r="U39" s="240">
        <f t="shared" si="30"/>
        <v>742</v>
      </c>
      <c r="V39" s="400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IF(AU39=0,0,IFERROR(INDEX(RanglisteST5!K:K,MATCH(AU39,RanglisteST5!A:A,0)),0))</f>
        <v>150.88</v>
      </c>
      <c r="AM39" s="169">
        <f>IF(AU39=0,0,SUMIF(AU33:AU41,AU39,AV33:AV41))</f>
        <v>707</v>
      </c>
      <c r="AN39" s="169">
        <f>IF(AU39=0,0,SUMIF(AU33:AU41,AU39,AW33:AW41))</f>
        <v>5</v>
      </c>
      <c r="AO39" s="169">
        <f t="shared" si="31"/>
        <v>141.4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7</v>
      </c>
      <c r="AQ39" s="166"/>
      <c r="AR39" s="167"/>
      <c r="AS39" s="167"/>
      <c r="AT39" s="168"/>
      <c r="AU39" s="171">
        <f t="shared" si="32"/>
        <v>38773</v>
      </c>
      <c r="AV39" s="167">
        <f t="shared" si="33"/>
        <v>707</v>
      </c>
      <c r="AW39" s="169">
        <f t="shared" si="34"/>
        <v>5</v>
      </c>
      <c r="AX39" s="169">
        <f t="shared" si="35"/>
        <v>5</v>
      </c>
      <c r="AY39" s="169">
        <f t="shared" si="36"/>
        <v>143</v>
      </c>
      <c r="AZ39" s="169">
        <f t="shared" si="37"/>
        <v>178</v>
      </c>
      <c r="BA39" s="169">
        <f t="shared" si="38"/>
        <v>118</v>
      </c>
      <c r="BB39" s="169">
        <f t="shared" si="39"/>
        <v>123</v>
      </c>
      <c r="BC39" s="169">
        <f t="shared" si="40"/>
        <v>145</v>
      </c>
      <c r="BD39" s="170"/>
      <c r="BE39" s="168"/>
      <c r="BF39" s="169">
        <f t="shared" si="41"/>
        <v>178</v>
      </c>
      <c r="BG39" s="169">
        <f t="shared" si="42"/>
        <v>0</v>
      </c>
      <c r="BH39" s="169" t="str">
        <f t="shared" si="47"/>
        <v>Highroller Rosenheim 1</v>
      </c>
      <c r="BI39" s="168">
        <f t="shared" si="43"/>
        <v>2</v>
      </c>
      <c r="BJ39" s="169">
        <f t="shared" si="44"/>
        <v>707</v>
      </c>
      <c r="BK39" s="169">
        <f>IF(COUNTIF(AY39:BC39,"&gt;0")&lt;Spielorte!$A$23,0,AV39/Spielorte!$A$23)</f>
        <v>141.4</v>
      </c>
      <c r="BL39" s="169">
        <f t="shared" si="45"/>
        <v>0</v>
      </c>
      <c r="BM39" s="168">
        <f t="shared" si="46"/>
        <v>0</v>
      </c>
    </row>
    <row r="40" spans="1:65" ht="16.95" customHeight="1">
      <c r="A40" s="404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9"/>
      <c r="H40" s="222"/>
      <c r="I40" s="241">
        <f t="shared" si="26"/>
        <v>0</v>
      </c>
      <c r="J40" s="429"/>
      <c r="K40" s="222"/>
      <c r="L40" s="241">
        <f t="shared" si="27"/>
        <v>0</v>
      </c>
      <c r="M40" s="429"/>
      <c r="N40" s="222"/>
      <c r="O40" s="241">
        <f t="shared" si="28"/>
        <v>0</v>
      </c>
      <c r="P40" s="429"/>
      <c r="Q40" s="222"/>
      <c r="R40" s="241">
        <f t="shared" si="29"/>
        <v>0</v>
      </c>
      <c r="S40" s="429"/>
      <c r="T40" s="222">
        <f t="shared" si="30"/>
        <v>0</v>
      </c>
      <c r="U40" s="241">
        <f t="shared" si="30"/>
        <v>0</v>
      </c>
      <c r="V40" s="401"/>
      <c r="W40" s="79"/>
      <c r="X40" s="79"/>
      <c r="Y40" s="79"/>
      <c r="Z40" s="79"/>
      <c r="AA40" s="79"/>
      <c r="AB40" s="79"/>
      <c r="AL40" s="169">
        <f>IF(AU40=0,0,IFERROR(INDEX(RanglisteST5!K:K,MATCH(AU40,RanglisteST5!A:A,0)),0))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0</v>
      </c>
      <c r="BH40" s="169" t="str">
        <f t="shared" si="47"/>
        <v>Highroller Rosenheim 1</v>
      </c>
      <c r="BI40" s="168">
        <f t="shared" si="43"/>
        <v>2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0</v>
      </c>
      <c r="BM40" s="168">
        <f t="shared" si="46"/>
        <v>0</v>
      </c>
    </row>
    <row r="41" spans="1:65" ht="16.95" customHeight="1" thickBot="1">
      <c r="A41" s="405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30"/>
      <c r="H41" s="224"/>
      <c r="I41" s="242">
        <f t="shared" si="26"/>
        <v>0</v>
      </c>
      <c r="J41" s="430"/>
      <c r="K41" s="224"/>
      <c r="L41" s="242">
        <f t="shared" si="27"/>
        <v>0</v>
      </c>
      <c r="M41" s="430"/>
      <c r="N41" s="224"/>
      <c r="O41" s="242">
        <f t="shared" si="28"/>
        <v>0</v>
      </c>
      <c r="P41" s="430"/>
      <c r="Q41" s="224"/>
      <c r="R41" s="242">
        <f t="shared" si="29"/>
        <v>0</v>
      </c>
      <c r="S41" s="430"/>
      <c r="T41" s="224">
        <f t="shared" si="30"/>
        <v>0</v>
      </c>
      <c r="U41" s="242">
        <f t="shared" si="30"/>
        <v>0</v>
      </c>
      <c r="V41" s="402"/>
      <c r="W41" s="79"/>
      <c r="X41" s="79"/>
      <c r="Y41" s="79"/>
      <c r="Z41" s="79"/>
      <c r="AA41" s="79"/>
      <c r="AB41" s="79"/>
      <c r="AL41" s="169">
        <f>IF(AU41=0,0,IFERROR(INDEX(RanglisteST5!K:K,MATCH(AU41,RanglisteST5!A:A,0)),0))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0</v>
      </c>
      <c r="BH41" s="169" t="str">
        <f t="shared" si="47"/>
        <v>Highroller Rosenheim 1</v>
      </c>
      <c r="BI41" s="168">
        <f t="shared" si="43"/>
        <v>2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0</v>
      </c>
      <c r="BM41" s="168">
        <f t="shared" si="46"/>
        <v>0</v>
      </c>
    </row>
    <row r="42" spans="1:65" ht="27.75" customHeight="1" thickBot="1">
      <c r="B42" s="218" t="s">
        <v>1792</v>
      </c>
      <c r="C42" s="204"/>
      <c r="D42" s="219"/>
      <c r="E42" s="226">
        <f>ABS(SUM(E33:E35))+ABS(SUM(E36:E38))+ABS(SUM(E39:E41))</f>
        <v>439</v>
      </c>
      <c r="F42" s="225">
        <f>ABS(SUM(F33:F35))+ABS(SUM(F36:F38))+ABS(SUM(F39:F41))</f>
        <v>460</v>
      </c>
      <c r="G42" s="81">
        <f>IF(F42+E51=0,0,IF(F42=E51,Spielorte!$A$31/2,IF(F42&gt;E51,Spielorte!$A$31,0)))</f>
        <v>2</v>
      </c>
      <c r="H42" s="226">
        <f>ABS(SUM(H33:H35))+ABS(SUM(H36:H38))+ABS(SUM(H39:H41))</f>
        <v>506</v>
      </c>
      <c r="I42" s="225">
        <f>ABS(SUM(I33:I35))+ABS(SUM(I36:I38))+ABS(SUM(I39:I41))</f>
        <v>527</v>
      </c>
      <c r="J42" s="81">
        <f>IF(I42+H51=0,0,IF(I42=H51,Spielorte!$A$31/2,IF(I42&gt;H51,Spielorte!$A$31,0)))</f>
        <v>0</v>
      </c>
      <c r="K42" s="226">
        <f>ABS(SUM(K33:K35))+ABS(SUM(K36:K38))+ABS(SUM(K39:K41))</f>
        <v>444</v>
      </c>
      <c r="L42" s="225">
        <f>ABS(SUM(L33:L35))+ABS(SUM(L36:L38))+ABS(SUM(L39:L41))</f>
        <v>465</v>
      </c>
      <c r="M42" s="81">
        <f>IF(L42+K51=0,0,IF(L42=K51,Spielorte!$A$31/2,IF(L42&gt;K51,Spielorte!$A$31,0)))</f>
        <v>0</v>
      </c>
      <c r="N42" s="226">
        <f>ABS(SUM(N33:N35))+ABS(SUM(N36:N38))+ABS(SUM(N39:N41))</f>
        <v>445</v>
      </c>
      <c r="O42" s="225">
        <f>ABS(SUM(O33:O35))+ABS(SUM(O36:O38))+ABS(SUM(O39:O41))</f>
        <v>466</v>
      </c>
      <c r="P42" s="81">
        <f>IF(O42+N51=0,0,IF(O42=N51,Spielorte!$A$31/2,IF(O42&gt;N51,Spielorte!$A$31,0)))</f>
        <v>0</v>
      </c>
      <c r="Q42" s="226">
        <f>ABS(SUM(Q33:Q35))+ABS(SUM(Q36:Q38))+ABS(SUM(Q39:Q41))</f>
        <v>504</v>
      </c>
      <c r="R42" s="225">
        <f>ABS(SUM(R33:R35))+ABS(SUM(R36:R38))+ABS(SUM(R39:R41))</f>
        <v>525</v>
      </c>
      <c r="S42" s="81">
        <f>IF(R42+Q51=0,0,IF(R42=Q51,Spielorte!$A$31/2,IF(R42&gt;Q51,Spielorte!$A$31,0)))</f>
        <v>2</v>
      </c>
      <c r="T42" s="228">
        <f>SUM(E42+H42+K42+N42+Q42)</f>
        <v>2338</v>
      </c>
      <c r="U42" s="229">
        <f>SUM(F42+I42+L42+O42+R42)</f>
        <v>2443</v>
      </c>
      <c r="V42" s="12">
        <f>SUM(G42+J42+M42+P42+S42)</f>
        <v>4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>
      <c r="B43" s="230" t="s">
        <v>1803</v>
      </c>
      <c r="C43" s="1"/>
      <c r="D43" s="1"/>
      <c r="E43" s="1"/>
      <c r="F43" s="1"/>
      <c r="G43" s="61">
        <f>SUM(G33:G42)</f>
        <v>4</v>
      </c>
      <c r="H43" s="1"/>
      <c r="I43" s="1"/>
      <c r="J43" s="61">
        <f>SUM(J33:J42)</f>
        <v>0</v>
      </c>
      <c r="K43" s="1"/>
      <c r="L43" s="1"/>
      <c r="M43" s="61">
        <f>SUM(M33:M42)</f>
        <v>1.5</v>
      </c>
      <c r="N43" s="1"/>
      <c r="O43" s="1"/>
      <c r="P43" s="61">
        <f>SUM(P33:P42)</f>
        <v>1</v>
      </c>
      <c r="Q43" s="1"/>
      <c r="R43" s="1"/>
      <c r="S43" s="61">
        <f>SUM(S33:S42)</f>
        <v>3.5</v>
      </c>
      <c r="T43" s="1"/>
      <c r="U43" s="1"/>
      <c r="V43" s="61">
        <f>SUM(V33:V42)</f>
        <v>10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10</v>
      </c>
      <c r="AR43" s="167">
        <f>+T42</f>
        <v>2338</v>
      </c>
      <c r="AS43" s="167">
        <f>+U42</f>
        <v>2443</v>
      </c>
      <c r="AT43" s="168">
        <f>+B28</f>
        <v>2</v>
      </c>
      <c r="AW43" s="169">
        <f>SUM(AW27:AW42)</f>
        <v>15</v>
      </c>
      <c r="BD43" s="166">
        <f>+AS43/1000000+AQ43+AR43/1000000000000</f>
        <v>10.002443002338</v>
      </c>
      <c r="BE43" s="168">
        <f>RANK(BD43,BD:BD)</f>
        <v>6</v>
      </c>
      <c r="BI43" s="168"/>
      <c r="BM43" s="168"/>
    </row>
    <row r="44" spans="1:65" ht="11.25" customHeight="1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>
      <c r="B45" s="231" t="s">
        <v>1790</v>
      </c>
      <c r="C45" s="210"/>
      <c r="D45" s="42"/>
      <c r="E45" s="434">
        <f>VLOOKUP($B28,Schlüssel!$A$5:$EK$12,83)</f>
        <v>4</v>
      </c>
      <c r="F45" s="435"/>
      <c r="G45" s="436"/>
      <c r="H45" s="434">
        <f>VLOOKUP($B28,Schlüssel!$A$5:$EK$12,84)</f>
        <v>7</v>
      </c>
      <c r="I45" s="435"/>
      <c r="J45" s="436"/>
      <c r="K45" s="434">
        <f>VLOOKUP($B28,Schlüssel!$A$5:$EK$12,85)</f>
        <v>5</v>
      </c>
      <c r="L45" s="435"/>
      <c r="M45" s="436"/>
      <c r="N45" s="434">
        <f>VLOOKUP($B28,Schlüssel!$A$5:$EK$12,86)</f>
        <v>3</v>
      </c>
      <c r="O45" s="435"/>
      <c r="P45" s="436"/>
      <c r="Q45" s="434">
        <f>VLOOKUP($B28,Schlüssel!$A$5:$EK$12,87)</f>
        <v>8</v>
      </c>
      <c r="R45" s="435"/>
      <c r="S45" s="436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>
      <c r="B46" s="3" t="s">
        <v>9</v>
      </c>
      <c r="C46" s="1"/>
      <c r="D46" s="1"/>
      <c r="E46" s="395" t="str">
        <f>VLOOKUP(E45,Schlüssel!$A$5:$K$12,2)</f>
        <v>Highroller Rosenheim 3</v>
      </c>
      <c r="F46" s="438"/>
      <c r="G46" s="396"/>
      <c r="H46" s="395" t="str">
        <f>VLOOKUP(H45,Schlüssel!$A$5:$K$12,2)</f>
        <v>BK München 1</v>
      </c>
      <c r="I46" s="438"/>
      <c r="J46" s="396"/>
      <c r="K46" s="395" t="str">
        <f>VLOOKUP(K45,Schlüssel!$A$5:$K$12,2)</f>
        <v>Berchtesgaden 1</v>
      </c>
      <c r="L46" s="438"/>
      <c r="M46" s="396"/>
      <c r="N46" s="395" t="str">
        <f>VLOOKUP(N45,Schlüssel!$A$5:$K$12,2)</f>
        <v>Highroller Rosenheim 2</v>
      </c>
      <c r="O46" s="438"/>
      <c r="P46" s="396"/>
      <c r="Q46" s="395" t="str">
        <f>VLOOKUP(Q45,Schlüssel!$A$5:$K$12,2)</f>
        <v>EMAX 1</v>
      </c>
      <c r="R46" s="438"/>
      <c r="S46" s="396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" customHeight="1">
      <c r="B48" s="417" t="s">
        <v>2275</v>
      </c>
      <c r="C48" s="418"/>
      <c r="D48" s="419"/>
      <c r="E48" s="431">
        <f>ABS(INDEX(F:F,MATCH(E45,$B:$B,0)+5)+INDEX(F:F,MATCH(E45,$B:$B,0)+6)+INDEX(F:F,MATCH(E45,$B:$B,0)+7))</f>
        <v>152</v>
      </c>
      <c r="F48" s="432"/>
      <c r="G48" s="433"/>
      <c r="H48" s="431">
        <f>ABS(INDEX(I:I,MATCH(H45,$B:$B,0)+5)+INDEX(I:I,MATCH(H45,$B:$B,0)+6)+INDEX(I:I,MATCH(H45,$B:$B,0)+7))</f>
        <v>193</v>
      </c>
      <c r="I48" s="432"/>
      <c r="J48" s="433"/>
      <c r="K48" s="431">
        <f>ABS(INDEX(L:L,MATCH(K45,$B:$B,0)+5)+INDEX(L:L,MATCH(K45,$B:$B,0)+6)+INDEX(L:L,MATCH(K45,$B:$B,0)+7))</f>
        <v>177</v>
      </c>
      <c r="L48" s="432"/>
      <c r="M48" s="433"/>
      <c r="N48" s="431">
        <f>ABS(INDEX(O:O,MATCH(N45,$B:$B,0)+5)+INDEX(O:O,MATCH(N45,$B:$B,0)+6)+INDEX(O:O,MATCH(N45,$B:$B,0)+7))</f>
        <v>173</v>
      </c>
      <c r="O48" s="432"/>
      <c r="P48" s="433"/>
      <c r="Q48" s="431">
        <f>ABS(INDEX(R:R,MATCH(Q45,$B:$B,0)+5)+INDEX(R:R,MATCH(Q45,$B:$B,0)+6)+INDEX(R:R,MATCH(Q45,$B:$B,0)+7))</f>
        <v>148</v>
      </c>
      <c r="R48" s="432"/>
      <c r="S48" s="433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" customHeight="1">
      <c r="B49" s="417" t="s">
        <v>2276</v>
      </c>
      <c r="C49" s="418"/>
      <c r="D49" s="419"/>
      <c r="E49" s="424">
        <f>ABS(INDEX(F:F,MATCH(E45,$B:$B,0)+8)+INDEX(F:F,MATCH(E45,$B:$B,0)+9)+INDEX(F:F,MATCH(E45,$B:$B,0)+10))</f>
        <v>130</v>
      </c>
      <c r="F49" s="425"/>
      <c r="G49" s="426"/>
      <c r="H49" s="424">
        <f>ABS(INDEX(I:I,MATCH(H45,$B:$B,0)+8)+INDEX(I:I,MATCH(H45,$B:$B,0)+9)+INDEX(I:I,MATCH(H45,$B:$B,0)+10))</f>
        <v>184</v>
      </c>
      <c r="I49" s="425"/>
      <c r="J49" s="426"/>
      <c r="K49" s="424">
        <f>ABS(INDEX(L:L,MATCH(K45,$B:$B,0)+8)+INDEX(L:L,MATCH(K45,$B:$B,0)+9)+INDEX(L:L,MATCH(K45,$B:$B,0)+10))</f>
        <v>120</v>
      </c>
      <c r="L49" s="425"/>
      <c r="M49" s="426"/>
      <c r="N49" s="424">
        <f>ABS(INDEX(O:O,MATCH(N45,$B:$B,0)+8)+INDEX(O:O,MATCH(N45,$B:$B,0)+9)+INDEX(O:O,MATCH(N45,$B:$B,0)+10))</f>
        <v>149</v>
      </c>
      <c r="O49" s="425"/>
      <c r="P49" s="426"/>
      <c r="Q49" s="424">
        <f>ABS(INDEX(R:R,MATCH(Q45,$B:$B,0)+8)+INDEX(R:R,MATCH(Q45,$B:$B,0)+9)+INDEX(R:R,MATCH(Q45,$B:$B,0)+10))</f>
        <v>177</v>
      </c>
      <c r="R49" s="425"/>
      <c r="S49" s="426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" customHeight="1">
      <c r="B50" s="417" t="s">
        <v>2277</v>
      </c>
      <c r="C50" s="418"/>
      <c r="D50" s="419"/>
      <c r="E50" s="424">
        <f>ABS(INDEX(F:F,MATCH(E45,$B:$B,0)+11)+INDEX(F:F,MATCH(E45,$B:$B,0)+12)+INDEX(F:F,MATCH(E45,$B:$B,0)+13))</f>
        <v>167</v>
      </c>
      <c r="F50" s="425"/>
      <c r="G50" s="426"/>
      <c r="H50" s="424">
        <f>ABS(INDEX(I:I,MATCH(H45,$B:$B,0)+11)+INDEX(I:I,MATCH(H45,$B:$B,0)+12)+INDEX(I:I,MATCH(H45,$B:$B,0)+13))</f>
        <v>241</v>
      </c>
      <c r="I50" s="425"/>
      <c r="J50" s="426"/>
      <c r="K50" s="424">
        <f>ABS(INDEX(L:L,MATCH(K45,$B:$B,0)+11)+INDEX(L:L,MATCH(K45,$B:$B,0)+12)+INDEX(L:L,MATCH(K45,$B:$B,0)+13))</f>
        <v>176</v>
      </c>
      <c r="L50" s="425"/>
      <c r="M50" s="426"/>
      <c r="N50" s="424">
        <f>ABS(INDEX(O:O,MATCH(N45,$B:$B,0)+11)+INDEX(O:O,MATCH(N45,$B:$B,0)+12)+INDEX(O:O,MATCH(N45,$B:$B,0)+13))</f>
        <v>159</v>
      </c>
      <c r="O50" s="425"/>
      <c r="P50" s="426"/>
      <c r="Q50" s="424">
        <f>ABS(INDEX(R:R,MATCH(Q45,$B:$B,0)+11)+INDEX(R:R,MATCH(Q45,$B:$B,0)+12)+INDEX(R:R,MATCH(Q45,$B:$B,0)+13))</f>
        <v>176</v>
      </c>
      <c r="R50" s="425"/>
      <c r="S50" s="426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" customHeight="1">
      <c r="B51" s="420" t="s">
        <v>2278</v>
      </c>
      <c r="C51" s="421"/>
      <c r="D51" s="422"/>
      <c r="E51" s="407">
        <f>SUM(E48:E50)</f>
        <v>449</v>
      </c>
      <c r="F51" s="423"/>
      <c r="G51" s="408"/>
      <c r="H51" s="407">
        <f>SUM(H48:H50)</f>
        <v>618</v>
      </c>
      <c r="I51" s="423"/>
      <c r="J51" s="408"/>
      <c r="K51" s="407">
        <f>SUM(K48:K50)</f>
        <v>473</v>
      </c>
      <c r="L51" s="423"/>
      <c r="M51" s="408"/>
      <c r="N51" s="407">
        <f>SUM(N48:N50)</f>
        <v>481</v>
      </c>
      <c r="O51" s="423"/>
      <c r="P51" s="408"/>
      <c r="Q51" s="407">
        <f>SUM(Q48:Q50)</f>
        <v>501</v>
      </c>
      <c r="R51" s="423"/>
      <c r="S51" s="408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>
      <c r="A53" s="255"/>
      <c r="B53" s="7" t="s">
        <v>1802</v>
      </c>
      <c r="C53" s="24"/>
      <c r="D53" s="24"/>
      <c r="E53" s="35" t="s">
        <v>1786</v>
      </c>
      <c r="F53" s="35"/>
      <c r="G53" s="427" t="str">
        <f>Schlüssel!$C$1</f>
        <v>Landesliga Jugend</v>
      </c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  <c r="S53" s="406">
        <f>Schlüssel!$CO$1</f>
        <v>45794</v>
      </c>
      <c r="T53" s="406"/>
      <c r="U53" s="406"/>
      <c r="V53" s="406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>
      <c r="A54" s="53"/>
      <c r="B54" s="54">
        <v>3</v>
      </c>
      <c r="E54" s="35" t="s">
        <v>1787</v>
      </c>
      <c r="F54" s="35"/>
      <c r="G54" s="413" t="str">
        <f>Schlüssel!$CE$2</f>
        <v>Olching 5005 Bowling</v>
      </c>
      <c r="H54" s="413"/>
      <c r="I54" s="413"/>
      <c r="J54" s="413"/>
      <c r="K54" s="413"/>
      <c r="L54" s="413"/>
      <c r="M54" s="413"/>
      <c r="N54" s="413"/>
      <c r="O54" s="413"/>
      <c r="P54" s="66"/>
      <c r="Q54" s="411" t="s">
        <v>1785</v>
      </c>
      <c r="R54" s="412"/>
      <c r="S54" s="38">
        <v>5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>
      <c r="B55" s="414" t="str">
        <f>VLOOKUP(B54,Schlüssel!$A$5:$B$12,2)</f>
        <v>Highroller Rosenheim 2</v>
      </c>
      <c r="C55" s="415"/>
      <c r="D55" s="415"/>
      <c r="E55" s="415"/>
      <c r="F55" s="415"/>
      <c r="G55" s="416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3.8" hidden="1" thickBot="1">
      <c r="A56" s="6"/>
      <c r="B56" s="7"/>
      <c r="C56" s="43"/>
      <c r="D56" s="43"/>
      <c r="E56" s="162" t="s">
        <v>10</v>
      </c>
      <c r="F56" s="220"/>
      <c r="G56" s="159">
        <f>VLOOKUP(B54,Schlüssel!$A$5:$EK$12,93)</f>
        <v>5</v>
      </c>
      <c r="H56" s="161" t="s">
        <v>10</v>
      </c>
      <c r="I56" s="220"/>
      <c r="J56" s="159">
        <f>VLOOKUP(B54,Schlüssel!$A$5:$EK$12,94)</f>
        <v>6</v>
      </c>
      <c r="K56" s="161" t="s">
        <v>10</v>
      </c>
      <c r="L56" s="220"/>
      <c r="M56" s="159">
        <f>VLOOKUP(B54,Schlüssel!$A$5:$EK$12,95)</f>
        <v>4</v>
      </c>
      <c r="N56" s="161" t="s">
        <v>10</v>
      </c>
      <c r="O56" s="220"/>
      <c r="P56" s="159">
        <f>VLOOKUP(B54,Schlüssel!$A$5:$EK$12,96)</f>
        <v>5</v>
      </c>
      <c r="Q56" s="161" t="s">
        <v>10</v>
      </c>
      <c r="R56" s="220"/>
      <c r="S56" s="160">
        <f>VLOOKUP(B54,Schlüssel!$A$5:$EK$12,97)</f>
        <v>2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>
      <c r="B57" s="44" t="s">
        <v>1</v>
      </c>
      <c r="C57" s="208"/>
      <c r="D57" s="217"/>
      <c r="E57" s="423" t="s">
        <v>1793</v>
      </c>
      <c r="F57" s="423"/>
      <c r="G57" s="408"/>
      <c r="H57" s="407" t="s">
        <v>1794</v>
      </c>
      <c r="I57" s="423"/>
      <c r="J57" s="408"/>
      <c r="K57" s="407" t="s">
        <v>1795</v>
      </c>
      <c r="L57" s="423"/>
      <c r="M57" s="408"/>
      <c r="N57" s="407" t="s">
        <v>1796</v>
      </c>
      <c r="O57" s="423"/>
      <c r="P57" s="408"/>
      <c r="Q57" s="407" t="s">
        <v>1797</v>
      </c>
      <c r="R57" s="423"/>
      <c r="S57" s="437"/>
      <c r="T57" s="439" t="s">
        <v>1792</v>
      </c>
      <c r="U57" s="440"/>
      <c r="V57" s="410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6.95" customHeight="1">
      <c r="A59" s="403" t="s">
        <v>0</v>
      </c>
      <c r="B59" s="58" t="str">
        <f>IF(C59=0,"",VLOOKUP(C59,Starter!$A$1:$D$196,2,FALSE))</f>
        <v>Elze, Julian</v>
      </c>
      <c r="C59" s="232">
        <v>38809</v>
      </c>
      <c r="D59" s="238">
        <f t="shared" ref="D59:D67" si="48">+AP59</f>
        <v>3</v>
      </c>
      <c r="E59" s="221">
        <v>141</v>
      </c>
      <c r="F59" s="240">
        <f t="shared" ref="F59:F67" si="49">IF(E59&gt;0,E59+$D59,0)</f>
        <v>144</v>
      </c>
      <c r="G59" s="428">
        <f>IF(SUM(F59:F61)+E74=0,0,IF(ABS(SUM(F59:F61))=E74,Spielorte!$A$30/2,IF(ABS(SUM(F59:F61))&gt;E74,Spielorte!$A$30,0)))</f>
        <v>1</v>
      </c>
      <c r="H59" s="221">
        <v>167</v>
      </c>
      <c r="I59" s="240">
        <f t="shared" ref="I59:I67" si="50">IF(H59&gt;0,H59+$D59,0)</f>
        <v>170</v>
      </c>
      <c r="J59" s="428">
        <f>IF(SUM(I59:I61)+H74=0,0,IF(ABS(SUM(I59:I61))=H74,Spielorte!$A$30/2,IF(ABS(SUM(I59:I61))&gt;H74,Spielorte!$A$30,0)))</f>
        <v>1</v>
      </c>
      <c r="K59" s="221"/>
      <c r="L59" s="240">
        <f t="shared" ref="L59:L67" si="51">IF(K59&gt;0,K59+$D59,0)</f>
        <v>0</v>
      </c>
      <c r="M59" s="428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8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8">
        <f>IF(SUM(R59:R61)+Q74=0,0,IF(ABS(SUM(R59:R61))=Q74,Spielorte!$A$30/2,IF(ABS(SUM(R59:R61))&gt;Q74,Spielorte!$A$30,0)))</f>
        <v>1</v>
      </c>
      <c r="T59" s="221">
        <f t="shared" ref="T59:U67" si="54">ABS(SUM(E59:E59))+ABS(SUM(H59:H59))+ABS(SUM(K59:K59))+ABS(SUM(N59:N59))+ABS(SUM(Q59:Q59))</f>
        <v>308</v>
      </c>
      <c r="U59" s="240">
        <f t="shared" si="54"/>
        <v>314</v>
      </c>
      <c r="V59" s="400">
        <f>SUM(G59+J59+M59+P59+S59)</f>
        <v>3</v>
      </c>
      <c r="W59" s="79"/>
      <c r="X59" s="79"/>
      <c r="Y59" s="79"/>
      <c r="Z59" s="79"/>
      <c r="AA59" s="79"/>
      <c r="AB59" s="79"/>
      <c r="AL59" s="169">
        <f>IF(AU59=0,0,IFERROR(INDEX(RanglisteST5!K:K,MATCH(AU59,RanglisteST5!A:A,0)),0))</f>
        <v>156.63</v>
      </c>
      <c r="AM59" s="169">
        <f>IF(AU59=0,0,SUMIF(AU59:AU67,AU59,AV59:AV67))</f>
        <v>454</v>
      </c>
      <c r="AN59" s="169">
        <f>IF(AU59=0,0,SUMIF(AU59:AU67,AU59,AW59:AW67))</f>
        <v>3</v>
      </c>
      <c r="AO59" s="169">
        <f t="shared" ref="AO59:AO67" si="55">IFERROR(AM59/AN59,0)</f>
        <v>151.33333333333334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3</v>
      </c>
      <c r="AQ59" s="166"/>
      <c r="AR59" s="167"/>
      <c r="AS59" s="167"/>
      <c r="AT59" s="168"/>
      <c r="AU59" s="171">
        <f t="shared" ref="AU59:AU67" si="56">C59</f>
        <v>38809</v>
      </c>
      <c r="AV59" s="167">
        <f t="shared" ref="AV59:AV67" si="57">T59</f>
        <v>308</v>
      </c>
      <c r="AW59" s="169">
        <f t="shared" ref="AW59:AW67" si="58">COUNT(AY59:BC59)</f>
        <v>2</v>
      </c>
      <c r="AX59" s="169">
        <f t="shared" ref="AX59:AX67" si="59">COUNTIF(AY59:BC59,"&gt;0")</f>
        <v>2</v>
      </c>
      <c r="AY59" s="169">
        <f t="shared" ref="AY59:AY67" si="60">IF(E59=0,"",E59)</f>
        <v>141</v>
      </c>
      <c r="AZ59" s="169">
        <f t="shared" ref="AZ59:AZ67" si="61">IF(H59=0,"",H59)</f>
        <v>167</v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167</v>
      </c>
      <c r="BG59" s="169">
        <f t="shared" ref="BG59:BG67" si="66">IF(BF59&lt;MAX(BF:BF),0,BF59+ROW()/1000000000)</f>
        <v>0</v>
      </c>
      <c r="BH59" s="169" t="str">
        <f>+B55</f>
        <v>Highroller Rosenheim 2</v>
      </c>
      <c r="BI59" s="168">
        <f t="shared" ref="BI59:BI67" si="67">RANK(BG59,BG:BG)</f>
        <v>2</v>
      </c>
      <c r="BJ59" s="169">
        <f t="shared" ref="BJ59:BJ67" si="68">SUMIF(AY59:BC59,"&gt;0")</f>
        <v>308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0</v>
      </c>
      <c r="BM59" s="168">
        <f t="shared" ref="BM59:BM67" si="70">IF(BL59=0,0,RANK(BL59,BL:BL))</f>
        <v>0</v>
      </c>
    </row>
    <row r="60" spans="1:65" ht="16.95" customHeight="1">
      <c r="A60" s="404"/>
      <c r="B60" s="470" t="s">
        <v>2638</v>
      </c>
      <c r="C60" s="233">
        <v>38923</v>
      </c>
      <c r="D60" s="239">
        <f t="shared" si="48"/>
        <v>38</v>
      </c>
      <c r="E60" s="222"/>
      <c r="F60" s="241">
        <f t="shared" si="49"/>
        <v>0</v>
      </c>
      <c r="G60" s="429"/>
      <c r="H60" s="222"/>
      <c r="I60" s="241">
        <f t="shared" si="50"/>
        <v>0</v>
      </c>
      <c r="J60" s="429"/>
      <c r="K60" s="222">
        <v>96</v>
      </c>
      <c r="L60" s="241">
        <f t="shared" si="51"/>
        <v>134</v>
      </c>
      <c r="M60" s="429"/>
      <c r="N60" s="222">
        <v>135</v>
      </c>
      <c r="O60" s="241">
        <f t="shared" si="52"/>
        <v>173</v>
      </c>
      <c r="P60" s="429"/>
      <c r="Q60" s="222"/>
      <c r="R60" s="241">
        <f t="shared" si="53"/>
        <v>0</v>
      </c>
      <c r="S60" s="429"/>
      <c r="T60" s="222">
        <f t="shared" si="54"/>
        <v>231</v>
      </c>
      <c r="U60" s="241">
        <f t="shared" si="54"/>
        <v>307</v>
      </c>
      <c r="V60" s="401"/>
      <c r="W60" s="79"/>
      <c r="X60" s="79"/>
      <c r="Y60" s="79"/>
      <c r="Z60" s="79"/>
      <c r="AA60" s="79"/>
      <c r="AB60" s="79"/>
      <c r="AL60" s="169">
        <f>IF(AU60=0,0,IFERROR(INDEX(RanglisteST5!K:K,MATCH(AU60,RanglisteST5!A:A,0)),0))</f>
        <v>112.84</v>
      </c>
      <c r="AM60" s="169">
        <f>IF(AU60=0,0,SUMIF(AU59:AU67,AU60,AV59:AV67))</f>
        <v>341</v>
      </c>
      <c r="AN60" s="169">
        <f>IF(AU60=0,0,SUMIF(AU59:AU67,AU60,AW59:AW67))</f>
        <v>3</v>
      </c>
      <c r="AO60" s="169">
        <f t="shared" si="55"/>
        <v>113.66666666666667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38</v>
      </c>
      <c r="AQ60" s="166"/>
      <c r="AR60" s="167"/>
      <c r="AS60" s="167"/>
      <c r="AT60" s="168"/>
      <c r="AU60" s="171">
        <f t="shared" si="56"/>
        <v>38923</v>
      </c>
      <c r="AV60" s="167">
        <f t="shared" si="57"/>
        <v>231</v>
      </c>
      <c r="AW60" s="169">
        <f t="shared" si="58"/>
        <v>2</v>
      </c>
      <c r="AX60" s="169">
        <f t="shared" si="59"/>
        <v>2</v>
      </c>
      <c r="AY60" s="169" t="str">
        <f t="shared" si="60"/>
        <v/>
      </c>
      <c r="AZ60" s="169" t="str">
        <f t="shared" si="61"/>
        <v/>
      </c>
      <c r="BA60" s="169">
        <f t="shared" si="62"/>
        <v>96</v>
      </c>
      <c r="BB60" s="169">
        <f t="shared" si="63"/>
        <v>135</v>
      </c>
      <c r="BC60" s="169" t="str">
        <f t="shared" si="64"/>
        <v/>
      </c>
      <c r="BD60" s="170"/>
      <c r="BE60" s="168"/>
      <c r="BF60" s="169">
        <f t="shared" si="65"/>
        <v>135</v>
      </c>
      <c r="BG60" s="169">
        <f t="shared" si="66"/>
        <v>0</v>
      </c>
      <c r="BH60" s="169" t="str">
        <f t="shared" ref="BH60:BH67" si="71">+BH59</f>
        <v>Highroller Rosenheim 2</v>
      </c>
      <c r="BI60" s="168">
        <f t="shared" si="67"/>
        <v>2</v>
      </c>
      <c r="BJ60" s="169">
        <f t="shared" si="68"/>
        <v>231</v>
      </c>
      <c r="BK60" s="169">
        <f>IF(COUNTIF(AY60:BC60,"&gt;0")&lt;Spielorte!$A$23,0,AV60/Spielorte!$A$23)</f>
        <v>0</v>
      </c>
      <c r="BL60" s="169">
        <f t="shared" si="69"/>
        <v>0</v>
      </c>
      <c r="BM60" s="168">
        <f t="shared" si="70"/>
        <v>0</v>
      </c>
    </row>
    <row r="61" spans="1:65" ht="16.95" customHeight="1" thickBot="1">
      <c r="A61" s="405"/>
      <c r="B61" s="59" t="str">
        <f>IF(C61=0,"",VLOOKUP(C61,Starter!$A$1:$D$196,2,FALSE))</f>
        <v>Schwarzfischer, Leon</v>
      </c>
      <c r="C61" s="234">
        <v>38920</v>
      </c>
      <c r="D61" s="223">
        <f t="shared" si="48"/>
        <v>45</v>
      </c>
      <c r="E61" s="224"/>
      <c r="F61" s="242">
        <f t="shared" si="49"/>
        <v>0</v>
      </c>
      <c r="G61" s="430"/>
      <c r="H61" s="224"/>
      <c r="I61" s="242">
        <f t="shared" si="50"/>
        <v>0</v>
      </c>
      <c r="J61" s="430"/>
      <c r="K61" s="224"/>
      <c r="L61" s="242">
        <f t="shared" si="51"/>
        <v>0</v>
      </c>
      <c r="M61" s="430"/>
      <c r="N61" s="224"/>
      <c r="O61" s="242">
        <f t="shared" si="52"/>
        <v>0</v>
      </c>
      <c r="P61" s="430"/>
      <c r="Q61" s="224">
        <v>109</v>
      </c>
      <c r="R61" s="242">
        <f t="shared" si="53"/>
        <v>154</v>
      </c>
      <c r="S61" s="430"/>
      <c r="T61" s="224">
        <f t="shared" si="54"/>
        <v>109</v>
      </c>
      <c r="U61" s="242">
        <f t="shared" si="54"/>
        <v>154</v>
      </c>
      <c r="V61" s="402"/>
      <c r="W61" s="79"/>
      <c r="X61" s="79"/>
      <c r="Y61" s="79"/>
      <c r="Z61" s="79"/>
      <c r="AA61" s="79"/>
      <c r="AB61" s="79"/>
      <c r="AL61" s="169">
        <f>IF(AU61=0,0,IFERROR(INDEX(RanglisteST5!K:K,MATCH(AU61,RanglisteST5!A:A,0)),0))</f>
        <v>104.07</v>
      </c>
      <c r="AM61" s="169">
        <f>IF(AU61=0,0,SUMIF(AU59:AU67,AU61,AV59:AV67))</f>
        <v>339</v>
      </c>
      <c r="AN61" s="169">
        <f>IF(AU61=0,0,SUMIF(AU59:AU67,AU61,AW59:AW67))</f>
        <v>3</v>
      </c>
      <c r="AO61" s="169">
        <f t="shared" si="55"/>
        <v>113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45</v>
      </c>
      <c r="AQ61" s="166"/>
      <c r="AR61" s="167"/>
      <c r="AS61" s="167"/>
      <c r="AT61" s="168"/>
      <c r="AU61" s="171">
        <f t="shared" si="56"/>
        <v>38920</v>
      </c>
      <c r="AV61" s="167">
        <f t="shared" si="57"/>
        <v>109</v>
      </c>
      <c r="AW61" s="169">
        <f t="shared" si="58"/>
        <v>1</v>
      </c>
      <c r="AX61" s="169">
        <f t="shared" si="59"/>
        <v>1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>
        <f t="shared" si="64"/>
        <v>109</v>
      </c>
      <c r="BD61" s="170"/>
      <c r="BE61" s="168"/>
      <c r="BF61" s="169">
        <f t="shared" si="65"/>
        <v>109</v>
      </c>
      <c r="BG61" s="169">
        <f t="shared" si="66"/>
        <v>0</v>
      </c>
      <c r="BH61" s="169" t="str">
        <f t="shared" si="71"/>
        <v>Highroller Rosenheim 2</v>
      </c>
      <c r="BI61" s="168">
        <f t="shared" si="67"/>
        <v>2</v>
      </c>
      <c r="BJ61" s="169">
        <f t="shared" si="68"/>
        <v>109</v>
      </c>
      <c r="BK61" s="169">
        <f>IF(COUNTIF(AY61:BC61,"&gt;0")&lt;Spielorte!$A$23,0,AV61/Spielorte!$A$23)</f>
        <v>0</v>
      </c>
      <c r="BL61" s="169">
        <f t="shared" si="69"/>
        <v>0</v>
      </c>
      <c r="BM61" s="168">
        <f t="shared" si="70"/>
        <v>0</v>
      </c>
    </row>
    <row r="62" spans="1:65" ht="16.95" customHeight="1">
      <c r="A62" s="403" t="s">
        <v>2</v>
      </c>
      <c r="B62" s="58" t="str">
        <f>IF(C62=0,"",VLOOKUP(C62,Starter!$A$1:$D$196,2,FALSE))</f>
        <v>Weinrich, Lena</v>
      </c>
      <c r="C62" s="235">
        <v>38923</v>
      </c>
      <c r="D62" s="238">
        <f t="shared" si="48"/>
        <v>38</v>
      </c>
      <c r="E62" s="221">
        <v>110</v>
      </c>
      <c r="F62" s="240">
        <f t="shared" si="49"/>
        <v>148</v>
      </c>
      <c r="G62" s="428">
        <f>IF(SUM(F62:F64)+E75=0,0,IF(ABS(SUM(F62:F64))=E75,Spielorte!$A$30/2,IF(ABS(SUM(F62:F64))&gt;E75,Spielorte!$A$30,0)))</f>
        <v>1</v>
      </c>
      <c r="H62" s="221"/>
      <c r="I62" s="240">
        <f t="shared" si="50"/>
        <v>0</v>
      </c>
      <c r="J62" s="428">
        <f>IF(SUM(I62:I64)+H75=0,0,IF(ABS(SUM(I62:I64))=H75,Spielorte!$A$30/2,IF(ABS(SUM(I62:I64))&gt;H75,Spielorte!$A$30,0)))</f>
        <v>1</v>
      </c>
      <c r="K62" s="221"/>
      <c r="L62" s="240">
        <f t="shared" si="51"/>
        <v>0</v>
      </c>
      <c r="M62" s="428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8">
        <f>IF(SUM(O62:O64)+N75=0,0,IF(ABS(SUM(O62:O64))=N75,Spielorte!$A$30/2,IF(ABS(SUM(O62:O64))&gt;N75,Spielorte!$A$30,0)))</f>
        <v>1</v>
      </c>
      <c r="Q62" s="221"/>
      <c r="R62" s="240">
        <f t="shared" si="53"/>
        <v>0</v>
      </c>
      <c r="S62" s="428">
        <f>IF(SUM(R62:R64)+Q75=0,0,IF(ABS(SUM(R62:R64))=Q75,Spielorte!$A$30/2,IF(ABS(SUM(R62:R64))&gt;Q75,Spielorte!$A$30,0)))</f>
        <v>0</v>
      </c>
      <c r="T62" s="221">
        <f t="shared" si="54"/>
        <v>110</v>
      </c>
      <c r="U62" s="240">
        <f t="shared" si="54"/>
        <v>148</v>
      </c>
      <c r="V62" s="400">
        <f>SUM(G62+J62+M62+P62+S62)</f>
        <v>3</v>
      </c>
      <c r="W62" s="79"/>
      <c r="X62" s="79"/>
      <c r="Y62" s="79"/>
      <c r="Z62" s="79"/>
      <c r="AA62" s="79"/>
      <c r="AB62" s="79"/>
      <c r="AL62" s="169">
        <f>IF(AU62=0,0,IFERROR(INDEX(RanglisteST5!K:K,MATCH(AU62,RanglisteST5!A:A,0)),0))</f>
        <v>112.84</v>
      </c>
      <c r="AM62" s="169">
        <f>IF(AU62=0,0,SUMIF(AU59:AU67,AU62,AV59:AV67))</f>
        <v>341</v>
      </c>
      <c r="AN62" s="169">
        <f>IF(AU62=0,0,SUMIF(AU59:AU67,AU62,AW59:AW67))</f>
        <v>3</v>
      </c>
      <c r="AO62" s="169">
        <f t="shared" si="55"/>
        <v>113.66666666666667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38</v>
      </c>
      <c r="AQ62" s="166"/>
      <c r="AR62" s="167"/>
      <c r="AS62" s="167"/>
      <c r="AT62" s="168"/>
      <c r="AU62" s="171">
        <f t="shared" si="56"/>
        <v>38923</v>
      </c>
      <c r="AV62" s="167">
        <f t="shared" si="57"/>
        <v>110</v>
      </c>
      <c r="AW62" s="169">
        <f t="shared" si="58"/>
        <v>1</v>
      </c>
      <c r="AX62" s="169">
        <f t="shared" si="59"/>
        <v>1</v>
      </c>
      <c r="AY62" s="169">
        <f t="shared" si="60"/>
        <v>110</v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110</v>
      </c>
      <c r="BG62" s="169">
        <f t="shared" si="66"/>
        <v>0</v>
      </c>
      <c r="BH62" s="169" t="str">
        <f t="shared" si="71"/>
        <v>Highroller Rosenheim 2</v>
      </c>
      <c r="BI62" s="168">
        <f t="shared" si="67"/>
        <v>2</v>
      </c>
      <c r="BJ62" s="169">
        <f t="shared" si="68"/>
        <v>110</v>
      </c>
      <c r="BK62" s="169">
        <f>IF(COUNTIF(AY62:BC62,"&gt;0")&lt;Spielorte!$A$23,0,AV62/Spielorte!$A$23)</f>
        <v>0</v>
      </c>
      <c r="BL62" s="169">
        <f t="shared" si="69"/>
        <v>0</v>
      </c>
      <c r="BM62" s="168">
        <f t="shared" si="70"/>
        <v>0</v>
      </c>
    </row>
    <row r="63" spans="1:65" ht="16.95" customHeight="1">
      <c r="A63" s="404"/>
      <c r="B63" s="58" t="str">
        <f>IF(C63=0,"",VLOOKUP(C63,Starter!$A$1:$D$196,2,FALSE))</f>
        <v>Schimanski, Theodor</v>
      </c>
      <c r="C63" s="233">
        <v>38922</v>
      </c>
      <c r="D63" s="239">
        <f t="shared" si="48"/>
        <v>51</v>
      </c>
      <c r="E63" s="222"/>
      <c r="F63" s="241">
        <f t="shared" si="49"/>
        <v>0</v>
      </c>
      <c r="G63" s="429"/>
      <c r="H63" s="222">
        <v>110</v>
      </c>
      <c r="I63" s="241">
        <f t="shared" si="50"/>
        <v>161</v>
      </c>
      <c r="J63" s="429"/>
      <c r="K63" s="222">
        <v>121</v>
      </c>
      <c r="L63" s="241">
        <f t="shared" si="51"/>
        <v>172</v>
      </c>
      <c r="M63" s="429"/>
      <c r="N63" s="222"/>
      <c r="O63" s="241">
        <f t="shared" si="52"/>
        <v>0</v>
      </c>
      <c r="P63" s="429"/>
      <c r="Q63" s="222">
        <v>108</v>
      </c>
      <c r="R63" s="241">
        <f t="shared" si="53"/>
        <v>159</v>
      </c>
      <c r="S63" s="429"/>
      <c r="T63" s="222">
        <f t="shared" si="54"/>
        <v>339</v>
      </c>
      <c r="U63" s="241">
        <f t="shared" si="54"/>
        <v>492</v>
      </c>
      <c r="V63" s="401"/>
      <c r="W63" s="79"/>
      <c r="X63" s="79"/>
      <c r="Y63" s="79"/>
      <c r="Z63" s="79"/>
      <c r="AA63" s="79"/>
      <c r="AB63" s="79"/>
      <c r="AL63" s="169">
        <f>IF(AU63=0,0,IFERROR(INDEX(RanglisteST5!K:K,MATCH(AU63,RanglisteST5!A:A,0)),0))</f>
        <v>95.63</v>
      </c>
      <c r="AM63" s="169">
        <f>IF(AU63=0,0,SUMIF(AU59:AU67,AU63,AV59:AV67))</f>
        <v>339</v>
      </c>
      <c r="AN63" s="169">
        <f>IF(AU63=0,0,SUMIF(AU59:AU67,AU63,AW59:AW67))</f>
        <v>3</v>
      </c>
      <c r="AO63" s="169">
        <f t="shared" si="55"/>
        <v>113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51</v>
      </c>
      <c r="AQ63" s="166"/>
      <c r="AR63" s="167"/>
      <c r="AS63" s="167"/>
      <c r="AT63" s="168"/>
      <c r="AU63" s="171">
        <f t="shared" si="56"/>
        <v>38922</v>
      </c>
      <c r="AV63" s="167">
        <f t="shared" si="57"/>
        <v>339</v>
      </c>
      <c r="AW63" s="169">
        <f t="shared" si="58"/>
        <v>3</v>
      </c>
      <c r="AX63" s="169">
        <f t="shared" si="59"/>
        <v>3</v>
      </c>
      <c r="AY63" s="169" t="str">
        <f t="shared" si="60"/>
        <v/>
      </c>
      <c r="AZ63" s="169">
        <f t="shared" si="61"/>
        <v>110</v>
      </c>
      <c r="BA63" s="169">
        <f t="shared" si="62"/>
        <v>121</v>
      </c>
      <c r="BB63" s="169" t="str">
        <f t="shared" si="63"/>
        <v/>
      </c>
      <c r="BC63" s="169">
        <f t="shared" si="64"/>
        <v>108</v>
      </c>
      <c r="BD63" s="170"/>
      <c r="BE63" s="168"/>
      <c r="BF63" s="169">
        <f t="shared" si="65"/>
        <v>121</v>
      </c>
      <c r="BG63" s="169">
        <f t="shared" si="66"/>
        <v>0</v>
      </c>
      <c r="BH63" s="169" t="str">
        <f t="shared" si="71"/>
        <v>Highroller Rosenheim 2</v>
      </c>
      <c r="BI63" s="168">
        <f t="shared" si="67"/>
        <v>2</v>
      </c>
      <c r="BJ63" s="169">
        <f t="shared" si="68"/>
        <v>339</v>
      </c>
      <c r="BK63" s="169">
        <f>IF(COUNTIF(AY63:BC63,"&gt;0")&lt;Spielorte!$A$23,0,AV63/Spielorte!$A$23)</f>
        <v>0</v>
      </c>
      <c r="BL63" s="169">
        <f t="shared" si="69"/>
        <v>0</v>
      </c>
      <c r="BM63" s="168">
        <f t="shared" si="70"/>
        <v>0</v>
      </c>
    </row>
    <row r="64" spans="1:65" ht="16.95" customHeight="1" thickBot="1">
      <c r="A64" s="405"/>
      <c r="B64" s="60" t="str">
        <f>IF(C64=0,"",VLOOKUP(C64,Starter!$A$1:$D$196,2,FALSE))</f>
        <v>Elze, Julian</v>
      </c>
      <c r="C64" s="236">
        <v>38809</v>
      </c>
      <c r="D64" s="223">
        <f t="shared" si="48"/>
        <v>3</v>
      </c>
      <c r="E64" s="224"/>
      <c r="F64" s="242">
        <f t="shared" si="49"/>
        <v>0</v>
      </c>
      <c r="G64" s="430"/>
      <c r="H64" s="224"/>
      <c r="I64" s="242">
        <f t="shared" si="50"/>
        <v>0</v>
      </c>
      <c r="J64" s="430"/>
      <c r="K64" s="224"/>
      <c r="L64" s="242">
        <f t="shared" si="51"/>
        <v>0</v>
      </c>
      <c r="M64" s="430"/>
      <c r="N64" s="224">
        <v>146</v>
      </c>
      <c r="O64" s="242">
        <f t="shared" si="52"/>
        <v>149</v>
      </c>
      <c r="P64" s="430"/>
      <c r="Q64" s="224"/>
      <c r="R64" s="242">
        <f t="shared" si="53"/>
        <v>0</v>
      </c>
      <c r="S64" s="430"/>
      <c r="T64" s="224">
        <f t="shared" si="54"/>
        <v>146</v>
      </c>
      <c r="U64" s="242">
        <f t="shared" si="54"/>
        <v>149</v>
      </c>
      <c r="V64" s="402"/>
      <c r="W64" s="79"/>
      <c r="X64" s="79"/>
      <c r="Y64" s="79"/>
      <c r="Z64" s="79"/>
      <c r="AA64" s="79"/>
      <c r="AB64" s="79"/>
      <c r="AL64" s="169">
        <f>IF(AU64=0,0,IFERROR(INDEX(RanglisteST5!K:K,MATCH(AU64,RanglisteST5!A:A,0)),0))</f>
        <v>156.63</v>
      </c>
      <c r="AM64" s="169">
        <f>IF(AU64=0,0,SUMIF(AU59:AU67,AU64,AV59:AV67))</f>
        <v>454</v>
      </c>
      <c r="AN64" s="169">
        <f>IF(AU64=0,0,SUMIF(AU59:AU67,AU64,AW59:AW67))</f>
        <v>3</v>
      </c>
      <c r="AO64" s="169">
        <f t="shared" si="55"/>
        <v>151.33333333333334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3</v>
      </c>
      <c r="AQ64" s="166"/>
      <c r="AR64" s="167"/>
      <c r="AS64" s="167"/>
      <c r="AT64" s="168"/>
      <c r="AU64" s="171">
        <f t="shared" si="56"/>
        <v>38809</v>
      </c>
      <c r="AV64" s="167">
        <f t="shared" si="57"/>
        <v>146</v>
      </c>
      <c r="AW64" s="169">
        <f t="shared" si="58"/>
        <v>1</v>
      </c>
      <c r="AX64" s="169">
        <f t="shared" si="59"/>
        <v>1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>
        <f t="shared" si="63"/>
        <v>146</v>
      </c>
      <c r="BC64" s="169" t="str">
        <f t="shared" si="64"/>
        <v/>
      </c>
      <c r="BD64" s="170"/>
      <c r="BE64" s="168"/>
      <c r="BF64" s="169">
        <f t="shared" si="65"/>
        <v>146</v>
      </c>
      <c r="BG64" s="169">
        <f t="shared" si="66"/>
        <v>0</v>
      </c>
      <c r="BH64" s="169" t="str">
        <f t="shared" si="71"/>
        <v>Highroller Rosenheim 2</v>
      </c>
      <c r="BI64" s="168">
        <f t="shared" si="67"/>
        <v>2</v>
      </c>
      <c r="BJ64" s="169">
        <f t="shared" si="68"/>
        <v>146</v>
      </c>
      <c r="BK64" s="169">
        <f>IF(COUNTIF(AY64:BC64,"&gt;0")&lt;Spielorte!$A$23,0,AV64/Spielorte!$A$23)</f>
        <v>0</v>
      </c>
      <c r="BL64" s="169">
        <f t="shared" si="69"/>
        <v>0</v>
      </c>
      <c r="BM64" s="168">
        <f t="shared" si="70"/>
        <v>0</v>
      </c>
    </row>
    <row r="65" spans="1:65" ht="16.95" customHeight="1">
      <c r="A65" s="403" t="s">
        <v>3</v>
      </c>
      <c r="B65" s="58" t="str">
        <f>IF(C65=0,"",VLOOKUP(C65,Starter!$A$1:$D$196,2,FALSE))</f>
        <v>Schwarzfischer, Leon</v>
      </c>
      <c r="C65" s="235">
        <v>38920</v>
      </c>
      <c r="D65" s="238">
        <f t="shared" si="48"/>
        <v>45</v>
      </c>
      <c r="E65" s="221">
        <v>105</v>
      </c>
      <c r="F65" s="240">
        <f t="shared" si="49"/>
        <v>150</v>
      </c>
      <c r="G65" s="428">
        <f>IF(SUM(F65:F67)+E76=0,0,IF(ABS(SUM(F65:F67))=E76,Spielorte!$A$30/2,IF(ABS(SUM(F65:F67))&gt;E76,Spielorte!$A$30,0)))</f>
        <v>1</v>
      </c>
      <c r="H65" s="221"/>
      <c r="I65" s="240">
        <f t="shared" si="50"/>
        <v>0</v>
      </c>
      <c r="J65" s="428">
        <f>IF(SUM(I65:I67)+H76=0,0,IF(ABS(SUM(I65:I67))=H76,Spielorte!$A$30/2,IF(ABS(SUM(I65:I67))&gt;H76,Spielorte!$A$30,0)))</f>
        <v>1</v>
      </c>
      <c r="K65" s="221">
        <v>125</v>
      </c>
      <c r="L65" s="240">
        <f t="shared" si="51"/>
        <v>170</v>
      </c>
      <c r="M65" s="428">
        <f>IF(SUM(L65:L67)+K76=0,0,IF(ABS(SUM(L65:L67))=K76,Spielorte!$A$30/2,IF(ABS(SUM(L65:L67))&gt;K76,Spielorte!$A$30,0)))</f>
        <v>1</v>
      </c>
      <c r="N65" s="221"/>
      <c r="O65" s="240">
        <f t="shared" si="52"/>
        <v>0</v>
      </c>
      <c r="P65" s="428">
        <f>IF(SUM(O65:O67)+N76=0,0,IF(ABS(SUM(O65:O67))=N76,Spielorte!$A$30/2,IF(ABS(SUM(O65:O67))&gt;N76,Spielorte!$A$30,0)))</f>
        <v>1</v>
      </c>
      <c r="Q65" s="221"/>
      <c r="R65" s="240">
        <f t="shared" si="53"/>
        <v>0</v>
      </c>
      <c r="S65" s="428">
        <f>IF(SUM(R65:R67)+Q76=0,0,IF(ABS(SUM(R65:R67))=Q76,Spielorte!$A$30/2,IF(ABS(SUM(R65:R67))&gt;Q76,Spielorte!$A$30,0)))</f>
        <v>0</v>
      </c>
      <c r="T65" s="221">
        <f t="shared" si="54"/>
        <v>230</v>
      </c>
      <c r="U65" s="240">
        <f t="shared" si="54"/>
        <v>320</v>
      </c>
      <c r="V65" s="400">
        <f>SUM(G65+J65+M65+P65+S65)</f>
        <v>4</v>
      </c>
      <c r="W65" s="79"/>
      <c r="X65" s="79"/>
      <c r="Y65" s="79"/>
      <c r="Z65" s="79"/>
      <c r="AA65" s="79"/>
      <c r="AB65" s="79"/>
      <c r="AL65" s="169">
        <f>IF(AU65=0,0,IFERROR(INDEX(RanglisteST5!K:K,MATCH(AU65,RanglisteST5!A:A,0)),0))</f>
        <v>104.07</v>
      </c>
      <c r="AM65" s="169">
        <f>IF(AU65=0,0,SUMIF(AU59:AU67,AU65,AV59:AV67))</f>
        <v>339</v>
      </c>
      <c r="AN65" s="169">
        <f>IF(AU65=0,0,SUMIF(AU59:AU67,AU65,AW59:AW67))</f>
        <v>3</v>
      </c>
      <c r="AO65" s="169">
        <f t="shared" si="55"/>
        <v>113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45</v>
      </c>
      <c r="AQ65" s="166"/>
      <c r="AR65" s="167"/>
      <c r="AS65" s="167"/>
      <c r="AT65" s="168"/>
      <c r="AU65" s="171">
        <f t="shared" si="56"/>
        <v>38920</v>
      </c>
      <c r="AV65" s="167">
        <f t="shared" si="57"/>
        <v>230</v>
      </c>
      <c r="AW65" s="169">
        <f t="shared" si="58"/>
        <v>2</v>
      </c>
      <c r="AX65" s="169">
        <f t="shared" si="59"/>
        <v>2</v>
      </c>
      <c r="AY65" s="169">
        <f t="shared" si="60"/>
        <v>105</v>
      </c>
      <c r="AZ65" s="169" t="str">
        <f t="shared" si="61"/>
        <v/>
      </c>
      <c r="BA65" s="169">
        <f t="shared" si="62"/>
        <v>125</v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125</v>
      </c>
      <c r="BG65" s="169">
        <f t="shared" si="66"/>
        <v>0</v>
      </c>
      <c r="BH65" s="169" t="str">
        <f t="shared" si="71"/>
        <v>Highroller Rosenheim 2</v>
      </c>
      <c r="BI65" s="168">
        <f t="shared" si="67"/>
        <v>2</v>
      </c>
      <c r="BJ65" s="169">
        <f t="shared" si="68"/>
        <v>230</v>
      </c>
      <c r="BK65" s="169">
        <f>IF(COUNTIF(AY65:BC65,"&gt;0")&lt;Spielorte!$A$23,0,AV65/Spielorte!$A$23)</f>
        <v>0</v>
      </c>
      <c r="BL65" s="169">
        <f t="shared" si="69"/>
        <v>0</v>
      </c>
      <c r="BM65" s="168">
        <f t="shared" si="70"/>
        <v>0</v>
      </c>
    </row>
    <row r="66" spans="1:65" ht="16.95" customHeight="1">
      <c r="A66" s="404"/>
      <c r="B66" s="58" t="str">
        <f>IF(C66=0,"",VLOOKUP(C66,Starter!$A$1:$D$196,2,FALSE))</f>
        <v>Schimanski, Johanna</v>
      </c>
      <c r="C66" s="233">
        <v>38921</v>
      </c>
      <c r="D66" s="239">
        <f t="shared" si="48"/>
        <v>69</v>
      </c>
      <c r="E66" s="222"/>
      <c r="F66" s="241">
        <f t="shared" si="49"/>
        <v>0</v>
      </c>
      <c r="G66" s="429"/>
      <c r="H66" s="222">
        <v>100</v>
      </c>
      <c r="I66" s="241">
        <f t="shared" si="50"/>
        <v>169</v>
      </c>
      <c r="J66" s="429"/>
      <c r="K66" s="222"/>
      <c r="L66" s="241">
        <f t="shared" si="51"/>
        <v>0</v>
      </c>
      <c r="M66" s="429"/>
      <c r="N66" s="222">
        <v>90</v>
      </c>
      <c r="O66" s="241">
        <f t="shared" si="52"/>
        <v>159</v>
      </c>
      <c r="P66" s="429"/>
      <c r="Q66" s="222">
        <v>69</v>
      </c>
      <c r="R66" s="241">
        <f t="shared" si="53"/>
        <v>138</v>
      </c>
      <c r="S66" s="429"/>
      <c r="T66" s="222">
        <f t="shared" si="54"/>
        <v>259</v>
      </c>
      <c r="U66" s="241">
        <f t="shared" si="54"/>
        <v>466</v>
      </c>
      <c r="V66" s="401"/>
      <c r="W66" s="79"/>
      <c r="X66" s="79"/>
      <c r="Y66" s="79"/>
      <c r="Z66" s="79"/>
      <c r="AA66" s="79"/>
      <c r="AB66" s="79"/>
      <c r="AL66" s="169">
        <f>IF(AU66=0,0,IFERROR(INDEX(RanglisteST5!K:K,MATCH(AU66,RanglisteST5!A:A,0)),0))</f>
        <v>73.930000000000007</v>
      </c>
      <c r="AM66" s="169">
        <f>IF(AU66=0,0,SUMIF(AU59:AU67,AU66,AV59:AV67))</f>
        <v>259</v>
      </c>
      <c r="AN66" s="169">
        <f>IF(AU66=0,0,SUMIF(AU59:AU67,AU66,AW59:AW67))</f>
        <v>3</v>
      </c>
      <c r="AO66" s="169">
        <f t="shared" si="55"/>
        <v>86.333333333333329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69</v>
      </c>
      <c r="AQ66" s="166"/>
      <c r="AR66" s="167"/>
      <c r="AS66" s="167"/>
      <c r="AT66" s="168"/>
      <c r="AU66" s="171">
        <f t="shared" si="56"/>
        <v>38921</v>
      </c>
      <c r="AV66" s="167">
        <f t="shared" si="57"/>
        <v>259</v>
      </c>
      <c r="AW66" s="169">
        <f t="shared" si="58"/>
        <v>3</v>
      </c>
      <c r="AX66" s="169">
        <f t="shared" si="59"/>
        <v>3</v>
      </c>
      <c r="AY66" s="169" t="str">
        <f t="shared" si="60"/>
        <v/>
      </c>
      <c r="AZ66" s="169">
        <f t="shared" si="61"/>
        <v>100</v>
      </c>
      <c r="BA66" s="169" t="str">
        <f t="shared" si="62"/>
        <v/>
      </c>
      <c r="BB66" s="169">
        <f t="shared" si="63"/>
        <v>90</v>
      </c>
      <c r="BC66" s="169">
        <f t="shared" si="64"/>
        <v>69</v>
      </c>
      <c r="BD66" s="170"/>
      <c r="BE66" s="168"/>
      <c r="BF66" s="169">
        <f t="shared" si="65"/>
        <v>100</v>
      </c>
      <c r="BG66" s="169">
        <f t="shared" si="66"/>
        <v>0</v>
      </c>
      <c r="BH66" s="169" t="str">
        <f t="shared" si="71"/>
        <v>Highroller Rosenheim 2</v>
      </c>
      <c r="BI66" s="168">
        <f t="shared" si="67"/>
        <v>2</v>
      </c>
      <c r="BJ66" s="169">
        <f t="shared" si="68"/>
        <v>259</v>
      </c>
      <c r="BK66" s="169">
        <f>IF(COUNTIF(AY66:BC66,"&gt;0")&lt;Spielorte!$A$23,0,AV66/Spielorte!$A$23)</f>
        <v>0</v>
      </c>
      <c r="BL66" s="169">
        <f t="shared" si="69"/>
        <v>0</v>
      </c>
      <c r="BM66" s="168">
        <f t="shared" si="70"/>
        <v>0</v>
      </c>
    </row>
    <row r="67" spans="1:65" ht="16.95" customHeight="1" thickBot="1">
      <c r="A67" s="405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30"/>
      <c r="H67" s="224"/>
      <c r="I67" s="242">
        <f t="shared" si="50"/>
        <v>0</v>
      </c>
      <c r="J67" s="430"/>
      <c r="K67" s="224"/>
      <c r="L67" s="242">
        <f t="shared" si="51"/>
        <v>0</v>
      </c>
      <c r="M67" s="430"/>
      <c r="N67" s="224"/>
      <c r="O67" s="242">
        <f t="shared" si="52"/>
        <v>0</v>
      </c>
      <c r="P67" s="430"/>
      <c r="Q67" s="224"/>
      <c r="R67" s="242">
        <f t="shared" si="53"/>
        <v>0</v>
      </c>
      <c r="S67" s="430"/>
      <c r="T67" s="224">
        <f t="shared" si="54"/>
        <v>0</v>
      </c>
      <c r="U67" s="242">
        <f t="shared" si="54"/>
        <v>0</v>
      </c>
      <c r="V67" s="402"/>
      <c r="W67" s="79"/>
      <c r="X67" s="79"/>
      <c r="Y67" s="79"/>
      <c r="Z67" s="79"/>
      <c r="AA67" s="79"/>
      <c r="AB67" s="79"/>
      <c r="AL67" s="169">
        <f>IF(AU67=0,0,IFERROR(INDEX(RanglisteST5!K:K,MATCH(AU67,RanglisteST5!A:A,0)),0))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0</v>
      </c>
      <c r="BH67" s="169" t="str">
        <f t="shared" si="71"/>
        <v>Highroller Rosenheim 2</v>
      </c>
      <c r="BI67" s="168">
        <f t="shared" si="67"/>
        <v>2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0</v>
      </c>
      <c r="BM67" s="168">
        <f t="shared" si="70"/>
        <v>0</v>
      </c>
    </row>
    <row r="68" spans="1:65" ht="27.75" customHeight="1" thickBot="1">
      <c r="B68" s="218" t="s">
        <v>1792</v>
      </c>
      <c r="C68" s="204"/>
      <c r="D68" s="219"/>
      <c r="E68" s="226">
        <f>ABS(SUM(E59:E61))+ABS(SUM(E62:E64))+ABS(SUM(E65:E67))</f>
        <v>356</v>
      </c>
      <c r="F68" s="225">
        <f>ABS(SUM(F59:F61))+ABS(SUM(F62:F64))+ABS(SUM(F65:F67))</f>
        <v>442</v>
      </c>
      <c r="G68" s="81">
        <f>IF(F68+E77=0,0,IF(F68=E77,Spielorte!$A$31/2,IF(F68&gt;E77,Spielorte!$A$31,0)))</f>
        <v>2</v>
      </c>
      <c r="H68" s="226">
        <f>ABS(SUM(H59:H61))+ABS(SUM(H62:H64))+ABS(SUM(H65:H67))</f>
        <v>377</v>
      </c>
      <c r="I68" s="225">
        <f>ABS(SUM(I59:I61))+ABS(SUM(I62:I64))+ABS(SUM(I65:I67))</f>
        <v>500</v>
      </c>
      <c r="J68" s="81">
        <f>IF(I68+H77=0,0,IF(I68=H77,Spielorte!$A$31/2,IF(I68&gt;H77,Spielorte!$A$31,0)))</f>
        <v>2</v>
      </c>
      <c r="K68" s="226">
        <f>ABS(SUM(K59:K61))+ABS(SUM(K62:K64))+ABS(SUM(K65:K67))</f>
        <v>342</v>
      </c>
      <c r="L68" s="225">
        <f>ABS(SUM(L59:L61))+ABS(SUM(L62:L64))+ABS(SUM(L65:L67))</f>
        <v>476</v>
      </c>
      <c r="M68" s="81">
        <f>IF(L68+K77=0,0,IF(L68=K77,Spielorte!$A$31/2,IF(L68&gt;K77,Spielorte!$A$31,0)))</f>
        <v>0</v>
      </c>
      <c r="N68" s="226">
        <f>ABS(SUM(N59:N61))+ABS(SUM(N62:N64))+ABS(SUM(N65:N67))</f>
        <v>371</v>
      </c>
      <c r="O68" s="225">
        <f>ABS(SUM(O59:O61))+ABS(SUM(O62:O64))+ABS(SUM(O65:O67))</f>
        <v>481</v>
      </c>
      <c r="P68" s="81">
        <f>IF(O68+N77=0,0,IF(O68=N77,Spielorte!$A$31/2,IF(O68&gt;N77,Spielorte!$A$31,0)))</f>
        <v>2</v>
      </c>
      <c r="Q68" s="226">
        <f>ABS(SUM(Q59:Q61))+ABS(SUM(Q62:Q64))+ABS(SUM(Q65:Q67))</f>
        <v>286</v>
      </c>
      <c r="R68" s="225">
        <f>ABS(SUM(R59:R61))+ABS(SUM(R62:R64))+ABS(SUM(R65:R67))</f>
        <v>451</v>
      </c>
      <c r="S68" s="81">
        <f>IF(R68+Q77=0,0,IF(R68=Q77,Spielorte!$A$31/2,IF(R68&gt;Q77,Spielorte!$A$31,0)))</f>
        <v>1</v>
      </c>
      <c r="T68" s="228">
        <f>SUM(E68+H68+K68+N68+Q68)</f>
        <v>1732</v>
      </c>
      <c r="U68" s="229">
        <f>SUM(F68+I68+L68+O68+R68)</f>
        <v>2350</v>
      </c>
      <c r="V68" s="12">
        <f>SUM(G68+J68+M68+P68+S68)</f>
        <v>7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>
      <c r="B69" s="230" t="s">
        <v>1803</v>
      </c>
      <c r="C69" s="1"/>
      <c r="D69" s="1"/>
      <c r="E69" s="1"/>
      <c r="F69" s="1"/>
      <c r="G69" s="61">
        <f>SUM(G59:G68)</f>
        <v>5</v>
      </c>
      <c r="H69" s="1"/>
      <c r="I69" s="1"/>
      <c r="J69" s="61">
        <f>SUM(J59:J68)</f>
        <v>5</v>
      </c>
      <c r="K69" s="1"/>
      <c r="L69" s="1"/>
      <c r="M69" s="61">
        <f>SUM(M59:M68)</f>
        <v>1</v>
      </c>
      <c r="N69" s="1"/>
      <c r="O69" s="1"/>
      <c r="P69" s="61">
        <f>SUM(P59:P68)</f>
        <v>4</v>
      </c>
      <c r="Q69" s="1"/>
      <c r="R69" s="1"/>
      <c r="S69" s="61">
        <f>SUM(S59:S68)</f>
        <v>2</v>
      </c>
      <c r="T69" s="1"/>
      <c r="U69" s="1"/>
      <c r="V69" s="61">
        <f>SUM(V59:V68)</f>
        <v>17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17</v>
      </c>
      <c r="AR69" s="167">
        <f>+T68</f>
        <v>1732</v>
      </c>
      <c r="AS69" s="167">
        <f>+U68</f>
        <v>2350</v>
      </c>
      <c r="AT69" s="168">
        <f>+B54</f>
        <v>3</v>
      </c>
      <c r="AW69" s="169">
        <f>SUM(AW53:AW68)</f>
        <v>15</v>
      </c>
      <c r="BD69" s="166">
        <f>+AS69/1000000+AQ69+AR69/1000000000000</f>
        <v>17.002350001732001</v>
      </c>
      <c r="BE69" s="168">
        <f>RANK(BD69,BD:BD)</f>
        <v>2</v>
      </c>
      <c r="BI69" s="168"/>
      <c r="BM69" s="168"/>
    </row>
    <row r="70" spans="1:65" ht="11.25" customHeight="1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>
      <c r="B71" s="231" t="s">
        <v>1790</v>
      </c>
      <c r="C71" s="210"/>
      <c r="D71" s="42"/>
      <c r="E71" s="434">
        <f>VLOOKUP($B54,Schlüssel!$A$5:$EK$12,83)</f>
        <v>1</v>
      </c>
      <c r="F71" s="435"/>
      <c r="G71" s="436"/>
      <c r="H71" s="434">
        <f>VLOOKUP($B54,Schlüssel!$A$5:$EK$12,84)</f>
        <v>6</v>
      </c>
      <c r="I71" s="435"/>
      <c r="J71" s="436"/>
      <c r="K71" s="434">
        <f>VLOOKUP($B54,Schlüssel!$A$5:$EK$12,85)</f>
        <v>8</v>
      </c>
      <c r="L71" s="435"/>
      <c r="M71" s="436"/>
      <c r="N71" s="434">
        <f>VLOOKUP($B54,Schlüssel!$A$5:$EK$12,86)</f>
        <v>2</v>
      </c>
      <c r="O71" s="435"/>
      <c r="P71" s="436"/>
      <c r="Q71" s="434">
        <f>VLOOKUP($B54,Schlüssel!$A$5:$EK$12,87)</f>
        <v>5</v>
      </c>
      <c r="R71" s="435"/>
      <c r="S71" s="436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>
      <c r="B72" s="3" t="s">
        <v>9</v>
      </c>
      <c r="C72" s="1"/>
      <c r="D72" s="1"/>
      <c r="E72" s="395" t="str">
        <f>VLOOKUP(E71,Schlüssel!$A$5:$K$12,2)</f>
        <v>Bad Tölz 1</v>
      </c>
      <c r="F72" s="438"/>
      <c r="G72" s="396"/>
      <c r="H72" s="395" t="str">
        <f>VLOOKUP(H71,Schlüssel!$A$5:$K$12,2)</f>
        <v>Bowling Jugend Bayern 1</v>
      </c>
      <c r="I72" s="438"/>
      <c r="J72" s="396"/>
      <c r="K72" s="395" t="str">
        <f>VLOOKUP(K71,Schlüssel!$A$5:$K$12,2)</f>
        <v>EMAX 1</v>
      </c>
      <c r="L72" s="438"/>
      <c r="M72" s="396"/>
      <c r="N72" s="395" t="str">
        <f>VLOOKUP(N71,Schlüssel!$A$5:$K$12,2)</f>
        <v>Highroller Rosenheim 1</v>
      </c>
      <c r="O72" s="438"/>
      <c r="P72" s="396"/>
      <c r="Q72" s="395" t="str">
        <f>VLOOKUP(Q71,Schlüssel!$A$5:$K$12,2)</f>
        <v>Berchtesgaden 1</v>
      </c>
      <c r="R72" s="438"/>
      <c r="S72" s="396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" customHeight="1">
      <c r="B74" s="417" t="s">
        <v>2275</v>
      </c>
      <c r="C74" s="418"/>
      <c r="D74" s="419"/>
      <c r="E74" s="431">
        <f>ABS(INDEX(F:F,MATCH(E71,$B:$B,0)+5)+INDEX(F:F,MATCH(E71,$B:$B,0)+6)+INDEX(F:F,MATCH(E71,$B:$B,0)+7))</f>
        <v>127</v>
      </c>
      <c r="F74" s="432"/>
      <c r="G74" s="433"/>
      <c r="H74" s="431">
        <f>ABS(INDEX(I:I,MATCH(H71,$B:$B,0)+5)+INDEX(I:I,MATCH(H71,$B:$B,0)+6)+INDEX(I:I,MATCH(H71,$B:$B,0)+7))</f>
        <v>140</v>
      </c>
      <c r="I74" s="432"/>
      <c r="J74" s="433"/>
      <c r="K74" s="431">
        <f>ABS(INDEX(L:L,MATCH(K71,$B:$B,0)+5)+INDEX(L:L,MATCH(K71,$B:$B,0)+6)+INDEX(L:L,MATCH(K71,$B:$B,0)+7))</f>
        <v>154</v>
      </c>
      <c r="L74" s="432"/>
      <c r="M74" s="433"/>
      <c r="N74" s="431">
        <f>ABS(INDEX(O:O,MATCH(N71,$B:$B,0)+5)+INDEX(O:O,MATCH(N71,$B:$B,0)+6)+INDEX(O:O,MATCH(N71,$B:$B,0)+7))</f>
        <v>189</v>
      </c>
      <c r="O74" s="432"/>
      <c r="P74" s="433"/>
      <c r="Q74" s="431">
        <f>ABS(INDEX(R:R,MATCH(Q71,$B:$B,0)+5)+INDEX(R:R,MATCH(Q71,$B:$B,0)+6)+INDEX(R:R,MATCH(Q71,$B:$B,0)+7))</f>
        <v>145</v>
      </c>
      <c r="R74" s="432"/>
      <c r="S74" s="433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" customHeight="1">
      <c r="B75" s="417" t="s">
        <v>2276</v>
      </c>
      <c r="C75" s="418"/>
      <c r="D75" s="419"/>
      <c r="E75" s="424">
        <f>ABS(INDEX(F:F,MATCH(E71,$B:$B,0)+8)+INDEX(F:F,MATCH(E71,$B:$B,0)+9)+INDEX(F:F,MATCH(E71,$B:$B,0)+10))</f>
        <v>133</v>
      </c>
      <c r="F75" s="425"/>
      <c r="G75" s="426"/>
      <c r="H75" s="424">
        <f>ABS(INDEX(I:I,MATCH(H71,$B:$B,0)+8)+INDEX(I:I,MATCH(H71,$B:$B,0)+9)+INDEX(I:I,MATCH(H71,$B:$B,0)+10))</f>
        <v>135</v>
      </c>
      <c r="I75" s="425"/>
      <c r="J75" s="426"/>
      <c r="K75" s="424">
        <f>ABS(INDEX(L:L,MATCH(K71,$B:$B,0)+8)+INDEX(L:L,MATCH(K71,$B:$B,0)+9)+INDEX(L:L,MATCH(K71,$B:$B,0)+10))</f>
        <v>191</v>
      </c>
      <c r="L75" s="425"/>
      <c r="M75" s="426"/>
      <c r="N75" s="424">
        <f>ABS(INDEX(O:O,MATCH(N71,$B:$B,0)+8)+INDEX(O:O,MATCH(N71,$B:$B,0)+9)+INDEX(O:O,MATCH(N71,$B:$B,0)+10))</f>
        <v>147</v>
      </c>
      <c r="O75" s="425"/>
      <c r="P75" s="426"/>
      <c r="Q75" s="424">
        <f>ABS(INDEX(R:R,MATCH(Q71,$B:$B,0)+8)+INDEX(R:R,MATCH(Q71,$B:$B,0)+9)+INDEX(R:R,MATCH(Q71,$B:$B,0)+10))</f>
        <v>164</v>
      </c>
      <c r="R75" s="425"/>
      <c r="S75" s="426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" customHeight="1">
      <c r="B76" s="417" t="s">
        <v>2277</v>
      </c>
      <c r="C76" s="418"/>
      <c r="D76" s="419"/>
      <c r="E76" s="424">
        <f>ABS(INDEX(F:F,MATCH(E71,$B:$B,0)+11)+INDEX(F:F,MATCH(E71,$B:$B,0)+12)+INDEX(F:F,MATCH(E71,$B:$B,0)+13))</f>
        <v>115</v>
      </c>
      <c r="F76" s="425"/>
      <c r="G76" s="426"/>
      <c r="H76" s="424">
        <f>ABS(INDEX(I:I,MATCH(H71,$B:$B,0)+11)+INDEX(I:I,MATCH(H71,$B:$B,0)+12)+INDEX(I:I,MATCH(H71,$B:$B,0)+13))</f>
        <v>144</v>
      </c>
      <c r="I76" s="425"/>
      <c r="J76" s="426"/>
      <c r="K76" s="424">
        <f>ABS(INDEX(L:L,MATCH(K71,$B:$B,0)+11)+INDEX(L:L,MATCH(K71,$B:$B,0)+12)+INDEX(L:L,MATCH(K71,$B:$B,0)+13))</f>
        <v>151</v>
      </c>
      <c r="L76" s="425"/>
      <c r="M76" s="426"/>
      <c r="N76" s="424">
        <f>ABS(INDEX(O:O,MATCH(N71,$B:$B,0)+11)+INDEX(O:O,MATCH(N71,$B:$B,0)+12)+INDEX(O:O,MATCH(N71,$B:$B,0)+13))</f>
        <v>130</v>
      </c>
      <c r="O76" s="425"/>
      <c r="P76" s="426"/>
      <c r="Q76" s="424">
        <f>ABS(INDEX(R:R,MATCH(Q71,$B:$B,0)+11)+INDEX(R:R,MATCH(Q71,$B:$B,0)+12)+INDEX(R:R,MATCH(Q71,$B:$B,0)+13))</f>
        <v>142</v>
      </c>
      <c r="R76" s="425"/>
      <c r="S76" s="426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" customHeight="1">
      <c r="B77" s="420" t="s">
        <v>2278</v>
      </c>
      <c r="C77" s="421"/>
      <c r="D77" s="422"/>
      <c r="E77" s="407">
        <f>SUM(E74:E76)</f>
        <v>375</v>
      </c>
      <c r="F77" s="423"/>
      <c r="G77" s="408"/>
      <c r="H77" s="407">
        <f>SUM(H74:H76)</f>
        <v>419</v>
      </c>
      <c r="I77" s="423"/>
      <c r="J77" s="408"/>
      <c r="K77" s="407">
        <f>SUM(K74:K76)</f>
        <v>496</v>
      </c>
      <c r="L77" s="423"/>
      <c r="M77" s="408"/>
      <c r="N77" s="407">
        <f>SUM(N74:N76)</f>
        <v>466</v>
      </c>
      <c r="O77" s="423"/>
      <c r="P77" s="408"/>
      <c r="Q77" s="407">
        <f>SUM(Q74:Q76)</f>
        <v>451</v>
      </c>
      <c r="R77" s="423"/>
      <c r="S77" s="408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>
      <c r="A79" s="255"/>
      <c r="B79" s="7" t="s">
        <v>1802</v>
      </c>
      <c r="C79" s="24"/>
      <c r="D79" s="24"/>
      <c r="E79" s="35" t="s">
        <v>1786</v>
      </c>
      <c r="F79" s="35"/>
      <c r="G79" s="427" t="str">
        <f>Schlüssel!$C$1</f>
        <v>Landesliga Jugend</v>
      </c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  <c r="S79" s="406">
        <f>Schlüssel!$CO$1</f>
        <v>45794</v>
      </c>
      <c r="T79" s="406"/>
      <c r="U79" s="406"/>
      <c r="V79" s="406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>
      <c r="A80" s="53"/>
      <c r="B80" s="54">
        <v>4</v>
      </c>
      <c r="E80" s="35" t="s">
        <v>1787</v>
      </c>
      <c r="F80" s="35"/>
      <c r="G80" s="413" t="str">
        <f>Schlüssel!$CE$2</f>
        <v>Olching 5005 Bowling</v>
      </c>
      <c r="H80" s="413"/>
      <c r="I80" s="413"/>
      <c r="J80" s="413"/>
      <c r="K80" s="413"/>
      <c r="L80" s="413"/>
      <c r="M80" s="413"/>
      <c r="N80" s="413"/>
      <c r="O80" s="413"/>
      <c r="P80" s="66"/>
      <c r="Q80" s="411" t="s">
        <v>1785</v>
      </c>
      <c r="R80" s="412"/>
      <c r="S80" s="38">
        <v>5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>
      <c r="B81" s="414" t="str">
        <f>VLOOKUP(B80,Schlüssel!$A$5:$B$12,2)</f>
        <v>Highroller Rosenheim 3</v>
      </c>
      <c r="C81" s="415"/>
      <c r="D81" s="415"/>
      <c r="E81" s="415"/>
      <c r="F81" s="415"/>
      <c r="G81" s="416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3.8" hidden="1" thickBot="1">
      <c r="A82" s="6"/>
      <c r="B82" s="7"/>
      <c r="C82" s="43"/>
      <c r="D82" s="43"/>
      <c r="E82" s="162" t="s">
        <v>10</v>
      </c>
      <c r="F82" s="220"/>
      <c r="G82" s="159">
        <f>VLOOKUP(B80,Schlüssel!$A$5:$EK$12,93)</f>
        <v>7</v>
      </c>
      <c r="H82" s="161" t="s">
        <v>10</v>
      </c>
      <c r="I82" s="220"/>
      <c r="J82" s="159">
        <f>VLOOKUP(B80,Schlüssel!$A$5:$EK$12,94)</f>
        <v>1</v>
      </c>
      <c r="K82" s="161" t="s">
        <v>10</v>
      </c>
      <c r="L82" s="220"/>
      <c r="M82" s="159">
        <f>VLOOKUP(B80,Schlüssel!$A$5:$EK$12,95)</f>
        <v>8</v>
      </c>
      <c r="N82" s="161" t="s">
        <v>10</v>
      </c>
      <c r="O82" s="220"/>
      <c r="P82" s="159">
        <f>VLOOKUP(B80,Schlüssel!$A$5:$EK$12,96)</f>
        <v>4</v>
      </c>
      <c r="Q82" s="161" t="s">
        <v>10</v>
      </c>
      <c r="R82" s="220"/>
      <c r="S82" s="160">
        <f>VLOOKUP(B80,Schlüssel!$A$5:$EK$12,97)</f>
        <v>6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>
      <c r="B83" s="44" t="s">
        <v>1</v>
      </c>
      <c r="C83" s="208"/>
      <c r="D83" s="217"/>
      <c r="E83" s="423" t="s">
        <v>1793</v>
      </c>
      <c r="F83" s="423"/>
      <c r="G83" s="408"/>
      <c r="H83" s="407" t="s">
        <v>1794</v>
      </c>
      <c r="I83" s="423"/>
      <c r="J83" s="408"/>
      <c r="K83" s="407" t="s">
        <v>1795</v>
      </c>
      <c r="L83" s="423"/>
      <c r="M83" s="408"/>
      <c r="N83" s="407" t="s">
        <v>1796</v>
      </c>
      <c r="O83" s="423"/>
      <c r="P83" s="408"/>
      <c r="Q83" s="407" t="s">
        <v>1797</v>
      </c>
      <c r="R83" s="423"/>
      <c r="S83" s="437"/>
      <c r="T83" s="439" t="s">
        <v>1792</v>
      </c>
      <c r="U83" s="440"/>
      <c r="V83" s="410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6.95" customHeight="1">
      <c r="A85" s="403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2">+AP85</f>
        <v>36</v>
      </c>
      <c r="E85" s="221">
        <v>116</v>
      </c>
      <c r="F85" s="240">
        <f t="shared" ref="F85:F93" si="73">IF(E85&gt;0,E85+$D85,0)</f>
        <v>152</v>
      </c>
      <c r="G85" s="428">
        <f>IF(SUM(F85:F87)+E100=0,0,IF(ABS(SUM(F85:F87))=E100,Spielorte!$A$30/2,IF(ABS(SUM(F85:F87))&gt;E100,Spielorte!$A$30,0)))</f>
        <v>0</v>
      </c>
      <c r="H85" s="221">
        <v>141</v>
      </c>
      <c r="I85" s="240">
        <f t="shared" ref="I85:I93" si="74">IF(H85&gt;0,H85+$D85,0)</f>
        <v>177</v>
      </c>
      <c r="J85" s="428">
        <f>IF(SUM(I85:I87)+H100=0,0,IF(ABS(SUM(I85:I87))=H100,Spielorte!$A$30/2,IF(ABS(SUM(I85:I87))&gt;H100,Spielorte!$A$30,0)))</f>
        <v>1</v>
      </c>
      <c r="K85" s="221">
        <v>124</v>
      </c>
      <c r="L85" s="240">
        <f t="shared" ref="L85:L93" si="75">IF(K85&gt;0,K85+$D85,0)</f>
        <v>160</v>
      </c>
      <c r="M85" s="428">
        <f>IF(SUM(L85:L87)+K100=0,0,IF(ABS(SUM(L85:L87))=K100,Spielorte!$A$30/2,IF(ABS(SUM(L85:L87))&gt;K100,Spielorte!$A$30,0)))</f>
        <v>1</v>
      </c>
      <c r="N85" s="221"/>
      <c r="O85" s="240">
        <f t="shared" ref="O85:O93" si="76">IF(N85&gt;0,N85+$D85,0)</f>
        <v>0</v>
      </c>
      <c r="P85" s="428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8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381</v>
      </c>
      <c r="U85" s="240">
        <f t="shared" si="78"/>
        <v>489</v>
      </c>
      <c r="V85" s="400">
        <f>SUM(G85+J85+M85+P85+S85)</f>
        <v>2</v>
      </c>
      <c r="W85" s="79"/>
      <c r="X85" s="79"/>
      <c r="Y85" s="79"/>
      <c r="Z85" s="79"/>
      <c r="AA85" s="79"/>
      <c r="AB85" s="79"/>
      <c r="AL85" s="169">
        <f>IF(AU85=0,0,IFERROR(INDEX(RanglisteST5!K:K,MATCH(AU85,RanglisteST5!A:A,0)),0))</f>
        <v>115.55</v>
      </c>
      <c r="AM85" s="169">
        <f>IF(AU85=0,0,SUMIF(AU85:AU93,AU85,AV85:AV93))</f>
        <v>538</v>
      </c>
      <c r="AN85" s="169">
        <f>IF(AU85=0,0,SUMIF(AU85:AU93,AU85,AW85:AW93))</f>
        <v>4</v>
      </c>
      <c r="AO85" s="169">
        <f t="shared" ref="AO85:AO93" si="79">IFERROR(AM85/AN85,0)</f>
        <v>134.5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36</v>
      </c>
      <c r="AQ85" s="166"/>
      <c r="AR85" s="167"/>
      <c r="AS85" s="167"/>
      <c r="AT85" s="168"/>
      <c r="AU85" s="171">
        <f t="shared" ref="AU85:AU93" si="80">C85</f>
        <v>38808</v>
      </c>
      <c r="AV85" s="167">
        <f t="shared" ref="AV85:AV93" si="81">T85</f>
        <v>381</v>
      </c>
      <c r="AW85" s="169">
        <f t="shared" ref="AW85:AW93" si="82">COUNT(AY85:BC85)</f>
        <v>3</v>
      </c>
      <c r="AX85" s="169">
        <f t="shared" ref="AX85:AX93" si="83">COUNTIF(AY85:BC85,"&gt;0")</f>
        <v>3</v>
      </c>
      <c r="AY85" s="169">
        <f t="shared" ref="AY85:AY93" si="84">IF(E85=0,"",E85)</f>
        <v>116</v>
      </c>
      <c r="AZ85" s="169">
        <f t="shared" ref="AZ85:AZ93" si="85">IF(H85=0,"",H85)</f>
        <v>141</v>
      </c>
      <c r="BA85" s="169">
        <f t="shared" ref="BA85:BA93" si="86">IF(K85=0,"",K85)</f>
        <v>124</v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141</v>
      </c>
      <c r="BG85" s="169">
        <f t="shared" ref="BG85:BG93" si="90">IF(BF85&lt;MAX(BF:BF),0,BF85+ROW()/1000000000)</f>
        <v>0</v>
      </c>
      <c r="BH85" s="169" t="str">
        <f>+B81</f>
        <v>Highroller Rosenheim 3</v>
      </c>
      <c r="BI85" s="168">
        <f t="shared" ref="BI85:BI93" si="91">RANK(BG85,BG:BG)</f>
        <v>2</v>
      </c>
      <c r="BJ85" s="169">
        <f t="shared" ref="BJ85:BJ93" si="92">SUMIF(AY85:BC85,"&gt;0")</f>
        <v>381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0</v>
      </c>
      <c r="BM85" s="168">
        <f t="shared" ref="BM85:BM93" si="94">IF(BL85=0,0,RANK(BL85,BL:BL))</f>
        <v>0</v>
      </c>
    </row>
    <row r="86" spans="1:65" ht="16.95" customHeight="1">
      <c r="A86" s="404"/>
      <c r="B86" s="58" t="str">
        <f>IF(C86=0,"",VLOOKUP(C86,Starter!$A$1:$D$196,2,FALSE))</f>
        <v>Marker, Anna</v>
      </c>
      <c r="C86" s="233">
        <v>38848</v>
      </c>
      <c r="D86" s="239">
        <f t="shared" si="72"/>
        <v>31</v>
      </c>
      <c r="E86" s="222"/>
      <c r="F86" s="241">
        <f t="shared" si="73"/>
        <v>0</v>
      </c>
      <c r="G86" s="429"/>
      <c r="H86" s="222"/>
      <c r="I86" s="241">
        <f t="shared" si="74"/>
        <v>0</v>
      </c>
      <c r="J86" s="429"/>
      <c r="K86" s="222"/>
      <c r="L86" s="241">
        <f t="shared" si="75"/>
        <v>0</v>
      </c>
      <c r="M86" s="429"/>
      <c r="N86" s="222">
        <v>122</v>
      </c>
      <c r="O86" s="241">
        <f t="shared" si="76"/>
        <v>153</v>
      </c>
      <c r="P86" s="429"/>
      <c r="Q86" s="222">
        <v>101</v>
      </c>
      <c r="R86" s="241">
        <f t="shared" si="77"/>
        <v>132</v>
      </c>
      <c r="S86" s="429"/>
      <c r="T86" s="222">
        <f t="shared" si="78"/>
        <v>223</v>
      </c>
      <c r="U86" s="241">
        <f t="shared" si="78"/>
        <v>285</v>
      </c>
      <c r="V86" s="401"/>
      <c r="W86" s="79"/>
      <c r="X86" s="79"/>
      <c r="Y86" s="79"/>
      <c r="Z86" s="79"/>
      <c r="AA86" s="79"/>
      <c r="AB86" s="79"/>
      <c r="AL86" s="169">
        <f>IF(AU86=0,0,IFERROR(INDEX(RanglisteST5!K:K,MATCH(AU86,RanglisteST5!A:A,0)),0))</f>
        <v>121.66</v>
      </c>
      <c r="AM86" s="169">
        <f>IF(AU86=0,0,SUMIF(AU85:AU93,AU86,AV85:AV93))</f>
        <v>453</v>
      </c>
      <c r="AN86" s="169">
        <f>IF(AU86=0,0,SUMIF(AU85:AU93,AU86,AW85:AW93))</f>
        <v>4</v>
      </c>
      <c r="AO86" s="169">
        <f t="shared" si="79"/>
        <v>113.25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31</v>
      </c>
      <c r="AQ86" s="166"/>
      <c r="AR86" s="167"/>
      <c r="AS86" s="167"/>
      <c r="AT86" s="168"/>
      <c r="AU86" s="171">
        <f t="shared" si="80"/>
        <v>38848</v>
      </c>
      <c r="AV86" s="167">
        <f t="shared" si="81"/>
        <v>223</v>
      </c>
      <c r="AW86" s="169">
        <f t="shared" si="82"/>
        <v>2</v>
      </c>
      <c r="AX86" s="169">
        <f t="shared" si="83"/>
        <v>2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>
        <f t="shared" si="87"/>
        <v>122</v>
      </c>
      <c r="BC86" s="169">
        <f t="shared" si="88"/>
        <v>101</v>
      </c>
      <c r="BD86" s="170"/>
      <c r="BE86" s="168"/>
      <c r="BF86" s="169">
        <f t="shared" si="89"/>
        <v>122</v>
      </c>
      <c r="BG86" s="169">
        <f t="shared" si="90"/>
        <v>0</v>
      </c>
      <c r="BH86" s="169" t="str">
        <f t="shared" ref="BH86:BH93" si="95">+BH85</f>
        <v>Highroller Rosenheim 3</v>
      </c>
      <c r="BI86" s="168">
        <f t="shared" si="91"/>
        <v>2</v>
      </c>
      <c r="BJ86" s="169">
        <f t="shared" si="92"/>
        <v>223</v>
      </c>
      <c r="BK86" s="169">
        <f>IF(COUNTIF(AY86:BC86,"&gt;0")&lt;Spielorte!$A$23,0,AV86/Spielorte!$A$23)</f>
        <v>0</v>
      </c>
      <c r="BL86" s="169">
        <f t="shared" si="93"/>
        <v>0</v>
      </c>
      <c r="BM86" s="168">
        <f t="shared" si="94"/>
        <v>0</v>
      </c>
    </row>
    <row r="87" spans="1:65" ht="16.95" customHeight="1" thickBot="1">
      <c r="A87" s="405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30"/>
      <c r="H87" s="224"/>
      <c r="I87" s="242">
        <f t="shared" si="74"/>
        <v>0</v>
      </c>
      <c r="J87" s="430"/>
      <c r="K87" s="224"/>
      <c r="L87" s="242">
        <f t="shared" si="75"/>
        <v>0</v>
      </c>
      <c r="M87" s="430"/>
      <c r="N87" s="224"/>
      <c r="O87" s="242">
        <f t="shared" si="76"/>
        <v>0</v>
      </c>
      <c r="P87" s="430"/>
      <c r="Q87" s="224"/>
      <c r="R87" s="242">
        <f t="shared" si="77"/>
        <v>0</v>
      </c>
      <c r="S87" s="430"/>
      <c r="T87" s="224">
        <f t="shared" si="78"/>
        <v>0</v>
      </c>
      <c r="U87" s="242">
        <f t="shared" si="78"/>
        <v>0</v>
      </c>
      <c r="V87" s="402"/>
      <c r="W87" s="79"/>
      <c r="X87" s="79"/>
      <c r="Y87" s="79"/>
      <c r="Z87" s="79"/>
      <c r="AA87" s="79"/>
      <c r="AB87" s="79"/>
      <c r="AL87" s="169">
        <f>IF(AU87=0,0,IFERROR(INDEX(RanglisteST5!K:K,MATCH(AU87,RanglisteST5!A:A,0)),0))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0</v>
      </c>
      <c r="BH87" s="169" t="str">
        <f t="shared" si="95"/>
        <v>Highroller Rosenheim 3</v>
      </c>
      <c r="BI87" s="168">
        <f t="shared" si="91"/>
        <v>2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0</v>
      </c>
      <c r="BM87" s="168">
        <f t="shared" si="94"/>
        <v>0</v>
      </c>
    </row>
    <row r="88" spans="1:65" ht="16.95" customHeight="1">
      <c r="A88" s="403" t="s">
        <v>2</v>
      </c>
      <c r="B88" s="58" t="str">
        <f>IF(C88=0,"",VLOOKUP(C88,Starter!$A$1:$D$196,2,FALSE))</f>
        <v>Vokshi, Finn</v>
      </c>
      <c r="C88" s="235">
        <v>38810</v>
      </c>
      <c r="D88" s="238">
        <f t="shared" si="72"/>
        <v>36</v>
      </c>
      <c r="E88" s="221">
        <v>94</v>
      </c>
      <c r="F88" s="240">
        <f t="shared" si="73"/>
        <v>130</v>
      </c>
      <c r="G88" s="428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8">
        <f>IF(SUM(I88:I90)+H101=0,0,IF(ABS(SUM(I88:I90))=H101,Spielorte!$A$30/2,IF(ABS(SUM(I88:I90))&gt;H101,Spielorte!$A$30,0)))</f>
        <v>1</v>
      </c>
      <c r="K88" s="221"/>
      <c r="L88" s="240">
        <f t="shared" si="75"/>
        <v>0</v>
      </c>
      <c r="M88" s="428">
        <f>IF(SUM(L88:L90)+K101=0,0,IF(ABS(SUM(L88:L90))=K101,Spielorte!$A$30/2,IF(ABS(SUM(L88:L90))&gt;K101,Spielorte!$A$30,0)))</f>
        <v>1</v>
      </c>
      <c r="N88" s="221"/>
      <c r="O88" s="240">
        <f t="shared" si="76"/>
        <v>0</v>
      </c>
      <c r="P88" s="428">
        <f>IF(SUM(O88:O90)+N101=0,0,IF(ABS(SUM(O88:O90))=N101,Spielorte!$A$30/2,IF(ABS(SUM(O88:O90))&gt;N101,Spielorte!$A$30,0)))</f>
        <v>1</v>
      </c>
      <c r="Q88" s="221"/>
      <c r="R88" s="240">
        <f t="shared" si="77"/>
        <v>0</v>
      </c>
      <c r="S88" s="428">
        <f>IF(SUM(R88:R90)+Q101=0,0,IF(ABS(SUM(R88:R90))=Q101,Spielorte!$A$30/2,IF(ABS(SUM(R88:R90))&gt;Q101,Spielorte!$A$30,0)))</f>
        <v>1</v>
      </c>
      <c r="T88" s="221">
        <f t="shared" si="78"/>
        <v>94</v>
      </c>
      <c r="U88" s="240">
        <f t="shared" si="78"/>
        <v>130</v>
      </c>
      <c r="V88" s="400">
        <f>SUM(G88+J88+M88+P88+S88)</f>
        <v>4</v>
      </c>
      <c r="W88" s="79"/>
      <c r="X88" s="79"/>
      <c r="Y88" s="79"/>
      <c r="Z88" s="79"/>
      <c r="AA88" s="79"/>
      <c r="AB88" s="79"/>
      <c r="AL88" s="169">
        <f>IF(AU88=0,0,IFERROR(INDEX(RanglisteST5!K:K,MATCH(AU88,RanglisteST5!A:A,0)),0))</f>
        <v>114.96</v>
      </c>
      <c r="AM88" s="169">
        <f>IF(AU88=0,0,SUMIF(AU85:AU93,AU88,AV85:AV93))</f>
        <v>447</v>
      </c>
      <c r="AN88" s="169">
        <f>IF(AU88=0,0,SUMIF(AU85:AU93,AU88,AW85:AW93))</f>
        <v>4</v>
      </c>
      <c r="AO88" s="169">
        <f t="shared" si="79"/>
        <v>111.75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36</v>
      </c>
      <c r="AQ88" s="166"/>
      <c r="AR88" s="167"/>
      <c r="AS88" s="167"/>
      <c r="AT88" s="168"/>
      <c r="AU88" s="171">
        <f t="shared" si="80"/>
        <v>38810</v>
      </c>
      <c r="AV88" s="167">
        <f t="shared" si="81"/>
        <v>94</v>
      </c>
      <c r="AW88" s="169">
        <f t="shared" si="82"/>
        <v>1</v>
      </c>
      <c r="AX88" s="169">
        <f t="shared" si="83"/>
        <v>1</v>
      </c>
      <c r="AY88" s="169">
        <f t="shared" si="84"/>
        <v>94</v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94</v>
      </c>
      <c r="BG88" s="169">
        <f t="shared" si="90"/>
        <v>0</v>
      </c>
      <c r="BH88" s="169" t="str">
        <f t="shared" si="95"/>
        <v>Highroller Rosenheim 3</v>
      </c>
      <c r="BI88" s="168">
        <f t="shared" si="91"/>
        <v>2</v>
      </c>
      <c r="BJ88" s="169">
        <f t="shared" si="92"/>
        <v>94</v>
      </c>
      <c r="BK88" s="169">
        <f>IF(COUNTIF(AY88:BC88,"&gt;0")&lt;Spielorte!$A$23,0,AV88/Spielorte!$A$23)</f>
        <v>0</v>
      </c>
      <c r="BL88" s="169">
        <f t="shared" si="93"/>
        <v>0</v>
      </c>
      <c r="BM88" s="168">
        <f t="shared" si="94"/>
        <v>0</v>
      </c>
    </row>
    <row r="89" spans="1:65" ht="16.95" customHeight="1">
      <c r="A89" s="404"/>
      <c r="B89" s="58" t="str">
        <f>IF(C89=0,"",VLOOKUP(C89,Starter!$A$1:$D$196,2,FALSE))</f>
        <v>Marker, Lena</v>
      </c>
      <c r="C89" s="233">
        <v>38849</v>
      </c>
      <c r="D89" s="239">
        <f t="shared" si="72"/>
        <v>36</v>
      </c>
      <c r="E89" s="222"/>
      <c r="F89" s="241">
        <f t="shared" si="73"/>
        <v>0</v>
      </c>
      <c r="G89" s="429"/>
      <c r="H89" s="222">
        <v>130</v>
      </c>
      <c r="I89" s="241">
        <f t="shared" si="74"/>
        <v>166</v>
      </c>
      <c r="J89" s="429"/>
      <c r="K89" s="222">
        <v>127</v>
      </c>
      <c r="L89" s="241">
        <f t="shared" si="75"/>
        <v>163</v>
      </c>
      <c r="M89" s="429"/>
      <c r="N89" s="222">
        <v>110</v>
      </c>
      <c r="O89" s="241">
        <f t="shared" si="76"/>
        <v>146</v>
      </c>
      <c r="P89" s="429"/>
      <c r="Q89" s="222"/>
      <c r="R89" s="241">
        <f t="shared" si="77"/>
        <v>0</v>
      </c>
      <c r="S89" s="429"/>
      <c r="T89" s="222">
        <f t="shared" si="78"/>
        <v>367</v>
      </c>
      <c r="U89" s="241">
        <f t="shared" si="78"/>
        <v>475</v>
      </c>
      <c r="V89" s="401"/>
      <c r="W89" s="79"/>
      <c r="X89" s="79"/>
      <c r="Y89" s="79"/>
      <c r="Z89" s="79"/>
      <c r="AA89" s="79"/>
      <c r="AB89" s="79"/>
      <c r="AL89" s="169">
        <f>IF(AU89=0,0,IFERROR(INDEX(RanglisteST5!K:K,MATCH(AU89,RanglisteST5!A:A,0)),0))</f>
        <v>115.38</v>
      </c>
      <c r="AM89" s="169">
        <f>IF(AU89=0,0,SUMIF(AU85:AU93,AU89,AV85:AV93))</f>
        <v>367</v>
      </c>
      <c r="AN89" s="169">
        <f>IF(AU89=0,0,SUMIF(AU85:AU93,AU89,AW85:AW93))</f>
        <v>3</v>
      </c>
      <c r="AO89" s="169">
        <f t="shared" si="79"/>
        <v>122.33333333333333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36</v>
      </c>
      <c r="AQ89" s="166"/>
      <c r="AR89" s="167"/>
      <c r="AS89" s="167"/>
      <c r="AT89" s="168"/>
      <c r="AU89" s="171">
        <f t="shared" si="80"/>
        <v>38849</v>
      </c>
      <c r="AV89" s="167">
        <f t="shared" si="81"/>
        <v>367</v>
      </c>
      <c r="AW89" s="169">
        <f t="shared" si="82"/>
        <v>3</v>
      </c>
      <c r="AX89" s="169">
        <f t="shared" si="83"/>
        <v>3</v>
      </c>
      <c r="AY89" s="169" t="str">
        <f t="shared" si="84"/>
        <v/>
      </c>
      <c r="AZ89" s="169">
        <f t="shared" si="85"/>
        <v>130</v>
      </c>
      <c r="BA89" s="169">
        <f t="shared" si="86"/>
        <v>127</v>
      </c>
      <c r="BB89" s="169">
        <f t="shared" si="87"/>
        <v>110</v>
      </c>
      <c r="BC89" s="169" t="str">
        <f t="shared" si="88"/>
        <v/>
      </c>
      <c r="BD89" s="170"/>
      <c r="BE89" s="168"/>
      <c r="BF89" s="169">
        <f t="shared" si="89"/>
        <v>130</v>
      </c>
      <c r="BG89" s="169">
        <f t="shared" si="90"/>
        <v>0</v>
      </c>
      <c r="BH89" s="169" t="str">
        <f t="shared" si="95"/>
        <v>Highroller Rosenheim 3</v>
      </c>
      <c r="BI89" s="168">
        <f t="shared" si="91"/>
        <v>2</v>
      </c>
      <c r="BJ89" s="169">
        <f t="shared" si="92"/>
        <v>367</v>
      </c>
      <c r="BK89" s="169">
        <f>IF(COUNTIF(AY89:BC89,"&gt;0")&lt;Spielorte!$A$23,0,AV89/Spielorte!$A$23)</f>
        <v>0</v>
      </c>
      <c r="BL89" s="169">
        <f t="shared" si="93"/>
        <v>0</v>
      </c>
      <c r="BM89" s="168">
        <f t="shared" si="94"/>
        <v>0</v>
      </c>
    </row>
    <row r="90" spans="1:65" ht="16.95" customHeight="1" thickBot="1">
      <c r="A90" s="405"/>
      <c r="B90" s="60" t="str">
        <f>IF(C90=0,"",VLOOKUP(C90,Starter!$A$1:$D$196,2,FALSE))</f>
        <v>Reinhold, Moritz</v>
      </c>
      <c r="C90" s="236">
        <v>38808</v>
      </c>
      <c r="D90" s="223">
        <f t="shared" si="72"/>
        <v>36</v>
      </c>
      <c r="E90" s="224"/>
      <c r="F90" s="242">
        <f t="shared" si="73"/>
        <v>0</v>
      </c>
      <c r="G90" s="430"/>
      <c r="H90" s="224"/>
      <c r="I90" s="242">
        <f t="shared" si="74"/>
        <v>0</v>
      </c>
      <c r="J90" s="430"/>
      <c r="K90" s="224"/>
      <c r="L90" s="242">
        <f t="shared" si="75"/>
        <v>0</v>
      </c>
      <c r="M90" s="430"/>
      <c r="N90" s="224"/>
      <c r="O90" s="242">
        <f t="shared" si="76"/>
        <v>0</v>
      </c>
      <c r="P90" s="430"/>
      <c r="Q90" s="224">
        <v>157</v>
      </c>
      <c r="R90" s="242">
        <f t="shared" si="77"/>
        <v>193</v>
      </c>
      <c r="S90" s="430"/>
      <c r="T90" s="224">
        <f t="shared" si="78"/>
        <v>157</v>
      </c>
      <c r="U90" s="242">
        <f t="shared" si="78"/>
        <v>193</v>
      </c>
      <c r="V90" s="402"/>
      <c r="W90" s="79"/>
      <c r="X90" s="79"/>
      <c r="Y90" s="79"/>
      <c r="Z90" s="79"/>
      <c r="AA90" s="79"/>
      <c r="AB90" s="79"/>
      <c r="AL90" s="169">
        <f>IF(AU90=0,0,IFERROR(INDEX(RanglisteST5!K:K,MATCH(AU90,RanglisteST5!A:A,0)),0))</f>
        <v>115.55</v>
      </c>
      <c r="AM90" s="169">
        <f>IF(AU90=0,0,SUMIF(AU85:AU93,AU90,AV85:AV93))</f>
        <v>538</v>
      </c>
      <c r="AN90" s="169">
        <f>IF(AU90=0,0,SUMIF(AU85:AU93,AU90,AW85:AW93))</f>
        <v>4</v>
      </c>
      <c r="AO90" s="169">
        <f t="shared" si="79"/>
        <v>134.5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36</v>
      </c>
      <c r="AQ90" s="166"/>
      <c r="AR90" s="167"/>
      <c r="AS90" s="167"/>
      <c r="AT90" s="168"/>
      <c r="AU90" s="171">
        <f t="shared" si="80"/>
        <v>38808</v>
      </c>
      <c r="AV90" s="167">
        <f t="shared" si="81"/>
        <v>157</v>
      </c>
      <c r="AW90" s="169">
        <f t="shared" si="82"/>
        <v>1</v>
      </c>
      <c r="AX90" s="169">
        <f t="shared" si="83"/>
        <v>1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>
        <f t="shared" si="88"/>
        <v>157</v>
      </c>
      <c r="BD90" s="170"/>
      <c r="BE90" s="168"/>
      <c r="BF90" s="169">
        <f t="shared" si="89"/>
        <v>157</v>
      </c>
      <c r="BG90" s="169">
        <f t="shared" si="90"/>
        <v>0</v>
      </c>
      <c r="BH90" s="169" t="str">
        <f t="shared" si="95"/>
        <v>Highroller Rosenheim 3</v>
      </c>
      <c r="BI90" s="168">
        <f t="shared" si="91"/>
        <v>2</v>
      </c>
      <c r="BJ90" s="169">
        <f t="shared" si="92"/>
        <v>157</v>
      </c>
      <c r="BK90" s="169">
        <f>IF(COUNTIF(AY90:BC90,"&gt;0")&lt;Spielorte!$A$23,0,AV90/Spielorte!$A$23)</f>
        <v>0</v>
      </c>
      <c r="BL90" s="169">
        <f t="shared" si="93"/>
        <v>0</v>
      </c>
      <c r="BM90" s="168">
        <f t="shared" si="94"/>
        <v>0</v>
      </c>
    </row>
    <row r="91" spans="1:65" ht="16.95" customHeight="1">
      <c r="A91" s="403" t="s">
        <v>3</v>
      </c>
      <c r="B91" s="58" t="str">
        <f>IF(C91=0,"",VLOOKUP(C91,Starter!$A$1:$D$196,2,FALSE))</f>
        <v>Marker, Anna</v>
      </c>
      <c r="C91" s="235">
        <v>38848</v>
      </c>
      <c r="D91" s="238">
        <f t="shared" si="72"/>
        <v>31</v>
      </c>
      <c r="E91" s="221">
        <v>136</v>
      </c>
      <c r="F91" s="240">
        <f t="shared" si="73"/>
        <v>167</v>
      </c>
      <c r="G91" s="428">
        <f>IF(SUM(F91:F93)+E102=0,0,IF(ABS(SUM(F91:F93))=E102,Spielorte!$A$30/2,IF(ABS(SUM(F91:F93))&gt;E102,Spielorte!$A$30,0)))</f>
        <v>1</v>
      </c>
      <c r="H91" s="221">
        <v>94</v>
      </c>
      <c r="I91" s="240">
        <f t="shared" si="74"/>
        <v>125</v>
      </c>
      <c r="J91" s="428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8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8">
        <f>IF(SUM(O91:O93)+N102=0,0,IF(ABS(SUM(O91:O93))=N102,Spielorte!$A$30/2,IF(ABS(SUM(O91:O93))&gt;N102,Spielorte!$A$30,0)))</f>
        <v>1</v>
      </c>
      <c r="Q91" s="221"/>
      <c r="R91" s="240">
        <f t="shared" si="77"/>
        <v>0</v>
      </c>
      <c r="S91" s="428">
        <f>IF(SUM(R91:R93)+Q102=0,0,IF(ABS(SUM(R91:R93))=Q102,Spielorte!$A$30/2,IF(ABS(SUM(R91:R93))&gt;Q102,Spielorte!$A$30,0)))</f>
        <v>0</v>
      </c>
      <c r="T91" s="221">
        <f t="shared" si="78"/>
        <v>230</v>
      </c>
      <c r="U91" s="240">
        <f t="shared" si="78"/>
        <v>292</v>
      </c>
      <c r="V91" s="400">
        <f>SUM(G91+J91+M91+P91+S91)</f>
        <v>2</v>
      </c>
      <c r="W91" s="79"/>
      <c r="X91" s="79"/>
      <c r="Y91" s="79"/>
      <c r="Z91" s="79"/>
      <c r="AA91" s="79"/>
      <c r="AB91" s="79"/>
      <c r="AL91" s="169">
        <f>IF(AU91=0,0,IFERROR(INDEX(RanglisteST5!K:K,MATCH(AU91,RanglisteST5!A:A,0)),0))</f>
        <v>121.66</v>
      </c>
      <c r="AM91" s="169">
        <f>IF(AU91=0,0,SUMIF(AU85:AU93,AU91,AV85:AV93))</f>
        <v>453</v>
      </c>
      <c r="AN91" s="169">
        <f>IF(AU91=0,0,SUMIF(AU85:AU93,AU91,AW85:AW93))</f>
        <v>4</v>
      </c>
      <c r="AO91" s="169">
        <f t="shared" si="79"/>
        <v>113.25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31</v>
      </c>
      <c r="AQ91" s="166"/>
      <c r="AR91" s="167"/>
      <c r="AS91" s="167"/>
      <c r="AT91" s="168"/>
      <c r="AU91" s="171">
        <f t="shared" si="80"/>
        <v>38848</v>
      </c>
      <c r="AV91" s="167">
        <f t="shared" si="81"/>
        <v>230</v>
      </c>
      <c r="AW91" s="169">
        <f t="shared" si="82"/>
        <v>2</v>
      </c>
      <c r="AX91" s="169">
        <f t="shared" si="83"/>
        <v>2</v>
      </c>
      <c r="AY91" s="169">
        <f t="shared" si="84"/>
        <v>136</v>
      </c>
      <c r="AZ91" s="169">
        <f t="shared" si="85"/>
        <v>94</v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136</v>
      </c>
      <c r="BG91" s="169">
        <f t="shared" si="90"/>
        <v>0</v>
      </c>
      <c r="BH91" s="169" t="str">
        <f t="shared" si="95"/>
        <v>Highroller Rosenheim 3</v>
      </c>
      <c r="BI91" s="168">
        <f t="shared" si="91"/>
        <v>2</v>
      </c>
      <c r="BJ91" s="169">
        <f t="shared" si="92"/>
        <v>230</v>
      </c>
      <c r="BK91" s="169">
        <f>IF(COUNTIF(AY91:BC91,"&gt;0")&lt;Spielorte!$A$23,0,AV91/Spielorte!$A$23)</f>
        <v>0</v>
      </c>
      <c r="BL91" s="169">
        <f t="shared" si="93"/>
        <v>0</v>
      </c>
      <c r="BM91" s="168">
        <f t="shared" si="94"/>
        <v>0</v>
      </c>
    </row>
    <row r="92" spans="1:65" ht="16.95" customHeight="1">
      <c r="A92" s="404"/>
      <c r="B92" s="58" t="str">
        <f>IF(C92=0,"",VLOOKUP(C92,Starter!$A$1:$D$196,2,FALSE))</f>
        <v>Vokshi, Finn</v>
      </c>
      <c r="C92" s="233">
        <v>38810</v>
      </c>
      <c r="D92" s="239">
        <f t="shared" si="72"/>
        <v>36</v>
      </c>
      <c r="E92" s="222"/>
      <c r="F92" s="241">
        <f t="shared" si="73"/>
        <v>0</v>
      </c>
      <c r="G92" s="429"/>
      <c r="H92" s="222"/>
      <c r="I92" s="241">
        <f t="shared" si="74"/>
        <v>0</v>
      </c>
      <c r="J92" s="429"/>
      <c r="K92" s="222">
        <v>98</v>
      </c>
      <c r="L92" s="241">
        <f t="shared" si="75"/>
        <v>134</v>
      </c>
      <c r="M92" s="429"/>
      <c r="N92" s="222">
        <v>129</v>
      </c>
      <c r="O92" s="241">
        <f t="shared" si="76"/>
        <v>165</v>
      </c>
      <c r="P92" s="429"/>
      <c r="Q92" s="222">
        <v>126</v>
      </c>
      <c r="R92" s="241">
        <f t="shared" si="77"/>
        <v>162</v>
      </c>
      <c r="S92" s="429"/>
      <c r="T92" s="222">
        <f t="shared" si="78"/>
        <v>353</v>
      </c>
      <c r="U92" s="241">
        <f t="shared" si="78"/>
        <v>461</v>
      </c>
      <c r="V92" s="401"/>
      <c r="W92" s="79"/>
      <c r="X92" s="79"/>
      <c r="Y92" s="79"/>
      <c r="Z92" s="79"/>
      <c r="AA92" s="79"/>
      <c r="AB92" s="79"/>
      <c r="AL92" s="169">
        <f>IF(AU92=0,0,IFERROR(INDEX(RanglisteST5!K:K,MATCH(AU92,RanglisteST5!A:A,0)),0))</f>
        <v>114.96</v>
      </c>
      <c r="AM92" s="169">
        <f>IF(AU92=0,0,SUMIF(AU85:AU93,AU92,AV85:AV93))</f>
        <v>447</v>
      </c>
      <c r="AN92" s="169">
        <f>IF(AU92=0,0,SUMIF(AU85:AU93,AU92,AW85:AW93))</f>
        <v>4</v>
      </c>
      <c r="AO92" s="169">
        <f t="shared" si="79"/>
        <v>111.75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36</v>
      </c>
      <c r="AQ92" s="166"/>
      <c r="AR92" s="167"/>
      <c r="AS92" s="167"/>
      <c r="AT92" s="168"/>
      <c r="AU92" s="171">
        <f t="shared" si="80"/>
        <v>38810</v>
      </c>
      <c r="AV92" s="167">
        <f t="shared" si="81"/>
        <v>353</v>
      </c>
      <c r="AW92" s="169">
        <f t="shared" si="82"/>
        <v>3</v>
      </c>
      <c r="AX92" s="169">
        <f t="shared" si="83"/>
        <v>3</v>
      </c>
      <c r="AY92" s="169" t="str">
        <f t="shared" si="84"/>
        <v/>
      </c>
      <c r="AZ92" s="169" t="str">
        <f t="shared" si="85"/>
        <v/>
      </c>
      <c r="BA92" s="169">
        <f t="shared" si="86"/>
        <v>98</v>
      </c>
      <c r="BB92" s="169">
        <f t="shared" si="87"/>
        <v>129</v>
      </c>
      <c r="BC92" s="169">
        <f t="shared" si="88"/>
        <v>126</v>
      </c>
      <c r="BD92" s="170"/>
      <c r="BE92" s="168"/>
      <c r="BF92" s="169">
        <f t="shared" si="89"/>
        <v>129</v>
      </c>
      <c r="BG92" s="169">
        <f t="shared" si="90"/>
        <v>0</v>
      </c>
      <c r="BH92" s="169" t="str">
        <f t="shared" si="95"/>
        <v>Highroller Rosenheim 3</v>
      </c>
      <c r="BI92" s="168">
        <f t="shared" si="91"/>
        <v>2</v>
      </c>
      <c r="BJ92" s="169">
        <f t="shared" si="92"/>
        <v>353</v>
      </c>
      <c r="BK92" s="169">
        <f>IF(COUNTIF(AY92:BC92,"&gt;0")&lt;Spielorte!$A$23,0,AV92/Spielorte!$A$23)</f>
        <v>0</v>
      </c>
      <c r="BL92" s="169">
        <f t="shared" si="93"/>
        <v>0</v>
      </c>
      <c r="BM92" s="168">
        <f t="shared" si="94"/>
        <v>0</v>
      </c>
    </row>
    <row r="93" spans="1:65" ht="16.95" customHeight="1" thickBot="1">
      <c r="A93" s="405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30"/>
      <c r="H93" s="224"/>
      <c r="I93" s="242">
        <f t="shared" si="74"/>
        <v>0</v>
      </c>
      <c r="J93" s="430"/>
      <c r="K93" s="224"/>
      <c r="L93" s="242">
        <f t="shared" si="75"/>
        <v>0</v>
      </c>
      <c r="M93" s="430"/>
      <c r="N93" s="224"/>
      <c r="O93" s="242">
        <f t="shared" si="76"/>
        <v>0</v>
      </c>
      <c r="P93" s="430"/>
      <c r="Q93" s="224"/>
      <c r="R93" s="242">
        <f t="shared" si="77"/>
        <v>0</v>
      </c>
      <c r="S93" s="430"/>
      <c r="T93" s="224">
        <f t="shared" si="78"/>
        <v>0</v>
      </c>
      <c r="U93" s="242">
        <f t="shared" si="78"/>
        <v>0</v>
      </c>
      <c r="V93" s="402"/>
      <c r="W93" s="79"/>
      <c r="X93" s="79"/>
      <c r="Y93" s="79"/>
      <c r="Z93" s="79"/>
      <c r="AA93" s="79"/>
      <c r="AB93" s="79"/>
      <c r="AL93" s="169">
        <f>IF(AU93=0,0,IFERROR(INDEX(RanglisteST5!K:K,MATCH(AU93,RanglisteST5!A:A,0)),0))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0</v>
      </c>
      <c r="BH93" s="169" t="str">
        <f t="shared" si="95"/>
        <v>Highroller Rosenheim 3</v>
      </c>
      <c r="BI93" s="168">
        <f t="shared" si="91"/>
        <v>2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0</v>
      </c>
      <c r="BM93" s="168">
        <f t="shared" si="94"/>
        <v>0</v>
      </c>
    </row>
    <row r="94" spans="1:65" ht="27.75" customHeight="1" thickBot="1">
      <c r="B94" s="218" t="s">
        <v>1792</v>
      </c>
      <c r="C94" s="204"/>
      <c r="D94" s="219"/>
      <c r="E94" s="226">
        <f>ABS(SUM(E85:E87))+ABS(SUM(E88:E90))+ABS(SUM(E91:E93))</f>
        <v>346</v>
      </c>
      <c r="F94" s="225">
        <f>ABS(SUM(F85:F87))+ABS(SUM(F88:F90))+ABS(SUM(F91:F93))</f>
        <v>449</v>
      </c>
      <c r="G94" s="81">
        <f>IF(F94+E103=0,0,IF(F94=E103,Spielorte!$A$31/2,IF(F94&gt;E103,Spielorte!$A$31,0)))</f>
        <v>0</v>
      </c>
      <c r="H94" s="226">
        <f>ABS(SUM(H85:H87))+ABS(SUM(H88:H90))+ABS(SUM(H91:H93))</f>
        <v>365</v>
      </c>
      <c r="I94" s="225">
        <f>ABS(SUM(I85:I87))+ABS(SUM(I88:I90))+ABS(SUM(I91:I93))</f>
        <v>468</v>
      </c>
      <c r="J94" s="81">
        <f>IF(I94+H103=0,0,IF(I94=H103,Spielorte!$A$31/2,IF(I94&gt;H103,Spielorte!$A$31,0)))</f>
        <v>2</v>
      </c>
      <c r="K94" s="226">
        <f>ABS(SUM(K85:K87))+ABS(SUM(K88:K90))+ABS(SUM(K91:K93))</f>
        <v>349</v>
      </c>
      <c r="L94" s="225">
        <f>ABS(SUM(L85:L87))+ABS(SUM(L88:L90))+ABS(SUM(L91:L93))</f>
        <v>457</v>
      </c>
      <c r="M94" s="81">
        <f>IF(L94+K103=0,0,IF(L94=K103,Spielorte!$A$31/2,IF(L94&gt;K103,Spielorte!$A$31,0)))</f>
        <v>0</v>
      </c>
      <c r="N94" s="226">
        <f>ABS(SUM(N85:N87))+ABS(SUM(N88:N90))+ABS(SUM(N91:N93))</f>
        <v>361</v>
      </c>
      <c r="O94" s="225">
        <f>ABS(SUM(O85:O87))+ABS(SUM(O88:O90))+ABS(SUM(O91:O93))</f>
        <v>464</v>
      </c>
      <c r="P94" s="81">
        <f>IF(O94+N103=0,0,IF(O94=N103,Spielorte!$A$31/2,IF(O94&gt;N103,Spielorte!$A$31,0)))</f>
        <v>2</v>
      </c>
      <c r="Q94" s="226">
        <f>ABS(SUM(Q85:Q87))+ABS(SUM(Q88:Q90))+ABS(SUM(Q91:Q93))</f>
        <v>384</v>
      </c>
      <c r="R94" s="225">
        <f>ABS(SUM(R85:R87))+ABS(SUM(R88:R90))+ABS(SUM(R91:R93))</f>
        <v>487</v>
      </c>
      <c r="S94" s="81">
        <f>IF(R94+Q103=0,0,IF(R94=Q103,Spielorte!$A$31/2,IF(R94&gt;Q103,Spielorte!$A$31,0)))</f>
        <v>0</v>
      </c>
      <c r="T94" s="228">
        <f>SUM(E94+H94+K94+N94+Q94)</f>
        <v>1805</v>
      </c>
      <c r="U94" s="229">
        <f>SUM(F94+I94+L94+O94+R94)</f>
        <v>2325</v>
      </c>
      <c r="V94" s="12">
        <f>SUM(G94+J94+M94+P94+S94)</f>
        <v>4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>
      <c r="B95" s="230" t="s">
        <v>1803</v>
      </c>
      <c r="C95" s="1"/>
      <c r="D95" s="1"/>
      <c r="E95" s="1"/>
      <c r="F95" s="1"/>
      <c r="G95" s="61">
        <f>SUM(G85:G94)</f>
        <v>1</v>
      </c>
      <c r="H95" s="1"/>
      <c r="I95" s="1"/>
      <c r="J95" s="61">
        <f>SUM(J85:J94)</f>
        <v>4</v>
      </c>
      <c r="K95" s="1"/>
      <c r="L95" s="1"/>
      <c r="M95" s="61">
        <f>SUM(M85:M94)</f>
        <v>2</v>
      </c>
      <c r="N95" s="1"/>
      <c r="O95" s="1"/>
      <c r="P95" s="61">
        <f>SUM(P85:P94)</f>
        <v>4</v>
      </c>
      <c r="Q95" s="1"/>
      <c r="R95" s="1"/>
      <c r="S95" s="61">
        <f>SUM(S85:S94)</f>
        <v>1</v>
      </c>
      <c r="T95" s="1"/>
      <c r="U95" s="1"/>
      <c r="V95" s="61">
        <f>SUM(V85:V94)</f>
        <v>12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12</v>
      </c>
      <c r="AR95" s="167">
        <f>+T94</f>
        <v>1805</v>
      </c>
      <c r="AS95" s="167">
        <f>+U94</f>
        <v>2325</v>
      </c>
      <c r="AT95" s="168">
        <f>+B80</f>
        <v>4</v>
      </c>
      <c r="AW95" s="169">
        <f>SUM(AW79:AW94)</f>
        <v>15</v>
      </c>
      <c r="BD95" s="166">
        <f>+AS95/1000000+AQ95+AR95/1000000000000</f>
        <v>12.002325001805001</v>
      </c>
      <c r="BE95" s="168">
        <f>RANK(BD95,BD:BD)</f>
        <v>5</v>
      </c>
      <c r="BI95" s="168"/>
      <c r="BM95" s="168"/>
    </row>
    <row r="96" spans="1:65" ht="11.25" customHeight="1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5.45" hidden="1" customHeight="1">
      <c r="B97" s="231" t="s">
        <v>1790</v>
      </c>
      <c r="C97" s="210"/>
      <c r="D97" s="42"/>
      <c r="E97" s="434">
        <f>VLOOKUP($B80,Schlüssel!$A$5:$EK$12,83)</f>
        <v>2</v>
      </c>
      <c r="F97" s="435"/>
      <c r="G97" s="436"/>
      <c r="H97" s="434">
        <f>VLOOKUP($B80,Schlüssel!$A$5:$EK$12,84)</f>
        <v>8</v>
      </c>
      <c r="I97" s="435"/>
      <c r="J97" s="436"/>
      <c r="K97" s="434">
        <f>VLOOKUP($B80,Schlüssel!$A$5:$EK$12,85)</f>
        <v>6</v>
      </c>
      <c r="L97" s="435"/>
      <c r="M97" s="436"/>
      <c r="N97" s="434">
        <f>VLOOKUP($B80,Schlüssel!$A$5:$EK$12,86)</f>
        <v>1</v>
      </c>
      <c r="O97" s="435"/>
      <c r="P97" s="436"/>
      <c r="Q97" s="434">
        <f>VLOOKUP($B80,Schlüssel!$A$5:$EK$12,87)</f>
        <v>7</v>
      </c>
      <c r="R97" s="435"/>
      <c r="S97" s="436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>
      <c r="B98" s="3" t="s">
        <v>9</v>
      </c>
      <c r="C98" s="1"/>
      <c r="D98" s="1"/>
      <c r="E98" s="395" t="str">
        <f>VLOOKUP(E97,Schlüssel!$A$5:$K$12,2)</f>
        <v>Highroller Rosenheim 1</v>
      </c>
      <c r="F98" s="438"/>
      <c r="G98" s="396"/>
      <c r="H98" s="395" t="str">
        <f>VLOOKUP(H97,Schlüssel!$A$5:$K$12,2)</f>
        <v>EMAX 1</v>
      </c>
      <c r="I98" s="438"/>
      <c r="J98" s="396"/>
      <c r="K98" s="395" t="str">
        <f>VLOOKUP(K97,Schlüssel!$A$5:$K$12,2)</f>
        <v>Bowling Jugend Bayern 1</v>
      </c>
      <c r="L98" s="438"/>
      <c r="M98" s="396"/>
      <c r="N98" s="395" t="str">
        <f>VLOOKUP(N97,Schlüssel!$A$5:$K$12,2)</f>
        <v>Bad Tölz 1</v>
      </c>
      <c r="O98" s="438"/>
      <c r="P98" s="396"/>
      <c r="Q98" s="395" t="str">
        <f>VLOOKUP(Q97,Schlüssel!$A$5:$K$12,2)</f>
        <v>BK München 1</v>
      </c>
      <c r="R98" s="438"/>
      <c r="S98" s="396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" customHeight="1">
      <c r="B100" s="417" t="s">
        <v>2275</v>
      </c>
      <c r="C100" s="418"/>
      <c r="D100" s="419"/>
      <c r="E100" s="431">
        <f>ABS(INDEX(F:F,MATCH(E97,$B:$B,0)+5)+INDEX(F:F,MATCH(E97,$B:$B,0)+6)+INDEX(F:F,MATCH(E97,$B:$B,0)+7))</f>
        <v>179</v>
      </c>
      <c r="F100" s="432"/>
      <c r="G100" s="433"/>
      <c r="H100" s="431">
        <f>ABS(INDEX(I:I,MATCH(H97,$B:$B,0)+5)+INDEX(I:I,MATCH(H97,$B:$B,0)+6)+INDEX(I:I,MATCH(H97,$B:$B,0)+7))</f>
        <v>150</v>
      </c>
      <c r="I100" s="432"/>
      <c r="J100" s="433"/>
      <c r="K100" s="431">
        <f>ABS(INDEX(L:L,MATCH(K97,$B:$B,0)+5)+INDEX(L:L,MATCH(K97,$B:$B,0)+6)+INDEX(L:L,MATCH(K97,$B:$B,0)+7))</f>
        <v>154</v>
      </c>
      <c r="L100" s="432"/>
      <c r="M100" s="433"/>
      <c r="N100" s="431">
        <f>ABS(INDEX(O:O,MATCH(N97,$B:$B,0)+5)+INDEX(O:O,MATCH(N97,$B:$B,0)+6)+INDEX(O:O,MATCH(N97,$B:$B,0)+7))</f>
        <v>154</v>
      </c>
      <c r="O100" s="432"/>
      <c r="P100" s="433"/>
      <c r="Q100" s="431">
        <f>ABS(INDEX(R:R,MATCH(Q97,$B:$B,0)+5)+INDEX(R:R,MATCH(Q97,$B:$B,0)+6)+INDEX(R:R,MATCH(Q97,$B:$B,0)+7))</f>
        <v>237</v>
      </c>
      <c r="R100" s="432"/>
      <c r="S100" s="433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" customHeight="1">
      <c r="B101" s="417" t="s">
        <v>2276</v>
      </c>
      <c r="C101" s="418"/>
      <c r="D101" s="419"/>
      <c r="E101" s="424">
        <f>ABS(INDEX(F:F,MATCH(E97,$B:$B,0)+8)+INDEX(F:F,MATCH(E97,$B:$B,0)+9)+INDEX(F:F,MATCH(E97,$B:$B,0)+10))</f>
        <v>131</v>
      </c>
      <c r="F101" s="425"/>
      <c r="G101" s="426"/>
      <c r="H101" s="424">
        <f>ABS(INDEX(I:I,MATCH(H97,$B:$B,0)+8)+INDEX(I:I,MATCH(H97,$B:$B,0)+9)+INDEX(I:I,MATCH(H97,$B:$B,0)+10))</f>
        <v>135</v>
      </c>
      <c r="I101" s="425"/>
      <c r="J101" s="426"/>
      <c r="K101" s="424">
        <f>ABS(INDEX(L:L,MATCH(K97,$B:$B,0)+8)+INDEX(L:L,MATCH(K97,$B:$B,0)+9)+INDEX(L:L,MATCH(K97,$B:$B,0)+10))</f>
        <v>127</v>
      </c>
      <c r="L101" s="425"/>
      <c r="M101" s="426"/>
      <c r="N101" s="424">
        <f>ABS(INDEX(O:O,MATCH(N97,$B:$B,0)+8)+INDEX(O:O,MATCH(N97,$B:$B,0)+9)+INDEX(O:O,MATCH(N97,$B:$B,0)+10))</f>
        <v>113</v>
      </c>
      <c r="O101" s="425"/>
      <c r="P101" s="426"/>
      <c r="Q101" s="424">
        <f>ABS(INDEX(R:R,MATCH(Q97,$B:$B,0)+8)+INDEX(R:R,MATCH(Q97,$B:$B,0)+9)+INDEX(R:R,MATCH(Q97,$B:$B,0)+10))</f>
        <v>165</v>
      </c>
      <c r="R101" s="425"/>
      <c r="S101" s="426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" customHeight="1">
      <c r="B102" s="417" t="s">
        <v>2277</v>
      </c>
      <c r="C102" s="418"/>
      <c r="D102" s="419"/>
      <c r="E102" s="424">
        <f>ABS(INDEX(F:F,MATCH(E97,$B:$B,0)+11)+INDEX(F:F,MATCH(E97,$B:$B,0)+12)+INDEX(F:F,MATCH(E97,$B:$B,0)+13))</f>
        <v>150</v>
      </c>
      <c r="F102" s="425"/>
      <c r="G102" s="426"/>
      <c r="H102" s="424">
        <f>ABS(INDEX(I:I,MATCH(H97,$B:$B,0)+11)+INDEX(I:I,MATCH(H97,$B:$B,0)+12)+INDEX(I:I,MATCH(H97,$B:$B,0)+13))</f>
        <v>171</v>
      </c>
      <c r="I102" s="425"/>
      <c r="J102" s="426"/>
      <c r="K102" s="424">
        <f>ABS(INDEX(L:L,MATCH(K97,$B:$B,0)+11)+INDEX(L:L,MATCH(K97,$B:$B,0)+12)+INDEX(L:L,MATCH(K97,$B:$B,0)+13))</f>
        <v>197</v>
      </c>
      <c r="L102" s="425"/>
      <c r="M102" s="426"/>
      <c r="N102" s="424">
        <f>ABS(INDEX(O:O,MATCH(N97,$B:$B,0)+11)+INDEX(O:O,MATCH(N97,$B:$B,0)+12)+INDEX(O:O,MATCH(N97,$B:$B,0)+13))</f>
        <v>140</v>
      </c>
      <c r="O102" s="425"/>
      <c r="P102" s="426"/>
      <c r="Q102" s="424">
        <f>ABS(INDEX(R:R,MATCH(Q97,$B:$B,0)+11)+INDEX(R:R,MATCH(Q97,$B:$B,0)+12)+INDEX(R:R,MATCH(Q97,$B:$B,0)+13))</f>
        <v>202</v>
      </c>
      <c r="R102" s="425"/>
      <c r="S102" s="426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" customHeight="1">
      <c r="B103" s="420" t="s">
        <v>2278</v>
      </c>
      <c r="C103" s="421"/>
      <c r="D103" s="422"/>
      <c r="E103" s="407">
        <f>SUM(E100:E102)</f>
        <v>460</v>
      </c>
      <c r="F103" s="423"/>
      <c r="G103" s="408"/>
      <c r="H103" s="407">
        <f>SUM(H100:H102)</f>
        <v>456</v>
      </c>
      <c r="I103" s="423"/>
      <c r="J103" s="408"/>
      <c r="K103" s="407">
        <f>SUM(K100:K102)</f>
        <v>478</v>
      </c>
      <c r="L103" s="423"/>
      <c r="M103" s="408"/>
      <c r="N103" s="407">
        <f>SUM(N100:N102)</f>
        <v>407</v>
      </c>
      <c r="O103" s="423"/>
      <c r="P103" s="408"/>
      <c r="Q103" s="407">
        <f>SUM(Q100:Q102)</f>
        <v>604</v>
      </c>
      <c r="R103" s="423"/>
      <c r="S103" s="408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>
      <c r="A105" s="255"/>
      <c r="B105" s="7" t="s">
        <v>1802</v>
      </c>
      <c r="C105" s="24"/>
      <c r="D105" s="24"/>
      <c r="E105" s="35" t="s">
        <v>1786</v>
      </c>
      <c r="F105" s="35"/>
      <c r="G105" s="427" t="str">
        <f>Schlüssel!$C$1</f>
        <v>Landesliga Jugend</v>
      </c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  <c r="S105" s="406">
        <f>Schlüssel!$CO$1</f>
        <v>45794</v>
      </c>
      <c r="T105" s="406"/>
      <c r="U105" s="406"/>
      <c r="V105" s="406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>
      <c r="A106" s="53"/>
      <c r="B106" s="54">
        <v>5</v>
      </c>
      <c r="E106" s="35" t="s">
        <v>1787</v>
      </c>
      <c r="F106" s="35"/>
      <c r="G106" s="413" t="str">
        <f>Schlüssel!$CE$2</f>
        <v>Olching 5005 Bowling</v>
      </c>
      <c r="H106" s="413"/>
      <c r="I106" s="413"/>
      <c r="J106" s="413"/>
      <c r="K106" s="413"/>
      <c r="L106" s="413"/>
      <c r="M106" s="413"/>
      <c r="N106" s="413"/>
      <c r="O106" s="413"/>
      <c r="P106" s="66"/>
      <c r="Q106" s="411" t="s">
        <v>1785</v>
      </c>
      <c r="R106" s="412"/>
      <c r="S106" s="38">
        <v>5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>
      <c r="B107" s="414" t="str">
        <f>VLOOKUP(B106,Schlüssel!$A$5:$B$12,2)</f>
        <v>Berchtesgaden 1</v>
      </c>
      <c r="C107" s="415"/>
      <c r="D107" s="415"/>
      <c r="E107" s="415"/>
      <c r="F107" s="415"/>
      <c r="G107" s="416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3.8" hidden="1" thickBot="1">
      <c r="A108" s="6"/>
      <c r="B108" s="7"/>
      <c r="C108" s="43"/>
      <c r="D108" s="43"/>
      <c r="E108" s="162" t="s">
        <v>10</v>
      </c>
      <c r="F108" s="220"/>
      <c r="G108" s="159">
        <f>VLOOKUP(B106,Schlüssel!$A$5:$EK$12,93)</f>
        <v>2</v>
      </c>
      <c r="H108" s="161" t="s">
        <v>10</v>
      </c>
      <c r="I108" s="220"/>
      <c r="J108" s="159">
        <f>VLOOKUP(B106,Schlüssel!$A$5:$EK$12,94)</f>
        <v>3</v>
      </c>
      <c r="K108" s="161" t="s">
        <v>10</v>
      </c>
      <c r="L108" s="220"/>
      <c r="M108" s="159">
        <f>VLOOKUP(B106,Schlüssel!$A$5:$EK$12,95)</f>
        <v>2</v>
      </c>
      <c r="N108" s="161" t="s">
        <v>10</v>
      </c>
      <c r="O108" s="220"/>
      <c r="P108" s="159">
        <f>VLOOKUP(B106,Schlüssel!$A$5:$EK$12,96)</f>
        <v>7</v>
      </c>
      <c r="Q108" s="161" t="s">
        <v>10</v>
      </c>
      <c r="R108" s="220"/>
      <c r="S108" s="160">
        <f>VLOOKUP(B106,Schlüssel!$A$5:$EK$12,97)</f>
        <v>1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>
      <c r="B109" s="44" t="s">
        <v>1</v>
      </c>
      <c r="C109" s="208"/>
      <c r="D109" s="217"/>
      <c r="E109" s="423" t="s">
        <v>1793</v>
      </c>
      <c r="F109" s="423"/>
      <c r="G109" s="408"/>
      <c r="H109" s="407" t="s">
        <v>1794</v>
      </c>
      <c r="I109" s="423"/>
      <c r="J109" s="408"/>
      <c r="K109" s="407" t="s">
        <v>1795</v>
      </c>
      <c r="L109" s="423"/>
      <c r="M109" s="408"/>
      <c r="N109" s="407" t="s">
        <v>1796</v>
      </c>
      <c r="O109" s="423"/>
      <c r="P109" s="408"/>
      <c r="Q109" s="407" t="s">
        <v>1797</v>
      </c>
      <c r="R109" s="423"/>
      <c r="S109" s="437"/>
      <c r="T109" s="439" t="s">
        <v>1792</v>
      </c>
      <c r="U109" s="440"/>
      <c r="V109" s="410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6.95" customHeight="1">
      <c r="A111" s="403" t="s">
        <v>0</v>
      </c>
      <c r="B111" s="58" t="str">
        <f>IF(C111=0,"",VLOOKUP(C111,Starter!$A$1:$D$196,2,FALSE))</f>
        <v>Ruppert, Raja</v>
      </c>
      <c r="C111" s="232">
        <v>38937</v>
      </c>
      <c r="D111" s="238">
        <f t="shared" ref="D111:D119" si="96">+AP111</f>
        <v>21</v>
      </c>
      <c r="E111" s="221">
        <v>89</v>
      </c>
      <c r="F111" s="240">
        <f t="shared" ref="F111:F119" si="97">IF(E111&gt;0,E111+$D111,0)</f>
        <v>110</v>
      </c>
      <c r="G111" s="428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8">
        <f>IF(SUM(I111:I113)+H126=0,0,IF(ABS(SUM(I111:I113))=H126,Spielorte!$A$30/2,IF(ABS(SUM(I111:I113))&gt;H126,Spielorte!$A$30,0)))</f>
        <v>1</v>
      </c>
      <c r="K111" s="221"/>
      <c r="L111" s="240">
        <f t="shared" ref="L111:L119" si="99">IF(K111&gt;0,K111+$D111,0)</f>
        <v>0</v>
      </c>
      <c r="M111" s="428">
        <f>IF(SUM(L111:L113)+K126=0,0,IF(ABS(SUM(L111:L113))=K126,Spielorte!$A$30/2,IF(ABS(SUM(L111:L113))&gt;K126,Spielorte!$A$30,0)))</f>
        <v>0.5</v>
      </c>
      <c r="N111" s="221"/>
      <c r="O111" s="240">
        <f t="shared" ref="O111:O119" si="100">IF(N111&gt;0,N111+$D111,0)</f>
        <v>0</v>
      </c>
      <c r="P111" s="428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8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89</v>
      </c>
      <c r="U111" s="240">
        <f t="shared" si="102"/>
        <v>110</v>
      </c>
      <c r="V111" s="400">
        <f>SUM(G111+J111+M111+P111+S111)</f>
        <v>1.5</v>
      </c>
      <c r="W111" s="79"/>
      <c r="X111" s="79"/>
      <c r="Y111" s="79"/>
      <c r="Z111" s="79"/>
      <c r="AA111" s="79"/>
      <c r="AB111" s="79"/>
      <c r="AL111" s="169">
        <f>IF(AU111=0,0,IFERROR(INDEX(RanglisteST5!K:K,MATCH(AU111,RanglisteST5!A:A,0)),0))</f>
        <v>133.38</v>
      </c>
      <c r="AM111" s="169">
        <f>IF(AU111=0,0,SUMIF(AU111:AU119,AU111,AV111:AV119))</f>
        <v>379</v>
      </c>
      <c r="AN111" s="169">
        <f>IF(AU111=0,0,SUMIF(AU111:AU119,AU111,AW111:AW119))</f>
        <v>3</v>
      </c>
      <c r="AO111" s="169">
        <f t="shared" ref="AO111:AO119" si="103">IFERROR(AM111/AN111,0)</f>
        <v>126.33333333333333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21</v>
      </c>
      <c r="AQ111" s="166"/>
      <c r="AR111" s="167"/>
      <c r="AS111" s="167"/>
      <c r="AT111" s="168"/>
      <c r="AU111" s="171">
        <f t="shared" ref="AU111:AU119" si="104">C111</f>
        <v>38937</v>
      </c>
      <c r="AV111" s="167">
        <f t="shared" ref="AV111:AV119" si="105">T111</f>
        <v>89</v>
      </c>
      <c r="AW111" s="169">
        <f t="shared" ref="AW111:AW119" si="106">COUNT(AY111:BC111)</f>
        <v>1</v>
      </c>
      <c r="AX111" s="169">
        <f t="shared" ref="AX111:AX119" si="107">COUNTIF(AY111:BC111,"&gt;0")</f>
        <v>1</v>
      </c>
      <c r="AY111" s="169">
        <f t="shared" ref="AY111:AY119" si="108">IF(E111=0,"",E111)</f>
        <v>89</v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89</v>
      </c>
      <c r="BG111" s="169">
        <f t="shared" ref="BG111:BG119" si="114">IF(BF111&lt;MAX(BF:BF),0,BF111+ROW()/1000000000)</f>
        <v>0</v>
      </c>
      <c r="BH111" s="169" t="str">
        <f>+B107</f>
        <v>Berchtesgaden 1</v>
      </c>
      <c r="BI111" s="168">
        <f t="shared" ref="BI111:BI119" si="115">RANK(BG111,BG:BG)</f>
        <v>2</v>
      </c>
      <c r="BJ111" s="169">
        <f t="shared" ref="BJ111:BJ119" si="116">SUMIF(AY111:BC111,"&gt;0")</f>
        <v>89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0</v>
      </c>
      <c r="BM111" s="168">
        <f t="shared" ref="BM111:BM119" si="118">IF(BL111=0,0,RANK(BL111,BL:BL))</f>
        <v>0</v>
      </c>
    </row>
    <row r="112" spans="1:65" ht="16.95" customHeight="1">
      <c r="A112" s="404"/>
      <c r="B112" s="58" t="str">
        <f>IF(C112=0,"",VLOOKUP(C112,Starter!$A$1:$D$196,2,FALSE))</f>
        <v>Labs, Leon</v>
      </c>
      <c r="C112" s="233">
        <v>38865</v>
      </c>
      <c r="D112" s="239">
        <f t="shared" si="96"/>
        <v>41</v>
      </c>
      <c r="E112" s="222"/>
      <c r="F112" s="241">
        <f t="shared" si="97"/>
        <v>0</v>
      </c>
      <c r="G112" s="429"/>
      <c r="H112" s="222">
        <v>124</v>
      </c>
      <c r="I112" s="241">
        <f t="shared" si="98"/>
        <v>165</v>
      </c>
      <c r="J112" s="429"/>
      <c r="K112" s="222">
        <v>136</v>
      </c>
      <c r="L112" s="241">
        <f t="shared" si="99"/>
        <v>177</v>
      </c>
      <c r="M112" s="429"/>
      <c r="N112" s="222">
        <v>122</v>
      </c>
      <c r="O112" s="241">
        <f t="shared" si="100"/>
        <v>163</v>
      </c>
      <c r="P112" s="429"/>
      <c r="Q112" s="222">
        <v>104</v>
      </c>
      <c r="R112" s="241">
        <f t="shared" si="101"/>
        <v>145</v>
      </c>
      <c r="S112" s="429"/>
      <c r="T112" s="222">
        <f t="shared" si="102"/>
        <v>486</v>
      </c>
      <c r="U112" s="241">
        <f t="shared" si="102"/>
        <v>650</v>
      </c>
      <c r="V112" s="401"/>
      <c r="W112" s="79"/>
      <c r="X112" s="79"/>
      <c r="Y112" s="79"/>
      <c r="Z112" s="79"/>
      <c r="AA112" s="79"/>
      <c r="AB112" s="79"/>
      <c r="AL112" s="169">
        <f>IF(AU112=0,0,IFERROR(INDEX(RanglisteST5!K:K,MATCH(AU112,RanglisteST5!A:A,0)),0))</f>
        <v>108.8</v>
      </c>
      <c r="AM112" s="169">
        <f>IF(AU112=0,0,SUMIF(AU111:AU119,AU112,AV111:AV119))</f>
        <v>486</v>
      </c>
      <c r="AN112" s="169">
        <f>IF(AU112=0,0,SUMIF(AU111:AU119,AU112,AW111:AW119))</f>
        <v>4</v>
      </c>
      <c r="AO112" s="169">
        <f t="shared" si="103"/>
        <v>121.5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41</v>
      </c>
      <c r="AQ112" s="166"/>
      <c r="AR112" s="167"/>
      <c r="AS112" s="167"/>
      <c r="AT112" s="168"/>
      <c r="AU112" s="171">
        <f t="shared" si="104"/>
        <v>38865</v>
      </c>
      <c r="AV112" s="167">
        <f t="shared" si="105"/>
        <v>486</v>
      </c>
      <c r="AW112" s="169">
        <f t="shared" si="106"/>
        <v>4</v>
      </c>
      <c r="AX112" s="169">
        <f t="shared" si="107"/>
        <v>4</v>
      </c>
      <c r="AY112" s="169" t="str">
        <f t="shared" si="108"/>
        <v/>
      </c>
      <c r="AZ112" s="169">
        <f t="shared" si="109"/>
        <v>124</v>
      </c>
      <c r="BA112" s="169">
        <f t="shared" si="110"/>
        <v>136</v>
      </c>
      <c r="BB112" s="169">
        <f t="shared" si="111"/>
        <v>122</v>
      </c>
      <c r="BC112" s="169">
        <f t="shared" si="112"/>
        <v>104</v>
      </c>
      <c r="BD112" s="170"/>
      <c r="BE112" s="168"/>
      <c r="BF112" s="169">
        <f t="shared" si="113"/>
        <v>136</v>
      </c>
      <c r="BG112" s="169">
        <f t="shared" si="114"/>
        <v>0</v>
      </c>
      <c r="BH112" s="169" t="str">
        <f t="shared" ref="BH112:BH119" si="119">+BH111</f>
        <v>Berchtesgaden 1</v>
      </c>
      <c r="BI112" s="168">
        <f t="shared" si="115"/>
        <v>2</v>
      </c>
      <c r="BJ112" s="169">
        <f t="shared" si="116"/>
        <v>486</v>
      </c>
      <c r="BK112" s="169">
        <f>IF(COUNTIF(AY112:BC112,"&gt;0")&lt;Spielorte!$A$23,0,AV112/Spielorte!$A$23)</f>
        <v>0</v>
      </c>
      <c r="BL112" s="169">
        <f t="shared" si="117"/>
        <v>0</v>
      </c>
      <c r="BM112" s="168">
        <f t="shared" si="118"/>
        <v>0</v>
      </c>
    </row>
    <row r="113" spans="1:65" ht="16.95" customHeight="1" thickBot="1">
      <c r="A113" s="405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30"/>
      <c r="H113" s="224"/>
      <c r="I113" s="242">
        <f t="shared" si="98"/>
        <v>0</v>
      </c>
      <c r="J113" s="430"/>
      <c r="K113" s="224"/>
      <c r="L113" s="242">
        <f t="shared" si="99"/>
        <v>0</v>
      </c>
      <c r="M113" s="430"/>
      <c r="N113" s="224"/>
      <c r="O113" s="242">
        <f t="shared" si="100"/>
        <v>0</v>
      </c>
      <c r="P113" s="430"/>
      <c r="Q113" s="224"/>
      <c r="R113" s="242">
        <f t="shared" si="101"/>
        <v>0</v>
      </c>
      <c r="S113" s="430"/>
      <c r="T113" s="224">
        <f t="shared" si="102"/>
        <v>0</v>
      </c>
      <c r="U113" s="242">
        <f t="shared" si="102"/>
        <v>0</v>
      </c>
      <c r="V113" s="402"/>
      <c r="W113" s="79"/>
      <c r="X113" s="79"/>
      <c r="Y113" s="79"/>
      <c r="Z113" s="79"/>
      <c r="AA113" s="79"/>
      <c r="AB113" s="79"/>
      <c r="AL113" s="169">
        <f>IF(AU113=0,0,IFERROR(INDEX(RanglisteST5!K:K,MATCH(AU113,RanglisteST5!A:A,0)),0))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0</v>
      </c>
      <c r="BH113" s="169" t="str">
        <f t="shared" si="119"/>
        <v>Berchtesgaden 1</v>
      </c>
      <c r="BI113" s="168">
        <f t="shared" si="115"/>
        <v>2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0</v>
      </c>
      <c r="BM113" s="168">
        <f t="shared" si="118"/>
        <v>0</v>
      </c>
    </row>
    <row r="114" spans="1:65" ht="16.95" customHeight="1">
      <c r="A114" s="403" t="s">
        <v>2</v>
      </c>
      <c r="B114" s="58" t="str">
        <f>IF(C114=0,"",VLOOKUP(C114,Starter!$A$1:$D$196,2,FALSE))</f>
        <v>Wieser, Lukas</v>
      </c>
      <c r="C114" s="235">
        <v>38714</v>
      </c>
      <c r="D114" s="238">
        <f t="shared" si="96"/>
        <v>0</v>
      </c>
      <c r="E114" s="221">
        <v>163</v>
      </c>
      <c r="F114" s="240">
        <f t="shared" si="97"/>
        <v>163</v>
      </c>
      <c r="G114" s="428">
        <f>IF(SUM(F114:F116)+E127=0,0,IF(ABS(SUM(F114:F116))=E127,Spielorte!$A$30/2,IF(ABS(SUM(F114:F116))&gt;E127,Spielorte!$A$30,0)))</f>
        <v>0</v>
      </c>
      <c r="H114" s="221">
        <v>245</v>
      </c>
      <c r="I114" s="240">
        <f t="shared" si="98"/>
        <v>245</v>
      </c>
      <c r="J114" s="428">
        <f>IF(SUM(I114:I116)+H127=0,0,IF(ABS(SUM(I114:I116))=H127,Spielorte!$A$30/2,IF(ABS(SUM(I114:I116))&gt;H127,Spielorte!$A$30,0)))</f>
        <v>1</v>
      </c>
      <c r="K114" s="221">
        <v>120</v>
      </c>
      <c r="L114" s="240">
        <f t="shared" si="99"/>
        <v>120</v>
      </c>
      <c r="M114" s="428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8">
        <f>IF(SUM(O114:O116)+N127=0,0,IF(ABS(SUM(O114:O116))=N127,Spielorte!$A$30/2,IF(ABS(SUM(O114:O116))&gt;N127,Spielorte!$A$30,0)))</f>
        <v>1</v>
      </c>
      <c r="Q114" s="221"/>
      <c r="R114" s="240">
        <f t="shared" si="101"/>
        <v>0</v>
      </c>
      <c r="S114" s="428">
        <f>IF(SUM(R114:R116)+Q127=0,0,IF(ABS(SUM(R114:R116))=Q127,Spielorte!$A$30/2,IF(ABS(SUM(R114:R116))&gt;Q127,Spielorte!$A$30,0)))</f>
        <v>1</v>
      </c>
      <c r="T114" s="221">
        <f t="shared" si="102"/>
        <v>528</v>
      </c>
      <c r="U114" s="240">
        <f t="shared" si="102"/>
        <v>528</v>
      </c>
      <c r="V114" s="400">
        <f>SUM(G114+J114+M114+P114+S114)</f>
        <v>3</v>
      </c>
      <c r="W114" s="79"/>
      <c r="X114" s="79"/>
      <c r="Y114" s="79"/>
      <c r="Z114" s="79"/>
      <c r="AA114" s="79"/>
      <c r="AB114" s="79"/>
      <c r="AL114" s="169">
        <f>IF(AU114=0,0,IFERROR(INDEX(RanglisteST5!K:K,MATCH(AU114,RanglisteST5!A:A,0)),0))</f>
        <v>162.78</v>
      </c>
      <c r="AM114" s="169">
        <f>IF(AU114=0,0,SUMIF(AU111:AU119,AU114,AV111:AV119))</f>
        <v>670</v>
      </c>
      <c r="AN114" s="169">
        <f>IF(AU114=0,0,SUMIF(AU111:AU119,AU114,AW111:AW119))</f>
        <v>4</v>
      </c>
      <c r="AO114" s="169">
        <f t="shared" si="103"/>
        <v>167.5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38714</v>
      </c>
      <c r="AV114" s="167">
        <f t="shared" si="105"/>
        <v>528</v>
      </c>
      <c r="AW114" s="169">
        <f t="shared" si="106"/>
        <v>3</v>
      </c>
      <c r="AX114" s="169">
        <f t="shared" si="107"/>
        <v>3</v>
      </c>
      <c r="AY114" s="169">
        <f t="shared" si="108"/>
        <v>163</v>
      </c>
      <c r="AZ114" s="169">
        <f t="shared" si="109"/>
        <v>245</v>
      </c>
      <c r="BA114" s="169">
        <f t="shared" si="110"/>
        <v>120</v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245</v>
      </c>
      <c r="BG114" s="169">
        <f t="shared" si="114"/>
        <v>0</v>
      </c>
      <c r="BH114" s="169" t="str">
        <f t="shared" si="119"/>
        <v>Berchtesgaden 1</v>
      </c>
      <c r="BI114" s="168">
        <f t="shared" si="115"/>
        <v>2</v>
      </c>
      <c r="BJ114" s="169">
        <f t="shared" si="116"/>
        <v>528</v>
      </c>
      <c r="BK114" s="169">
        <f>IF(COUNTIF(AY114:BC114,"&gt;0")&lt;Spielorte!$A$23,0,AV114/Spielorte!$A$23)</f>
        <v>0</v>
      </c>
      <c r="BL114" s="169">
        <f t="shared" si="117"/>
        <v>0</v>
      </c>
      <c r="BM114" s="168">
        <f t="shared" si="118"/>
        <v>0</v>
      </c>
    </row>
    <row r="115" spans="1:65" ht="16.95" customHeight="1">
      <c r="A115" s="404"/>
      <c r="B115" s="58" t="str">
        <f>IF(C115=0,"",VLOOKUP(C115,Starter!$A$1:$D$196,2,FALSE))</f>
        <v>Ruppert, Raja</v>
      </c>
      <c r="C115" s="233">
        <v>38937</v>
      </c>
      <c r="D115" s="239">
        <f t="shared" si="96"/>
        <v>21</v>
      </c>
      <c r="E115" s="222"/>
      <c r="F115" s="241">
        <f t="shared" si="97"/>
        <v>0</v>
      </c>
      <c r="G115" s="429"/>
      <c r="H115" s="222"/>
      <c r="I115" s="241">
        <f t="shared" si="98"/>
        <v>0</v>
      </c>
      <c r="J115" s="429"/>
      <c r="K115" s="222"/>
      <c r="L115" s="241">
        <f t="shared" si="99"/>
        <v>0</v>
      </c>
      <c r="M115" s="429"/>
      <c r="N115" s="222">
        <v>147</v>
      </c>
      <c r="O115" s="241">
        <f t="shared" si="100"/>
        <v>168</v>
      </c>
      <c r="P115" s="429"/>
      <c r="Q115" s="222">
        <v>143</v>
      </c>
      <c r="R115" s="241">
        <f t="shared" si="101"/>
        <v>164</v>
      </c>
      <c r="S115" s="429"/>
      <c r="T115" s="222">
        <f t="shared" si="102"/>
        <v>290</v>
      </c>
      <c r="U115" s="241">
        <f t="shared" si="102"/>
        <v>332</v>
      </c>
      <c r="V115" s="401"/>
      <c r="W115" s="79"/>
      <c r="X115" s="79"/>
      <c r="Y115" s="79"/>
      <c r="Z115" s="79"/>
      <c r="AA115" s="79"/>
      <c r="AB115" s="79"/>
      <c r="AL115" s="169">
        <f>IF(AU115=0,0,IFERROR(INDEX(RanglisteST5!K:K,MATCH(AU115,RanglisteST5!A:A,0)),0))</f>
        <v>133.38</v>
      </c>
      <c r="AM115" s="169">
        <f>IF(AU115=0,0,SUMIF(AU111:AU119,AU115,AV111:AV119))</f>
        <v>379</v>
      </c>
      <c r="AN115" s="169">
        <f>IF(AU115=0,0,SUMIF(AU111:AU119,AU115,AW111:AW119))</f>
        <v>3</v>
      </c>
      <c r="AO115" s="169">
        <f t="shared" si="103"/>
        <v>126.33333333333333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21</v>
      </c>
      <c r="AQ115" s="166"/>
      <c r="AR115" s="167"/>
      <c r="AS115" s="167"/>
      <c r="AT115" s="168"/>
      <c r="AU115" s="171">
        <f t="shared" si="104"/>
        <v>38937</v>
      </c>
      <c r="AV115" s="167">
        <f t="shared" si="105"/>
        <v>290</v>
      </c>
      <c r="AW115" s="169">
        <f t="shared" si="106"/>
        <v>2</v>
      </c>
      <c r="AX115" s="169">
        <f t="shared" si="107"/>
        <v>2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>
        <f t="shared" si="111"/>
        <v>147</v>
      </c>
      <c r="BC115" s="169">
        <f t="shared" si="112"/>
        <v>143</v>
      </c>
      <c r="BD115" s="170"/>
      <c r="BE115" s="168"/>
      <c r="BF115" s="169">
        <f t="shared" si="113"/>
        <v>147</v>
      </c>
      <c r="BG115" s="169">
        <f t="shared" si="114"/>
        <v>0</v>
      </c>
      <c r="BH115" s="169" t="str">
        <f t="shared" si="119"/>
        <v>Berchtesgaden 1</v>
      </c>
      <c r="BI115" s="168">
        <f t="shared" si="115"/>
        <v>2</v>
      </c>
      <c r="BJ115" s="169">
        <f t="shared" si="116"/>
        <v>290</v>
      </c>
      <c r="BK115" s="169">
        <f>IF(COUNTIF(AY115:BC115,"&gt;0")&lt;Spielorte!$A$23,0,AV115/Spielorte!$A$23)</f>
        <v>0</v>
      </c>
      <c r="BL115" s="169">
        <f t="shared" si="117"/>
        <v>0</v>
      </c>
      <c r="BM115" s="168">
        <f t="shared" si="118"/>
        <v>0</v>
      </c>
    </row>
    <row r="116" spans="1:65" ht="16.95" customHeight="1" thickBot="1">
      <c r="A116" s="405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30"/>
      <c r="H116" s="224"/>
      <c r="I116" s="242">
        <f t="shared" si="98"/>
        <v>0</v>
      </c>
      <c r="J116" s="430"/>
      <c r="K116" s="224"/>
      <c r="L116" s="242">
        <f t="shared" si="99"/>
        <v>0</v>
      </c>
      <c r="M116" s="430"/>
      <c r="N116" s="224"/>
      <c r="O116" s="242">
        <f t="shared" si="100"/>
        <v>0</v>
      </c>
      <c r="P116" s="430"/>
      <c r="Q116" s="224"/>
      <c r="R116" s="242">
        <f t="shared" si="101"/>
        <v>0</v>
      </c>
      <c r="S116" s="430"/>
      <c r="T116" s="224">
        <f t="shared" si="102"/>
        <v>0</v>
      </c>
      <c r="U116" s="242">
        <f t="shared" si="102"/>
        <v>0</v>
      </c>
      <c r="V116" s="402"/>
      <c r="W116" s="79"/>
      <c r="X116" s="79"/>
      <c r="Y116" s="79"/>
      <c r="Z116" s="79"/>
      <c r="AA116" s="79"/>
      <c r="AB116" s="79"/>
      <c r="AL116" s="169">
        <f>IF(AU116=0,0,IFERROR(INDEX(RanglisteST5!K:K,MATCH(AU116,RanglisteST5!A:A,0)),0))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0</v>
      </c>
      <c r="BH116" s="169" t="str">
        <f t="shared" si="119"/>
        <v>Berchtesgaden 1</v>
      </c>
      <c r="BI116" s="168">
        <f t="shared" si="115"/>
        <v>2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0</v>
      </c>
      <c r="BM116" s="168">
        <f t="shared" si="118"/>
        <v>0</v>
      </c>
    </row>
    <row r="117" spans="1:65" ht="16.95" customHeight="1">
      <c r="A117" s="403" t="s">
        <v>3</v>
      </c>
      <c r="B117" s="58" t="str">
        <f>IF(C117=0,"",VLOOKUP(C117,Starter!$A$1:$D$196,2,FALSE))</f>
        <v>Pittner, Gregor</v>
      </c>
      <c r="C117" s="235">
        <v>38819</v>
      </c>
      <c r="D117" s="238">
        <f t="shared" si="96"/>
        <v>31</v>
      </c>
      <c r="E117" s="221">
        <v>101</v>
      </c>
      <c r="F117" s="240">
        <f t="shared" si="97"/>
        <v>132</v>
      </c>
      <c r="G117" s="428">
        <f>IF(SUM(F117:F119)+E128=0,0,IF(ABS(SUM(F117:F119))=E128,Spielorte!$A$30/2,IF(ABS(SUM(F117:F119))&gt;E128,Spielorte!$A$30,0)))</f>
        <v>0</v>
      </c>
      <c r="H117" s="221">
        <v>124</v>
      </c>
      <c r="I117" s="240">
        <f t="shared" si="98"/>
        <v>155</v>
      </c>
      <c r="J117" s="428">
        <f>IF(SUM(I117:I119)+H128=0,0,IF(ABS(SUM(I117:I119))=H128,Spielorte!$A$30/2,IF(ABS(SUM(I117:I119))&gt;H128,Spielorte!$A$30,0)))</f>
        <v>1</v>
      </c>
      <c r="K117" s="221">
        <v>145</v>
      </c>
      <c r="L117" s="240">
        <f t="shared" si="99"/>
        <v>176</v>
      </c>
      <c r="M117" s="428">
        <f>IF(SUM(L117:L119)+K128=0,0,IF(ABS(SUM(L117:L119))=K128,Spielorte!$A$30/2,IF(ABS(SUM(L117:L119))&gt;K128,Spielorte!$A$30,0)))</f>
        <v>1</v>
      </c>
      <c r="N117" s="221">
        <v>169</v>
      </c>
      <c r="O117" s="240">
        <f t="shared" si="100"/>
        <v>200</v>
      </c>
      <c r="P117" s="428">
        <f>IF(SUM(O117:O119)+N128=0,0,IF(ABS(SUM(O117:O119))=N128,Spielorte!$A$30/2,IF(ABS(SUM(O117:O119))&gt;N128,Spielorte!$A$30,0)))</f>
        <v>1</v>
      </c>
      <c r="Q117" s="221"/>
      <c r="R117" s="240">
        <f t="shared" si="101"/>
        <v>0</v>
      </c>
      <c r="S117" s="428">
        <f>IF(SUM(R117:R119)+Q128=0,0,IF(ABS(SUM(R117:R119))=Q128,Spielorte!$A$30/2,IF(ABS(SUM(R117:R119))&gt;Q128,Spielorte!$A$30,0)))</f>
        <v>1</v>
      </c>
      <c r="T117" s="221">
        <f t="shared" si="102"/>
        <v>539</v>
      </c>
      <c r="U117" s="240">
        <f t="shared" si="102"/>
        <v>663</v>
      </c>
      <c r="V117" s="400">
        <f>SUM(G117+J117+M117+P117+S117)</f>
        <v>4</v>
      </c>
      <c r="W117" s="79"/>
      <c r="X117" s="79"/>
      <c r="Y117" s="79"/>
      <c r="Z117" s="79"/>
      <c r="AA117" s="79"/>
      <c r="AB117" s="79"/>
      <c r="AL117" s="169">
        <f>IF(AU117=0,0,IFERROR(INDEX(RanglisteST5!K:K,MATCH(AU117,RanglisteST5!A:A,0)),0))</f>
        <v>121.5</v>
      </c>
      <c r="AM117" s="169">
        <f>IF(AU117=0,0,SUMIF(AU111:AU119,AU117,AV111:AV119))</f>
        <v>539</v>
      </c>
      <c r="AN117" s="169">
        <f>IF(AU117=0,0,SUMIF(AU111:AU119,AU117,AW111:AW119))</f>
        <v>4</v>
      </c>
      <c r="AO117" s="169">
        <f t="shared" si="103"/>
        <v>134.75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31</v>
      </c>
      <c r="AQ117" s="166"/>
      <c r="AR117" s="167"/>
      <c r="AS117" s="167"/>
      <c r="AT117" s="168"/>
      <c r="AU117" s="171">
        <f t="shared" si="104"/>
        <v>38819</v>
      </c>
      <c r="AV117" s="167">
        <f t="shared" si="105"/>
        <v>539</v>
      </c>
      <c r="AW117" s="169">
        <f t="shared" si="106"/>
        <v>4</v>
      </c>
      <c r="AX117" s="169">
        <f t="shared" si="107"/>
        <v>4</v>
      </c>
      <c r="AY117" s="169">
        <f t="shared" si="108"/>
        <v>101</v>
      </c>
      <c r="AZ117" s="169">
        <f t="shared" si="109"/>
        <v>124</v>
      </c>
      <c r="BA117" s="169">
        <f t="shared" si="110"/>
        <v>145</v>
      </c>
      <c r="BB117" s="169">
        <f t="shared" si="111"/>
        <v>169</v>
      </c>
      <c r="BC117" s="169" t="str">
        <f t="shared" si="112"/>
        <v/>
      </c>
      <c r="BD117" s="170"/>
      <c r="BE117" s="168"/>
      <c r="BF117" s="169">
        <f t="shared" si="113"/>
        <v>169</v>
      </c>
      <c r="BG117" s="169">
        <f t="shared" si="114"/>
        <v>0</v>
      </c>
      <c r="BH117" s="169" t="str">
        <f t="shared" si="119"/>
        <v>Berchtesgaden 1</v>
      </c>
      <c r="BI117" s="168">
        <f t="shared" si="115"/>
        <v>2</v>
      </c>
      <c r="BJ117" s="169">
        <f t="shared" si="116"/>
        <v>539</v>
      </c>
      <c r="BK117" s="169">
        <f>IF(COUNTIF(AY117:BC117,"&gt;0")&lt;Spielorte!$A$23,0,AV117/Spielorte!$A$23)</f>
        <v>0</v>
      </c>
      <c r="BL117" s="169">
        <f t="shared" si="117"/>
        <v>0</v>
      </c>
      <c r="BM117" s="168">
        <f t="shared" si="118"/>
        <v>0</v>
      </c>
    </row>
    <row r="118" spans="1:65" ht="16.95" customHeight="1">
      <c r="A118" s="404"/>
      <c r="B118" s="58" t="str">
        <f>IF(C118=0,"",VLOOKUP(C118,Starter!$A$1:$D$196,2,FALSE))</f>
        <v>Wieser, Lukas</v>
      </c>
      <c r="C118" s="233">
        <v>38714</v>
      </c>
      <c r="D118" s="239">
        <f t="shared" si="96"/>
        <v>0</v>
      </c>
      <c r="E118" s="222"/>
      <c r="F118" s="241">
        <f t="shared" si="97"/>
        <v>0</v>
      </c>
      <c r="G118" s="429"/>
      <c r="H118" s="222"/>
      <c r="I118" s="241">
        <f t="shared" si="98"/>
        <v>0</v>
      </c>
      <c r="J118" s="429"/>
      <c r="K118" s="222"/>
      <c r="L118" s="241">
        <f t="shared" si="99"/>
        <v>0</v>
      </c>
      <c r="M118" s="429"/>
      <c r="N118" s="222"/>
      <c r="O118" s="241">
        <f t="shared" si="100"/>
        <v>0</v>
      </c>
      <c r="P118" s="429"/>
      <c r="Q118" s="222">
        <v>142</v>
      </c>
      <c r="R118" s="241">
        <f t="shared" si="101"/>
        <v>142</v>
      </c>
      <c r="S118" s="429"/>
      <c r="T118" s="222">
        <f t="shared" si="102"/>
        <v>142</v>
      </c>
      <c r="U118" s="241">
        <f t="shared" si="102"/>
        <v>142</v>
      </c>
      <c r="V118" s="401"/>
      <c r="W118" s="79"/>
      <c r="X118" s="79"/>
      <c r="Y118" s="79"/>
      <c r="Z118" s="79"/>
      <c r="AA118" s="79"/>
      <c r="AB118" s="79"/>
      <c r="AL118" s="169">
        <f>IF(AU118=0,0,IFERROR(INDEX(RanglisteST5!K:K,MATCH(AU118,RanglisteST5!A:A,0)),0))</f>
        <v>162.78</v>
      </c>
      <c r="AM118" s="169">
        <f>IF(AU118=0,0,SUMIF(AU111:AU119,AU118,AV111:AV119))</f>
        <v>670</v>
      </c>
      <c r="AN118" s="169">
        <f>IF(AU118=0,0,SUMIF(AU111:AU119,AU118,AW111:AW119))</f>
        <v>4</v>
      </c>
      <c r="AO118" s="169">
        <f t="shared" si="103"/>
        <v>167.5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38714</v>
      </c>
      <c r="AV118" s="167">
        <f t="shared" si="105"/>
        <v>142</v>
      </c>
      <c r="AW118" s="169">
        <f t="shared" si="106"/>
        <v>1</v>
      </c>
      <c r="AX118" s="169">
        <f t="shared" si="107"/>
        <v>1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>
        <f t="shared" si="112"/>
        <v>142</v>
      </c>
      <c r="BD118" s="170"/>
      <c r="BE118" s="168"/>
      <c r="BF118" s="169">
        <f t="shared" si="113"/>
        <v>142</v>
      </c>
      <c r="BG118" s="169">
        <f t="shared" si="114"/>
        <v>0</v>
      </c>
      <c r="BH118" s="169" t="str">
        <f t="shared" si="119"/>
        <v>Berchtesgaden 1</v>
      </c>
      <c r="BI118" s="168">
        <f t="shared" si="115"/>
        <v>2</v>
      </c>
      <c r="BJ118" s="169">
        <f t="shared" si="116"/>
        <v>142</v>
      </c>
      <c r="BK118" s="169">
        <f>IF(COUNTIF(AY118:BC118,"&gt;0")&lt;Spielorte!$A$23,0,AV118/Spielorte!$A$23)</f>
        <v>0</v>
      </c>
      <c r="BL118" s="169">
        <f t="shared" si="117"/>
        <v>0</v>
      </c>
      <c r="BM118" s="168">
        <f t="shared" si="118"/>
        <v>0</v>
      </c>
    </row>
    <row r="119" spans="1:65" ht="16.95" customHeight="1" thickBot="1">
      <c r="A119" s="405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30"/>
      <c r="H119" s="224"/>
      <c r="I119" s="242">
        <f t="shared" si="98"/>
        <v>0</v>
      </c>
      <c r="J119" s="430"/>
      <c r="K119" s="224"/>
      <c r="L119" s="242">
        <f t="shared" si="99"/>
        <v>0</v>
      </c>
      <c r="M119" s="430"/>
      <c r="N119" s="224"/>
      <c r="O119" s="242">
        <f t="shared" si="100"/>
        <v>0</v>
      </c>
      <c r="P119" s="430"/>
      <c r="Q119" s="224"/>
      <c r="R119" s="242">
        <f t="shared" si="101"/>
        <v>0</v>
      </c>
      <c r="S119" s="430"/>
      <c r="T119" s="224">
        <f t="shared" si="102"/>
        <v>0</v>
      </c>
      <c r="U119" s="242">
        <f t="shared" si="102"/>
        <v>0</v>
      </c>
      <c r="V119" s="402"/>
      <c r="W119" s="79"/>
      <c r="X119" s="79"/>
      <c r="Y119" s="79"/>
      <c r="Z119" s="79"/>
      <c r="AA119" s="79"/>
      <c r="AB119" s="79"/>
      <c r="AL119" s="169">
        <f>IF(AU119=0,0,IFERROR(INDEX(RanglisteST5!K:K,MATCH(AU119,RanglisteST5!A:A,0)),0))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0</v>
      </c>
      <c r="BH119" s="169" t="str">
        <f t="shared" si="119"/>
        <v>Berchtesgaden 1</v>
      </c>
      <c r="BI119" s="168">
        <f t="shared" si="115"/>
        <v>2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0</v>
      </c>
      <c r="BM119" s="168">
        <f t="shared" si="118"/>
        <v>0</v>
      </c>
    </row>
    <row r="120" spans="1:65" ht="27.75" customHeight="1" thickBot="1">
      <c r="B120" s="218" t="s">
        <v>1792</v>
      </c>
      <c r="C120" s="204"/>
      <c r="D120" s="219"/>
      <c r="E120" s="226">
        <f>ABS(SUM(E111:E113))+ABS(SUM(E114:E116))+ABS(SUM(E117:E119))</f>
        <v>353</v>
      </c>
      <c r="F120" s="225">
        <f>ABS(SUM(F111:F113))+ABS(SUM(F114:F116))+ABS(SUM(F117:F119))</f>
        <v>405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493</v>
      </c>
      <c r="I120" s="225">
        <f>ABS(SUM(I111:I113))+ABS(SUM(I114:I116))+ABS(SUM(I117:I119))</f>
        <v>565</v>
      </c>
      <c r="J120" s="81">
        <f>IF(I120+H129=0,0,IF(I120=H129,Spielorte!$A$31/2,IF(I120&gt;H129,Spielorte!$A$31,0)))</f>
        <v>2</v>
      </c>
      <c r="K120" s="226">
        <f>ABS(SUM(K111:K113))+ABS(SUM(K114:K116))+ABS(SUM(K117:K119))</f>
        <v>401</v>
      </c>
      <c r="L120" s="225">
        <f>ABS(SUM(L111:L113))+ABS(SUM(L114:L116))+ABS(SUM(L117:L119))</f>
        <v>473</v>
      </c>
      <c r="M120" s="81">
        <f>IF(L120+K129=0,0,IF(L120=K129,Spielorte!$A$31/2,IF(L120&gt;K129,Spielorte!$A$31,0)))</f>
        <v>2</v>
      </c>
      <c r="N120" s="226">
        <f>ABS(SUM(N111:N113))+ABS(SUM(N114:N116))+ABS(SUM(N117:N119))</f>
        <v>438</v>
      </c>
      <c r="O120" s="225">
        <f>ABS(SUM(O111:O113))+ABS(SUM(O114:O116))+ABS(SUM(O117:O119))</f>
        <v>531</v>
      </c>
      <c r="P120" s="81">
        <f>IF(O120+N129=0,0,IF(O120=N129,Spielorte!$A$31/2,IF(O120&gt;N129,Spielorte!$A$31,0)))</f>
        <v>2</v>
      </c>
      <c r="Q120" s="226">
        <f>ABS(SUM(Q111:Q113))+ABS(SUM(Q114:Q116))+ABS(SUM(Q117:Q119))</f>
        <v>389</v>
      </c>
      <c r="R120" s="225">
        <f>ABS(SUM(R111:R113))+ABS(SUM(R114:R116))+ABS(SUM(R117:R119))</f>
        <v>451</v>
      </c>
      <c r="S120" s="81">
        <f>IF(R120+Q129=0,0,IF(R120=Q129,Spielorte!$A$31/2,IF(R120&gt;Q129,Spielorte!$A$31,0)))</f>
        <v>1</v>
      </c>
      <c r="T120" s="228">
        <f>SUM(E120+H120+K120+N120+Q120)</f>
        <v>2074</v>
      </c>
      <c r="U120" s="229">
        <f>SUM(F120+I120+L120+O120+R120)</f>
        <v>2425</v>
      </c>
      <c r="V120" s="12">
        <f>SUM(G120+J120+M120+P120+S120)</f>
        <v>7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5</v>
      </c>
      <c r="K121" s="1"/>
      <c r="L121" s="1"/>
      <c r="M121" s="61">
        <f>SUM(M111:M120)</f>
        <v>3.5</v>
      </c>
      <c r="N121" s="1"/>
      <c r="O121" s="1"/>
      <c r="P121" s="61">
        <f>SUM(P111:P120)</f>
        <v>4</v>
      </c>
      <c r="Q121" s="1"/>
      <c r="R121" s="1"/>
      <c r="S121" s="61">
        <f>SUM(S111:S120)</f>
        <v>3</v>
      </c>
      <c r="T121" s="1"/>
      <c r="U121" s="1"/>
      <c r="V121" s="61">
        <f>SUM(V111:V120)</f>
        <v>15.5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15.5</v>
      </c>
      <c r="AR121" s="167">
        <f>+T120</f>
        <v>2074</v>
      </c>
      <c r="AS121" s="167">
        <f>+U120</f>
        <v>2425</v>
      </c>
      <c r="AT121" s="168">
        <f>+B106</f>
        <v>5</v>
      </c>
      <c r="AW121" s="169">
        <f>SUM(AW105:AW120)</f>
        <v>15</v>
      </c>
      <c r="BD121" s="166">
        <f>+AS121/1000000+AQ121+AR121/1000000000000</f>
        <v>15.502425002074</v>
      </c>
      <c r="BE121" s="168">
        <f>RANK(BD121,BD:BD)</f>
        <v>3</v>
      </c>
      <c r="BI121" s="168"/>
      <c r="BM121" s="168"/>
    </row>
    <row r="122" spans="1:65" ht="11.25" customHeight="1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>
      <c r="B123" s="231" t="s">
        <v>1790</v>
      </c>
      <c r="C123" s="210"/>
      <c r="D123" s="42"/>
      <c r="E123" s="434">
        <f>VLOOKUP($B106,Schlüssel!$A$5:$EK$12,83)</f>
        <v>7</v>
      </c>
      <c r="F123" s="435"/>
      <c r="G123" s="436"/>
      <c r="H123" s="434">
        <f>VLOOKUP($B106,Schlüssel!$A$5:$EK$12,84)</f>
        <v>1</v>
      </c>
      <c r="I123" s="435"/>
      <c r="J123" s="436"/>
      <c r="K123" s="434">
        <f>VLOOKUP($B106,Schlüssel!$A$5:$EK$12,85)</f>
        <v>2</v>
      </c>
      <c r="L123" s="435"/>
      <c r="M123" s="436"/>
      <c r="N123" s="434">
        <f>VLOOKUP($B106,Schlüssel!$A$5:$EK$12,86)</f>
        <v>8</v>
      </c>
      <c r="O123" s="435"/>
      <c r="P123" s="436"/>
      <c r="Q123" s="434">
        <f>VLOOKUP($B106,Schlüssel!$A$5:$EK$12,87)</f>
        <v>3</v>
      </c>
      <c r="R123" s="435"/>
      <c r="S123" s="436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>
      <c r="B124" s="3" t="s">
        <v>9</v>
      </c>
      <c r="C124" s="1"/>
      <c r="D124" s="1"/>
      <c r="E124" s="395" t="str">
        <f>VLOOKUP(E123,Schlüssel!$A$5:$K$12,2)</f>
        <v>BK München 1</v>
      </c>
      <c r="F124" s="438"/>
      <c r="G124" s="396"/>
      <c r="H124" s="395" t="str">
        <f>VLOOKUP(H123,Schlüssel!$A$5:$K$12,2)</f>
        <v>Bad Tölz 1</v>
      </c>
      <c r="I124" s="438"/>
      <c r="J124" s="396"/>
      <c r="K124" s="395" t="str">
        <f>VLOOKUP(K123,Schlüssel!$A$5:$K$12,2)</f>
        <v>Highroller Rosenheim 1</v>
      </c>
      <c r="L124" s="438"/>
      <c r="M124" s="396"/>
      <c r="N124" s="395" t="str">
        <f>VLOOKUP(N123,Schlüssel!$A$5:$K$12,2)</f>
        <v>EMAX 1</v>
      </c>
      <c r="O124" s="438"/>
      <c r="P124" s="396"/>
      <c r="Q124" s="395" t="str">
        <f>VLOOKUP(Q123,Schlüssel!$A$5:$K$12,2)</f>
        <v>Highroller Rosenheim 2</v>
      </c>
      <c r="R124" s="438"/>
      <c r="S124" s="396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" customHeight="1">
      <c r="B126" s="417" t="s">
        <v>2275</v>
      </c>
      <c r="C126" s="418"/>
      <c r="D126" s="419"/>
      <c r="E126" s="431">
        <f>ABS(INDEX(F:F,MATCH(E123,$B:$B,0)+5)+INDEX(F:F,MATCH(E123,$B:$B,0)+6)+INDEX(F:F,MATCH(E123,$B:$B,0)+7))</f>
        <v>221</v>
      </c>
      <c r="F126" s="432"/>
      <c r="G126" s="433"/>
      <c r="H126" s="431">
        <f>ABS(INDEX(I:I,MATCH(H123,$B:$B,0)+5)+INDEX(I:I,MATCH(H123,$B:$B,0)+6)+INDEX(I:I,MATCH(H123,$B:$B,0)+7))</f>
        <v>138</v>
      </c>
      <c r="I126" s="432"/>
      <c r="J126" s="433"/>
      <c r="K126" s="431">
        <f>ABS(INDEX(L:L,MATCH(K123,$B:$B,0)+5)+INDEX(L:L,MATCH(K123,$B:$B,0)+6)+INDEX(L:L,MATCH(K123,$B:$B,0)+7))</f>
        <v>177</v>
      </c>
      <c r="L126" s="432"/>
      <c r="M126" s="433"/>
      <c r="N126" s="431">
        <f>ABS(INDEX(O:O,MATCH(N123,$B:$B,0)+5)+INDEX(O:O,MATCH(N123,$B:$B,0)+6)+INDEX(O:O,MATCH(N123,$B:$B,0)+7))</f>
        <v>209</v>
      </c>
      <c r="O126" s="432"/>
      <c r="P126" s="433"/>
      <c r="Q126" s="431">
        <f>ABS(INDEX(R:R,MATCH(Q123,$B:$B,0)+5)+INDEX(R:R,MATCH(Q123,$B:$B,0)+6)+INDEX(R:R,MATCH(Q123,$B:$B,0)+7))</f>
        <v>154</v>
      </c>
      <c r="R126" s="432"/>
      <c r="S126" s="433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" customHeight="1">
      <c r="B127" s="417" t="s">
        <v>2276</v>
      </c>
      <c r="C127" s="418"/>
      <c r="D127" s="419"/>
      <c r="E127" s="424">
        <f>ABS(INDEX(F:F,MATCH(E123,$B:$B,0)+8)+INDEX(F:F,MATCH(E123,$B:$B,0)+9)+INDEX(F:F,MATCH(E123,$B:$B,0)+10))</f>
        <v>197</v>
      </c>
      <c r="F127" s="425"/>
      <c r="G127" s="426"/>
      <c r="H127" s="424">
        <f>ABS(INDEX(I:I,MATCH(H123,$B:$B,0)+8)+INDEX(I:I,MATCH(H123,$B:$B,0)+9)+INDEX(I:I,MATCH(H123,$B:$B,0)+10))</f>
        <v>162</v>
      </c>
      <c r="I127" s="425"/>
      <c r="J127" s="426"/>
      <c r="K127" s="424">
        <f>ABS(INDEX(L:L,MATCH(K123,$B:$B,0)+8)+INDEX(L:L,MATCH(K123,$B:$B,0)+9)+INDEX(L:L,MATCH(K123,$B:$B,0)+10))</f>
        <v>163</v>
      </c>
      <c r="L127" s="425"/>
      <c r="M127" s="426"/>
      <c r="N127" s="424">
        <f>ABS(INDEX(O:O,MATCH(N123,$B:$B,0)+8)+INDEX(O:O,MATCH(N123,$B:$B,0)+9)+INDEX(O:O,MATCH(N123,$B:$B,0)+10))</f>
        <v>149</v>
      </c>
      <c r="O127" s="425"/>
      <c r="P127" s="426"/>
      <c r="Q127" s="424">
        <f>ABS(INDEX(R:R,MATCH(Q123,$B:$B,0)+8)+INDEX(R:R,MATCH(Q123,$B:$B,0)+9)+INDEX(R:R,MATCH(Q123,$B:$B,0)+10))</f>
        <v>159</v>
      </c>
      <c r="R127" s="425"/>
      <c r="S127" s="426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" customHeight="1">
      <c r="B128" s="417" t="s">
        <v>2277</v>
      </c>
      <c r="C128" s="418"/>
      <c r="D128" s="419"/>
      <c r="E128" s="424">
        <f>ABS(INDEX(F:F,MATCH(E123,$B:$B,0)+11)+INDEX(F:F,MATCH(E123,$B:$B,0)+12)+INDEX(F:F,MATCH(E123,$B:$B,0)+13))</f>
        <v>153</v>
      </c>
      <c r="F128" s="425"/>
      <c r="G128" s="426"/>
      <c r="H128" s="424">
        <f>ABS(INDEX(I:I,MATCH(H123,$B:$B,0)+11)+INDEX(I:I,MATCH(H123,$B:$B,0)+12)+INDEX(I:I,MATCH(H123,$B:$B,0)+13))</f>
        <v>128</v>
      </c>
      <c r="I128" s="425"/>
      <c r="J128" s="426"/>
      <c r="K128" s="424">
        <f>ABS(INDEX(L:L,MATCH(K123,$B:$B,0)+11)+INDEX(L:L,MATCH(K123,$B:$B,0)+12)+INDEX(L:L,MATCH(K123,$B:$B,0)+13))</f>
        <v>125</v>
      </c>
      <c r="L128" s="425"/>
      <c r="M128" s="426"/>
      <c r="N128" s="424">
        <f>ABS(INDEX(O:O,MATCH(N123,$B:$B,0)+11)+INDEX(O:O,MATCH(N123,$B:$B,0)+12)+INDEX(O:O,MATCH(N123,$B:$B,0)+13))</f>
        <v>136</v>
      </c>
      <c r="O128" s="425"/>
      <c r="P128" s="426"/>
      <c r="Q128" s="424">
        <f>ABS(INDEX(R:R,MATCH(Q123,$B:$B,0)+11)+INDEX(R:R,MATCH(Q123,$B:$B,0)+12)+INDEX(R:R,MATCH(Q123,$B:$B,0)+13))</f>
        <v>138</v>
      </c>
      <c r="R128" s="425"/>
      <c r="S128" s="426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" customHeight="1">
      <c r="B129" s="420" t="s">
        <v>2278</v>
      </c>
      <c r="C129" s="421"/>
      <c r="D129" s="422"/>
      <c r="E129" s="407">
        <f>SUM(E126:E128)</f>
        <v>571</v>
      </c>
      <c r="F129" s="423"/>
      <c r="G129" s="408"/>
      <c r="H129" s="407">
        <f>SUM(H126:H128)</f>
        <v>428</v>
      </c>
      <c r="I129" s="423"/>
      <c r="J129" s="408"/>
      <c r="K129" s="407">
        <f>SUM(K126:K128)</f>
        <v>465</v>
      </c>
      <c r="L129" s="423"/>
      <c r="M129" s="408"/>
      <c r="N129" s="407">
        <f>SUM(N126:N128)</f>
        <v>494</v>
      </c>
      <c r="O129" s="423"/>
      <c r="P129" s="408"/>
      <c r="Q129" s="407">
        <f>SUM(Q126:Q128)</f>
        <v>451</v>
      </c>
      <c r="R129" s="423"/>
      <c r="S129" s="408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>
      <c r="A131" s="255"/>
      <c r="B131" s="7" t="s">
        <v>1802</v>
      </c>
      <c r="C131" s="24"/>
      <c r="D131" s="24"/>
      <c r="E131" s="35" t="s">
        <v>1786</v>
      </c>
      <c r="F131" s="35"/>
      <c r="G131" s="427" t="str">
        <f>Schlüssel!$C$1</f>
        <v>Landesliga Jugend</v>
      </c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  <c r="S131" s="406">
        <f>Schlüssel!$CO$1</f>
        <v>45794</v>
      </c>
      <c r="T131" s="406"/>
      <c r="U131" s="406"/>
      <c r="V131" s="406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>
      <c r="A132" s="53"/>
      <c r="B132" s="54">
        <v>6</v>
      </c>
      <c r="E132" s="35" t="s">
        <v>1787</v>
      </c>
      <c r="F132" s="35"/>
      <c r="G132" s="413" t="str">
        <f>Schlüssel!$CE$2</f>
        <v>Olching 5005 Bowling</v>
      </c>
      <c r="H132" s="413"/>
      <c r="I132" s="413"/>
      <c r="J132" s="413"/>
      <c r="K132" s="413"/>
      <c r="L132" s="413"/>
      <c r="M132" s="413"/>
      <c r="N132" s="413"/>
      <c r="O132" s="413"/>
      <c r="P132" s="66"/>
      <c r="Q132" s="411" t="s">
        <v>1785</v>
      </c>
      <c r="R132" s="412"/>
      <c r="S132" s="38">
        <v>5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>
      <c r="B133" s="414" t="str">
        <f>VLOOKUP(B132,Schlüssel!$A$5:$B$12,2)</f>
        <v>Bowling Jugend Bayern 1</v>
      </c>
      <c r="C133" s="415"/>
      <c r="D133" s="415"/>
      <c r="E133" s="415"/>
      <c r="F133" s="415"/>
      <c r="G133" s="416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3.8" hidden="1" thickBot="1">
      <c r="A134" s="6"/>
      <c r="B134" s="7"/>
      <c r="C134" s="43"/>
      <c r="D134" s="43"/>
      <c r="E134" s="162" t="s">
        <v>10</v>
      </c>
      <c r="F134" s="220"/>
      <c r="G134" s="159">
        <f>VLOOKUP(B132,Schlüssel!$A$5:$EK$12,93)</f>
        <v>4</v>
      </c>
      <c r="H134" s="161" t="s">
        <v>10</v>
      </c>
      <c r="I134" s="220"/>
      <c r="J134" s="159">
        <f>VLOOKUP(B132,Schlüssel!$A$5:$EK$12,94)</f>
        <v>5</v>
      </c>
      <c r="K134" s="161" t="s">
        <v>10</v>
      </c>
      <c r="L134" s="220"/>
      <c r="M134" s="159">
        <f>VLOOKUP(B132,Schlüssel!$A$5:$EK$12,95)</f>
        <v>7</v>
      </c>
      <c r="N134" s="161" t="s">
        <v>10</v>
      </c>
      <c r="O134" s="220"/>
      <c r="P134" s="159">
        <f>VLOOKUP(B132,Schlüssel!$A$5:$EK$12,96)</f>
        <v>2</v>
      </c>
      <c r="Q134" s="161" t="s">
        <v>10</v>
      </c>
      <c r="R134" s="220"/>
      <c r="S134" s="160">
        <f>VLOOKUP(B132,Schlüssel!$A$5:$EK$12,97)</f>
        <v>8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>
      <c r="B135" s="44" t="s">
        <v>1</v>
      </c>
      <c r="C135" s="208"/>
      <c r="D135" s="217"/>
      <c r="E135" s="423" t="s">
        <v>1793</v>
      </c>
      <c r="F135" s="423"/>
      <c r="G135" s="408"/>
      <c r="H135" s="407" t="s">
        <v>1794</v>
      </c>
      <c r="I135" s="423"/>
      <c r="J135" s="408"/>
      <c r="K135" s="407" t="s">
        <v>1795</v>
      </c>
      <c r="L135" s="423"/>
      <c r="M135" s="408"/>
      <c r="N135" s="407" t="s">
        <v>1796</v>
      </c>
      <c r="O135" s="423"/>
      <c r="P135" s="408"/>
      <c r="Q135" s="407" t="s">
        <v>1797</v>
      </c>
      <c r="R135" s="423"/>
      <c r="S135" s="437"/>
      <c r="T135" s="439" t="s">
        <v>1792</v>
      </c>
      <c r="U135" s="440"/>
      <c r="V135" s="410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6.95" customHeight="1">
      <c r="A137" s="403" t="s">
        <v>0</v>
      </c>
      <c r="B137" s="58" t="str">
        <f>IF(C137=0,"",VLOOKUP(C137,Starter!$A$1:$D$196,2,FALSE))</f>
        <v>Reichenauer, Leon</v>
      </c>
      <c r="C137" s="232">
        <v>38781</v>
      </c>
      <c r="D137" s="238">
        <f t="shared" ref="D137:D145" si="120">+AP137</f>
        <v>11</v>
      </c>
      <c r="E137" s="221">
        <v>126</v>
      </c>
      <c r="F137" s="240">
        <f t="shared" ref="F137:F145" si="121">IF(E137&gt;0,E137+$D137,0)</f>
        <v>137</v>
      </c>
      <c r="G137" s="428">
        <f>IF(SUM(F137:F139)+E152=0,0,IF(ABS(SUM(F137:F139))=E152,Spielorte!$A$30/2,IF(ABS(SUM(F137:F139))&gt;E152,Spielorte!$A$30,0)))</f>
        <v>0</v>
      </c>
      <c r="H137" s="221">
        <v>129</v>
      </c>
      <c r="I137" s="240">
        <f t="shared" ref="I137:I145" si="122">IF(H137&gt;0,H137+$D137,0)</f>
        <v>140</v>
      </c>
      <c r="J137" s="428">
        <f>IF(SUM(I137:I139)+H152=0,0,IF(ABS(SUM(I137:I139))=H152,Spielorte!$A$30/2,IF(ABS(SUM(I137:I139))&gt;H152,Spielorte!$A$30,0)))</f>
        <v>0</v>
      </c>
      <c r="K137" s="221">
        <v>143</v>
      </c>
      <c r="L137" s="240">
        <f t="shared" ref="L137:L145" si="123">IF(K137&gt;0,K137+$D137,0)</f>
        <v>154</v>
      </c>
      <c r="M137" s="428">
        <f>IF(SUM(L137:L139)+K152=0,0,IF(ABS(SUM(L137:L139))=K152,Spielorte!$A$30/2,IF(ABS(SUM(L137:L139))&gt;K152,Spielorte!$A$30,0)))</f>
        <v>0</v>
      </c>
      <c r="N137" s="221">
        <v>141</v>
      </c>
      <c r="O137" s="240">
        <f t="shared" ref="O137:O145" si="124">IF(N137&gt;0,N137+$D137,0)</f>
        <v>152</v>
      </c>
      <c r="P137" s="428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8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539</v>
      </c>
      <c r="U137" s="240">
        <f t="shared" si="126"/>
        <v>583</v>
      </c>
      <c r="V137" s="400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IF(AU137=0,0,IFERROR(INDEX(RanglisteST5!K:K,MATCH(AU137,RanglisteST5!A:A,0)),0))</f>
        <v>145.83000000000001</v>
      </c>
      <c r="AM137" s="169">
        <f>IF(AU137=0,0,SUMIF(AU137:AU145,AU137,AV137:AV145))</f>
        <v>539</v>
      </c>
      <c r="AN137" s="169">
        <f>IF(AU137=0,0,SUMIF(AU137:AU145,AU137,AW137:AW145))</f>
        <v>4</v>
      </c>
      <c r="AO137" s="169">
        <f t="shared" ref="AO137:AO145" si="127">IFERROR(AM137/AN137,0)</f>
        <v>134.75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11</v>
      </c>
      <c r="AQ137" s="166"/>
      <c r="AR137" s="167"/>
      <c r="AS137" s="167"/>
      <c r="AT137" s="168"/>
      <c r="AU137" s="171">
        <f t="shared" ref="AU137:AU145" si="128">C137</f>
        <v>38781</v>
      </c>
      <c r="AV137" s="167">
        <f t="shared" ref="AV137:AV145" si="129">T137</f>
        <v>539</v>
      </c>
      <c r="AW137" s="169">
        <f t="shared" ref="AW137:AW145" si="130">COUNT(AY137:BC137)</f>
        <v>4</v>
      </c>
      <c r="AX137" s="169">
        <f t="shared" ref="AX137:AX145" si="131">COUNTIF(AY137:BC137,"&gt;0")</f>
        <v>4</v>
      </c>
      <c r="AY137" s="169">
        <f t="shared" ref="AY137:AY145" si="132">IF(E137=0,"",E137)</f>
        <v>126</v>
      </c>
      <c r="AZ137" s="169">
        <f t="shared" ref="AZ137:AZ145" si="133">IF(H137=0,"",H137)</f>
        <v>129</v>
      </c>
      <c r="BA137" s="169">
        <f t="shared" ref="BA137:BA145" si="134">IF(K137=0,"",K137)</f>
        <v>143</v>
      </c>
      <c r="BB137" s="169">
        <f t="shared" ref="BB137:BB145" si="135">IF(N137=0,"",N137)</f>
        <v>141</v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143</v>
      </c>
      <c r="BG137" s="169">
        <f t="shared" ref="BG137:BG145" si="138">IF(BF137&lt;MAX(BF:BF),0,BF137+ROW()/1000000000)</f>
        <v>0</v>
      </c>
      <c r="BH137" s="169" t="str">
        <f>+B133</f>
        <v>Bowling Jugend Bayern 1</v>
      </c>
      <c r="BI137" s="168">
        <f t="shared" ref="BI137:BI145" si="139">RANK(BG137,BG:BG)</f>
        <v>2</v>
      </c>
      <c r="BJ137" s="169">
        <f t="shared" ref="BJ137:BJ145" si="140">SUMIF(AY137:BC137,"&gt;0")</f>
        <v>539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0</v>
      </c>
      <c r="BM137" s="168">
        <f t="shared" ref="BM137:BM145" si="142">IF(BL137=0,0,RANK(BL137,BL:BL))</f>
        <v>0</v>
      </c>
    </row>
    <row r="138" spans="1:65" ht="16.95" customHeight="1">
      <c r="A138" s="404"/>
      <c r="B138" s="58" t="str">
        <f>IF(C138=0,"",VLOOKUP(C138,Starter!$A$1:$D$196,2,FALSE))</f>
        <v>Bonnaire, Ben</v>
      </c>
      <c r="C138" s="233">
        <v>38927</v>
      </c>
      <c r="D138" s="239">
        <f t="shared" si="120"/>
        <v>35</v>
      </c>
      <c r="E138" s="222"/>
      <c r="F138" s="241">
        <f t="shared" si="121"/>
        <v>0</v>
      </c>
      <c r="G138" s="429"/>
      <c r="H138" s="222"/>
      <c r="I138" s="241">
        <f t="shared" si="122"/>
        <v>0</v>
      </c>
      <c r="J138" s="429"/>
      <c r="K138" s="222"/>
      <c r="L138" s="241">
        <f t="shared" si="123"/>
        <v>0</v>
      </c>
      <c r="M138" s="429"/>
      <c r="N138" s="222"/>
      <c r="O138" s="241">
        <f t="shared" si="124"/>
        <v>0</v>
      </c>
      <c r="P138" s="429"/>
      <c r="Q138" s="222">
        <v>123</v>
      </c>
      <c r="R138" s="241">
        <f t="shared" si="125"/>
        <v>158</v>
      </c>
      <c r="S138" s="429"/>
      <c r="T138" s="222">
        <f t="shared" si="126"/>
        <v>123</v>
      </c>
      <c r="U138" s="241">
        <f t="shared" si="126"/>
        <v>158</v>
      </c>
      <c r="V138" s="401"/>
      <c r="W138" s="79"/>
      <c r="X138" s="79"/>
      <c r="Y138" s="79"/>
      <c r="Z138" s="79"/>
      <c r="AA138" s="79"/>
      <c r="AB138" s="79"/>
      <c r="AL138" s="169">
        <f>IF(AU138=0,0,IFERROR(INDEX(RanglisteST5!K:K,MATCH(AU138,RanglisteST5!A:A,0)),0))</f>
        <v>115.85</v>
      </c>
      <c r="AM138" s="169">
        <f>IF(AU138=0,0,SUMIF(AU137:AU145,AU138,AV137:AV145))</f>
        <v>318</v>
      </c>
      <c r="AN138" s="169">
        <f>IF(AU138=0,0,SUMIF(AU137:AU145,AU138,AW137:AW145))</f>
        <v>3</v>
      </c>
      <c r="AO138" s="169">
        <f t="shared" si="127"/>
        <v>106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35</v>
      </c>
      <c r="AQ138" s="166"/>
      <c r="AR138" s="167"/>
      <c r="AS138" s="167"/>
      <c r="AT138" s="168"/>
      <c r="AU138" s="171">
        <f t="shared" si="128"/>
        <v>38927</v>
      </c>
      <c r="AV138" s="167">
        <f t="shared" si="129"/>
        <v>123</v>
      </c>
      <c r="AW138" s="169">
        <f t="shared" si="130"/>
        <v>1</v>
      </c>
      <c r="AX138" s="169">
        <f t="shared" si="131"/>
        <v>1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>
        <f t="shared" si="136"/>
        <v>123</v>
      </c>
      <c r="BD138" s="170"/>
      <c r="BE138" s="168"/>
      <c r="BF138" s="169">
        <f t="shared" si="137"/>
        <v>123</v>
      </c>
      <c r="BG138" s="169">
        <f t="shared" si="138"/>
        <v>0</v>
      </c>
      <c r="BH138" s="169" t="str">
        <f t="shared" ref="BH138:BH145" si="143">+BH137</f>
        <v>Bowling Jugend Bayern 1</v>
      </c>
      <c r="BI138" s="168">
        <f t="shared" si="139"/>
        <v>2</v>
      </c>
      <c r="BJ138" s="169">
        <f t="shared" si="140"/>
        <v>123</v>
      </c>
      <c r="BK138" s="169">
        <f>IF(COUNTIF(AY138:BC138,"&gt;0")&lt;Spielorte!$A$23,0,AV138/Spielorte!$A$23)</f>
        <v>0</v>
      </c>
      <c r="BL138" s="169">
        <f t="shared" si="141"/>
        <v>0</v>
      </c>
      <c r="BM138" s="168">
        <f t="shared" si="142"/>
        <v>0</v>
      </c>
    </row>
    <row r="139" spans="1:65" ht="16.95" customHeight="1" thickBot="1">
      <c r="A139" s="405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30"/>
      <c r="H139" s="224"/>
      <c r="I139" s="242">
        <f t="shared" si="122"/>
        <v>0</v>
      </c>
      <c r="J139" s="430"/>
      <c r="K139" s="224"/>
      <c r="L139" s="242">
        <f t="shared" si="123"/>
        <v>0</v>
      </c>
      <c r="M139" s="430"/>
      <c r="N139" s="224"/>
      <c r="O139" s="242">
        <f t="shared" si="124"/>
        <v>0</v>
      </c>
      <c r="P139" s="430"/>
      <c r="Q139" s="224"/>
      <c r="R139" s="242">
        <f t="shared" si="125"/>
        <v>0</v>
      </c>
      <c r="S139" s="430"/>
      <c r="T139" s="224">
        <f t="shared" si="126"/>
        <v>0</v>
      </c>
      <c r="U139" s="242">
        <f t="shared" si="126"/>
        <v>0</v>
      </c>
      <c r="V139" s="402"/>
      <c r="W139" s="79"/>
      <c r="X139" s="79"/>
      <c r="Y139" s="79"/>
      <c r="Z139" s="79"/>
      <c r="AA139" s="79"/>
      <c r="AB139" s="79"/>
      <c r="AL139" s="169">
        <f>IF(AU139=0,0,IFERROR(INDEX(RanglisteST5!K:K,MATCH(AU139,RanglisteST5!A:A,0)),0))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0</v>
      </c>
      <c r="BH139" s="169" t="str">
        <f t="shared" si="143"/>
        <v>Bowling Jugend Bayern 1</v>
      </c>
      <c r="BI139" s="168">
        <f t="shared" si="139"/>
        <v>2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0</v>
      </c>
      <c r="BM139" s="168">
        <f t="shared" si="142"/>
        <v>0</v>
      </c>
    </row>
    <row r="140" spans="1:65" ht="16.95" customHeight="1">
      <c r="A140" s="403" t="s">
        <v>2</v>
      </c>
      <c r="B140" s="58" t="str">
        <f>IF(C140=0,"",VLOOKUP(C140,Starter!$A$1:$D$196,2,FALSE))</f>
        <v>Bonnaire, Ben</v>
      </c>
      <c r="C140" s="235">
        <v>38927</v>
      </c>
      <c r="D140" s="238">
        <f t="shared" si="120"/>
        <v>35</v>
      </c>
      <c r="E140" s="221">
        <v>95</v>
      </c>
      <c r="F140" s="240">
        <f t="shared" si="121"/>
        <v>130</v>
      </c>
      <c r="G140" s="428">
        <f>IF(SUM(F140:F142)+E153=0,0,IF(ABS(SUM(F140:F142))=E153,Spielorte!$A$30/2,IF(ABS(SUM(F140:F142))&gt;E153,Spielorte!$A$30,0)))</f>
        <v>0</v>
      </c>
      <c r="H140" s="221">
        <v>100</v>
      </c>
      <c r="I140" s="240">
        <f t="shared" si="122"/>
        <v>135</v>
      </c>
      <c r="J140" s="428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8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8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8">
        <f>IF(SUM(R140:R142)+Q153=0,0,IF(ABS(SUM(R140:R142))=Q153,Spielorte!$A$30/2,IF(ABS(SUM(R140:R142))&gt;Q153,Spielorte!$A$30,0)))</f>
        <v>0</v>
      </c>
      <c r="T140" s="221">
        <f t="shared" si="126"/>
        <v>195</v>
      </c>
      <c r="U140" s="240">
        <f t="shared" si="126"/>
        <v>265</v>
      </c>
      <c r="V140" s="400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IF(AU140=0,0,IFERROR(INDEX(RanglisteST5!K:K,MATCH(AU140,RanglisteST5!A:A,0)),0))</f>
        <v>115.85</v>
      </c>
      <c r="AM140" s="169">
        <f>IF(AU140=0,0,SUMIF(AU137:AU145,AU140,AV137:AV145))</f>
        <v>318</v>
      </c>
      <c r="AN140" s="169">
        <f>IF(AU140=0,0,SUMIF(AU137:AU145,AU140,AW137:AW145))</f>
        <v>3</v>
      </c>
      <c r="AO140" s="169">
        <f t="shared" si="127"/>
        <v>106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35</v>
      </c>
      <c r="AQ140" s="166"/>
      <c r="AR140" s="167"/>
      <c r="AS140" s="167"/>
      <c r="AT140" s="168"/>
      <c r="AU140" s="171">
        <f t="shared" si="128"/>
        <v>38927</v>
      </c>
      <c r="AV140" s="167">
        <f t="shared" si="129"/>
        <v>195</v>
      </c>
      <c r="AW140" s="169">
        <f t="shared" si="130"/>
        <v>2</v>
      </c>
      <c r="AX140" s="169">
        <f t="shared" si="131"/>
        <v>2</v>
      </c>
      <c r="AY140" s="169">
        <f t="shared" si="132"/>
        <v>95</v>
      </c>
      <c r="AZ140" s="169">
        <f t="shared" si="133"/>
        <v>100</v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100</v>
      </c>
      <c r="BG140" s="169">
        <f t="shared" si="138"/>
        <v>0</v>
      </c>
      <c r="BH140" s="169" t="str">
        <f t="shared" si="143"/>
        <v>Bowling Jugend Bayern 1</v>
      </c>
      <c r="BI140" s="168">
        <f t="shared" si="139"/>
        <v>2</v>
      </c>
      <c r="BJ140" s="169">
        <f t="shared" si="140"/>
        <v>195</v>
      </c>
      <c r="BK140" s="169">
        <f>IF(COUNTIF(AY140:BC140,"&gt;0")&lt;Spielorte!$A$23,0,AV140/Spielorte!$A$23)</f>
        <v>0</v>
      </c>
      <c r="BL140" s="169">
        <f t="shared" si="141"/>
        <v>0</v>
      </c>
      <c r="BM140" s="168">
        <f t="shared" si="142"/>
        <v>0</v>
      </c>
    </row>
    <row r="141" spans="1:65" ht="16.95" customHeight="1">
      <c r="A141" s="404"/>
      <c r="B141" s="58" t="str">
        <f>IF(C141=0,"",VLOOKUP(C141,Starter!$A$1:$D$196,2,FALSE))</f>
        <v>Klettenheimer, Julius</v>
      </c>
      <c r="C141" s="233">
        <v>38942</v>
      </c>
      <c r="D141" s="239">
        <f t="shared" si="120"/>
        <v>4</v>
      </c>
      <c r="E141" s="222"/>
      <c r="F141" s="241">
        <f t="shared" si="121"/>
        <v>0</v>
      </c>
      <c r="G141" s="429"/>
      <c r="H141" s="222"/>
      <c r="I141" s="241">
        <f t="shared" si="122"/>
        <v>0</v>
      </c>
      <c r="J141" s="429"/>
      <c r="K141" s="222">
        <v>123</v>
      </c>
      <c r="L141" s="241">
        <f t="shared" si="123"/>
        <v>127</v>
      </c>
      <c r="M141" s="429"/>
      <c r="N141" s="222">
        <v>158</v>
      </c>
      <c r="O141" s="241">
        <f t="shared" si="124"/>
        <v>162</v>
      </c>
      <c r="P141" s="429"/>
      <c r="Q141" s="222">
        <v>166</v>
      </c>
      <c r="R141" s="241">
        <f t="shared" si="125"/>
        <v>170</v>
      </c>
      <c r="S141" s="429"/>
      <c r="T141" s="222">
        <f t="shared" si="126"/>
        <v>447</v>
      </c>
      <c r="U141" s="241">
        <f t="shared" si="126"/>
        <v>459</v>
      </c>
      <c r="V141" s="401"/>
      <c r="W141" s="79"/>
      <c r="X141" s="79"/>
      <c r="Y141" s="79"/>
      <c r="Z141" s="79"/>
      <c r="AA141" s="79"/>
      <c r="AB141" s="79"/>
      <c r="AL141" s="169">
        <f>IF(AU141=0,0,IFERROR(INDEX(RanglisteST5!K:K,MATCH(AU141,RanglisteST5!A:A,0)),0))</f>
        <v>154.41999999999999</v>
      </c>
      <c r="AM141" s="169">
        <f>IF(AU141=0,0,SUMIF(AU137:AU145,AU141,AV137:AV145))</f>
        <v>447</v>
      </c>
      <c r="AN141" s="169">
        <f>IF(AU141=0,0,SUMIF(AU137:AU145,AU141,AW137:AW145))</f>
        <v>3</v>
      </c>
      <c r="AO141" s="169">
        <f t="shared" si="127"/>
        <v>149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4</v>
      </c>
      <c r="AQ141" s="166"/>
      <c r="AR141" s="167"/>
      <c r="AS141" s="167"/>
      <c r="AT141" s="168"/>
      <c r="AU141" s="171">
        <f t="shared" si="128"/>
        <v>38942</v>
      </c>
      <c r="AV141" s="167">
        <f t="shared" si="129"/>
        <v>447</v>
      </c>
      <c r="AW141" s="169">
        <f t="shared" si="130"/>
        <v>3</v>
      </c>
      <c r="AX141" s="169">
        <f t="shared" si="131"/>
        <v>3</v>
      </c>
      <c r="AY141" s="169" t="str">
        <f t="shared" si="132"/>
        <v/>
      </c>
      <c r="AZ141" s="169" t="str">
        <f t="shared" si="133"/>
        <v/>
      </c>
      <c r="BA141" s="169">
        <f t="shared" si="134"/>
        <v>123</v>
      </c>
      <c r="BB141" s="169">
        <f t="shared" si="135"/>
        <v>158</v>
      </c>
      <c r="BC141" s="169">
        <f t="shared" si="136"/>
        <v>166</v>
      </c>
      <c r="BD141" s="170"/>
      <c r="BE141" s="168"/>
      <c r="BF141" s="169">
        <f t="shared" si="137"/>
        <v>166</v>
      </c>
      <c r="BG141" s="169">
        <f t="shared" si="138"/>
        <v>0</v>
      </c>
      <c r="BH141" s="169" t="str">
        <f t="shared" si="143"/>
        <v>Bowling Jugend Bayern 1</v>
      </c>
      <c r="BI141" s="168">
        <f t="shared" si="139"/>
        <v>2</v>
      </c>
      <c r="BJ141" s="169">
        <f t="shared" si="140"/>
        <v>447</v>
      </c>
      <c r="BK141" s="169">
        <f>IF(COUNTIF(AY141:BC141,"&gt;0")&lt;Spielorte!$A$23,0,AV141/Spielorte!$A$23)</f>
        <v>0</v>
      </c>
      <c r="BL141" s="169">
        <f t="shared" si="141"/>
        <v>0</v>
      </c>
      <c r="BM141" s="168">
        <f t="shared" si="142"/>
        <v>0</v>
      </c>
    </row>
    <row r="142" spans="1:65" ht="16.95" customHeight="1" thickBot="1">
      <c r="A142" s="405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30"/>
      <c r="H142" s="224"/>
      <c r="I142" s="242">
        <f t="shared" si="122"/>
        <v>0</v>
      </c>
      <c r="J142" s="430"/>
      <c r="K142" s="224"/>
      <c r="L142" s="242">
        <f t="shared" si="123"/>
        <v>0</v>
      </c>
      <c r="M142" s="430"/>
      <c r="N142" s="224"/>
      <c r="O142" s="242">
        <f t="shared" si="124"/>
        <v>0</v>
      </c>
      <c r="P142" s="430"/>
      <c r="Q142" s="224"/>
      <c r="R142" s="242">
        <f t="shared" si="125"/>
        <v>0</v>
      </c>
      <c r="S142" s="430"/>
      <c r="T142" s="224">
        <f t="shared" si="126"/>
        <v>0</v>
      </c>
      <c r="U142" s="242">
        <f t="shared" si="126"/>
        <v>0</v>
      </c>
      <c r="V142" s="402"/>
      <c r="W142" s="79"/>
      <c r="X142" s="79"/>
      <c r="Y142" s="79"/>
      <c r="Z142" s="79"/>
      <c r="AA142" s="79"/>
      <c r="AB142" s="79"/>
      <c r="AL142" s="169">
        <f>IF(AU142=0,0,IFERROR(INDEX(RanglisteST5!K:K,MATCH(AU142,RanglisteST5!A:A,0)),0))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0</v>
      </c>
      <c r="BH142" s="169" t="str">
        <f t="shared" si="143"/>
        <v>Bowling Jugend Bayern 1</v>
      </c>
      <c r="BI142" s="168">
        <f t="shared" si="139"/>
        <v>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0</v>
      </c>
      <c r="BM142" s="168">
        <f t="shared" si="142"/>
        <v>0</v>
      </c>
    </row>
    <row r="143" spans="1:65" ht="16.95" customHeight="1">
      <c r="A143" s="403" t="s">
        <v>3</v>
      </c>
      <c r="B143" s="58" t="str">
        <f>IF(C143=0,"",VLOOKUP(C143,Starter!$A$1:$D$196,2,FALSE))</f>
        <v>Mäurer, Odin</v>
      </c>
      <c r="C143" s="235">
        <v>38674</v>
      </c>
      <c r="D143" s="238">
        <f t="shared" si="120"/>
        <v>2</v>
      </c>
      <c r="E143" s="221">
        <v>132</v>
      </c>
      <c r="F143" s="240">
        <f t="shared" si="121"/>
        <v>134</v>
      </c>
      <c r="G143" s="428">
        <f>IF(SUM(F143:F145)+E154=0,0,IF(ABS(SUM(F143:F145))=E154,Spielorte!$A$30/2,IF(ABS(SUM(F143:F145))&gt;E154,Spielorte!$A$30,0)))</f>
        <v>0</v>
      </c>
      <c r="H143" s="221">
        <v>142</v>
      </c>
      <c r="I143" s="240">
        <f t="shared" si="122"/>
        <v>144</v>
      </c>
      <c r="J143" s="428">
        <f>IF(SUM(I143:I145)+H154=0,0,IF(ABS(SUM(I143:I145))=H154,Spielorte!$A$30/2,IF(ABS(SUM(I143:I145))&gt;H154,Spielorte!$A$30,0)))</f>
        <v>0</v>
      </c>
      <c r="K143" s="221">
        <v>195</v>
      </c>
      <c r="L143" s="240">
        <f t="shared" si="123"/>
        <v>197</v>
      </c>
      <c r="M143" s="428">
        <f>IF(SUM(L143:L145)+K154=0,0,IF(ABS(SUM(L143:L145))=K154,Spielorte!$A$30/2,IF(ABS(SUM(L143:L145))&gt;K154,Spielorte!$A$30,0)))</f>
        <v>1</v>
      </c>
      <c r="N143" s="221">
        <v>147</v>
      </c>
      <c r="O143" s="240">
        <f t="shared" si="124"/>
        <v>149</v>
      </c>
      <c r="P143" s="428">
        <f>IF(SUM(O143:O145)+N154=0,0,IF(ABS(SUM(O143:O145))=N154,Spielorte!$A$30/2,IF(ABS(SUM(O143:O145))&gt;N154,Spielorte!$A$30,0)))</f>
        <v>0</v>
      </c>
      <c r="Q143" s="221">
        <v>101</v>
      </c>
      <c r="R143" s="240">
        <f t="shared" si="125"/>
        <v>103</v>
      </c>
      <c r="S143" s="428">
        <f>IF(SUM(R143:R145)+Q154=0,0,IF(ABS(SUM(R143:R145))=Q154,Spielorte!$A$30/2,IF(ABS(SUM(R143:R145))&gt;Q154,Spielorte!$A$30,0)))</f>
        <v>0</v>
      </c>
      <c r="T143" s="221">
        <f t="shared" si="126"/>
        <v>717</v>
      </c>
      <c r="U143" s="240">
        <f t="shared" si="126"/>
        <v>727</v>
      </c>
      <c r="V143" s="400">
        <f>SUM(G143+J143+M143+P143+S143)</f>
        <v>1</v>
      </c>
      <c r="W143" s="79"/>
      <c r="X143" s="79"/>
      <c r="Y143" s="79"/>
      <c r="Z143" s="79"/>
      <c r="AA143" s="79"/>
      <c r="AB143" s="79"/>
      <c r="AL143" s="169">
        <f>IF(AU143=0,0,IFERROR(INDEX(RanglisteST5!K:K,MATCH(AU143,RanglisteST5!A:A,0)),0))</f>
        <v>157.91999999999999</v>
      </c>
      <c r="AM143" s="169">
        <f>IF(AU143=0,0,SUMIF(AU137:AU145,AU143,AV137:AV145))</f>
        <v>717</v>
      </c>
      <c r="AN143" s="169">
        <f>IF(AU143=0,0,SUMIF(AU137:AU145,AU143,AW137:AW145))</f>
        <v>5</v>
      </c>
      <c r="AO143" s="169">
        <f t="shared" si="127"/>
        <v>143.4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2</v>
      </c>
      <c r="AQ143" s="166"/>
      <c r="AR143" s="167"/>
      <c r="AS143" s="167"/>
      <c r="AT143" s="168"/>
      <c r="AU143" s="171">
        <f t="shared" si="128"/>
        <v>38674</v>
      </c>
      <c r="AV143" s="167">
        <f t="shared" si="129"/>
        <v>717</v>
      </c>
      <c r="AW143" s="169">
        <f t="shared" si="130"/>
        <v>5</v>
      </c>
      <c r="AX143" s="169">
        <f t="shared" si="131"/>
        <v>5</v>
      </c>
      <c r="AY143" s="169">
        <f t="shared" si="132"/>
        <v>132</v>
      </c>
      <c r="AZ143" s="169">
        <f t="shared" si="133"/>
        <v>142</v>
      </c>
      <c r="BA143" s="169">
        <f t="shared" si="134"/>
        <v>195</v>
      </c>
      <c r="BB143" s="169">
        <f t="shared" si="135"/>
        <v>147</v>
      </c>
      <c r="BC143" s="169">
        <f t="shared" si="136"/>
        <v>101</v>
      </c>
      <c r="BD143" s="170"/>
      <c r="BE143" s="168"/>
      <c r="BF143" s="169">
        <f t="shared" si="137"/>
        <v>195</v>
      </c>
      <c r="BG143" s="169">
        <f t="shared" si="138"/>
        <v>0</v>
      </c>
      <c r="BH143" s="169" t="str">
        <f t="shared" si="143"/>
        <v>Bowling Jugend Bayern 1</v>
      </c>
      <c r="BI143" s="168">
        <f t="shared" si="139"/>
        <v>2</v>
      </c>
      <c r="BJ143" s="169">
        <f t="shared" si="140"/>
        <v>717</v>
      </c>
      <c r="BK143" s="169">
        <f>IF(COUNTIF(AY143:BC143,"&gt;0")&lt;Spielorte!$A$23,0,AV143/Spielorte!$A$23)</f>
        <v>143.4</v>
      </c>
      <c r="BL143" s="169">
        <f t="shared" si="141"/>
        <v>0</v>
      </c>
      <c r="BM143" s="168">
        <f t="shared" si="142"/>
        <v>0</v>
      </c>
    </row>
    <row r="144" spans="1:65" ht="16.95" customHeight="1">
      <c r="A144" s="404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9"/>
      <c r="H144" s="222"/>
      <c r="I144" s="241">
        <f t="shared" si="122"/>
        <v>0</v>
      </c>
      <c r="J144" s="429"/>
      <c r="K144" s="222"/>
      <c r="L144" s="241">
        <f t="shared" si="123"/>
        <v>0</v>
      </c>
      <c r="M144" s="429"/>
      <c r="N144" s="222"/>
      <c r="O144" s="241">
        <f t="shared" si="124"/>
        <v>0</v>
      </c>
      <c r="P144" s="429"/>
      <c r="Q144" s="222"/>
      <c r="R144" s="241">
        <f t="shared" si="125"/>
        <v>0</v>
      </c>
      <c r="S144" s="429"/>
      <c r="T144" s="222">
        <f t="shared" si="126"/>
        <v>0</v>
      </c>
      <c r="U144" s="241">
        <f t="shared" si="126"/>
        <v>0</v>
      </c>
      <c r="V144" s="401"/>
      <c r="W144" s="79"/>
      <c r="X144" s="79"/>
      <c r="Y144" s="79"/>
      <c r="Z144" s="79"/>
      <c r="AA144" s="79"/>
      <c r="AB144" s="79"/>
      <c r="AL144" s="169">
        <f>IF(AU144=0,0,IFERROR(INDEX(RanglisteST5!K:K,MATCH(AU144,RanglisteST5!A:A,0)),0))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0</v>
      </c>
      <c r="BH144" s="169" t="str">
        <f t="shared" si="143"/>
        <v>Bowling Jugend Bayern 1</v>
      </c>
      <c r="BI144" s="168">
        <f t="shared" si="139"/>
        <v>2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0</v>
      </c>
      <c r="BM144" s="168">
        <f t="shared" si="142"/>
        <v>0</v>
      </c>
    </row>
    <row r="145" spans="1:65" ht="16.95" customHeight="1" thickBot="1">
      <c r="A145" s="405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30"/>
      <c r="H145" s="224"/>
      <c r="I145" s="242">
        <f t="shared" si="122"/>
        <v>0</v>
      </c>
      <c r="J145" s="430"/>
      <c r="K145" s="224"/>
      <c r="L145" s="242">
        <f t="shared" si="123"/>
        <v>0</v>
      </c>
      <c r="M145" s="430"/>
      <c r="N145" s="224"/>
      <c r="O145" s="242">
        <f t="shared" si="124"/>
        <v>0</v>
      </c>
      <c r="P145" s="430"/>
      <c r="Q145" s="224"/>
      <c r="R145" s="242">
        <f t="shared" si="125"/>
        <v>0</v>
      </c>
      <c r="S145" s="430"/>
      <c r="T145" s="224">
        <f t="shared" si="126"/>
        <v>0</v>
      </c>
      <c r="U145" s="242">
        <f t="shared" si="126"/>
        <v>0</v>
      </c>
      <c r="V145" s="402"/>
      <c r="W145" s="79"/>
      <c r="X145" s="79"/>
      <c r="Y145" s="79"/>
      <c r="Z145" s="79"/>
      <c r="AA145" s="79"/>
      <c r="AB145" s="79"/>
      <c r="AL145" s="169">
        <f>IF(AU145=0,0,IFERROR(INDEX(RanglisteST5!K:K,MATCH(AU145,RanglisteST5!A:A,0)),0))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0</v>
      </c>
      <c r="BH145" s="169" t="str">
        <f t="shared" si="143"/>
        <v>Bowling Jugend Bayern 1</v>
      </c>
      <c r="BI145" s="168">
        <f t="shared" si="139"/>
        <v>2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0</v>
      </c>
      <c r="BM145" s="168">
        <f t="shared" si="142"/>
        <v>0</v>
      </c>
    </row>
    <row r="146" spans="1:65" ht="27.75" customHeight="1" thickBot="1">
      <c r="B146" s="218" t="s">
        <v>1792</v>
      </c>
      <c r="C146" s="204"/>
      <c r="D146" s="219"/>
      <c r="E146" s="226">
        <f>ABS(SUM(E137:E139))+ABS(SUM(E140:E142))+ABS(SUM(E143:E145))</f>
        <v>353</v>
      </c>
      <c r="F146" s="225">
        <f>ABS(SUM(F137:F139))+ABS(SUM(F140:F142))+ABS(SUM(F143:F145))</f>
        <v>401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371</v>
      </c>
      <c r="I146" s="225">
        <f>ABS(SUM(I137:I139))+ABS(SUM(I140:I142))+ABS(SUM(I143:I145))</f>
        <v>419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461</v>
      </c>
      <c r="L146" s="225">
        <f>ABS(SUM(L137:L139))+ABS(SUM(L140:L142))+ABS(SUM(L143:L145))</f>
        <v>478</v>
      </c>
      <c r="M146" s="81">
        <f>IF(L146+K155=0,0,IF(L146=K155,Spielorte!$A$31/2,IF(L146&gt;K155,Spielorte!$A$31,0)))</f>
        <v>2</v>
      </c>
      <c r="N146" s="226">
        <f>ABS(SUM(N137:N139))+ABS(SUM(N140:N142))+ABS(SUM(N143:N145))</f>
        <v>446</v>
      </c>
      <c r="O146" s="225">
        <f>ABS(SUM(O137:O139))+ABS(SUM(O140:O142))+ABS(SUM(O143:O145))</f>
        <v>463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390</v>
      </c>
      <c r="R146" s="225">
        <f>ABS(SUM(R137:R139))+ABS(SUM(R140:R142))+ABS(SUM(R143:R145))</f>
        <v>431</v>
      </c>
      <c r="S146" s="81">
        <f>IF(R146+Q155=0,0,IF(R146=Q155,Spielorte!$A$31/2,IF(R146&gt;Q155,Spielorte!$A$31,0)))</f>
        <v>0</v>
      </c>
      <c r="T146" s="228">
        <f>SUM(E146+H146+K146+N146+Q146)</f>
        <v>2021</v>
      </c>
      <c r="U146" s="229">
        <f>SUM(F146+I146+L146+O146+R146)</f>
        <v>2192</v>
      </c>
      <c r="V146" s="12">
        <f>SUM(G146+J146+M146+P146+S146)</f>
        <v>2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3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3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3</v>
      </c>
      <c r="AR147" s="167">
        <f>+T146</f>
        <v>2021</v>
      </c>
      <c r="AS147" s="167">
        <f>+U146</f>
        <v>2192</v>
      </c>
      <c r="AT147" s="168">
        <f>+B132</f>
        <v>6</v>
      </c>
      <c r="AW147" s="169">
        <f>SUM(AW131:AW146)</f>
        <v>15</v>
      </c>
      <c r="BD147" s="166">
        <f>+AS147/1000000+AQ147+AR147/1000000000000</f>
        <v>3.0021920020209998</v>
      </c>
      <c r="BE147" s="168">
        <f>RANK(BD147,BD:BD)</f>
        <v>8</v>
      </c>
      <c r="BI147" s="168"/>
      <c r="BM147" s="168"/>
    </row>
    <row r="148" spans="1:65" ht="11.25" customHeight="1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>
      <c r="B149" s="231" t="s">
        <v>1790</v>
      </c>
      <c r="C149" s="210"/>
      <c r="D149" s="42"/>
      <c r="E149" s="434">
        <f>VLOOKUP($B132,Schlüssel!$A$5:$EK$12,83)</f>
        <v>8</v>
      </c>
      <c r="F149" s="435"/>
      <c r="G149" s="436"/>
      <c r="H149" s="434">
        <f>VLOOKUP($B132,Schlüssel!$A$5:$EK$12,84)</f>
        <v>3</v>
      </c>
      <c r="I149" s="435"/>
      <c r="J149" s="436"/>
      <c r="K149" s="434">
        <f>VLOOKUP($B132,Schlüssel!$A$5:$EK$12,85)</f>
        <v>4</v>
      </c>
      <c r="L149" s="435"/>
      <c r="M149" s="436"/>
      <c r="N149" s="434">
        <f>VLOOKUP($B132,Schlüssel!$A$5:$EK$12,86)</f>
        <v>7</v>
      </c>
      <c r="O149" s="435"/>
      <c r="P149" s="436"/>
      <c r="Q149" s="434">
        <f>VLOOKUP($B132,Schlüssel!$A$5:$EK$12,87)</f>
        <v>1</v>
      </c>
      <c r="R149" s="435"/>
      <c r="S149" s="436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>
      <c r="B150" s="3" t="s">
        <v>9</v>
      </c>
      <c r="C150" s="1"/>
      <c r="D150" s="1"/>
      <c r="E150" s="395" t="str">
        <f>VLOOKUP(E149,Schlüssel!$A$5:$K$12,2)</f>
        <v>EMAX 1</v>
      </c>
      <c r="F150" s="438"/>
      <c r="G150" s="396"/>
      <c r="H150" s="395" t="str">
        <f>VLOOKUP(H149,Schlüssel!$A$5:$K$12,2)</f>
        <v>Highroller Rosenheim 2</v>
      </c>
      <c r="I150" s="438"/>
      <c r="J150" s="396"/>
      <c r="K150" s="395" t="str">
        <f>VLOOKUP(K149,Schlüssel!$A$5:$K$12,2)</f>
        <v>Highroller Rosenheim 3</v>
      </c>
      <c r="L150" s="438"/>
      <c r="M150" s="396"/>
      <c r="N150" s="395" t="str">
        <f>VLOOKUP(N149,Schlüssel!$A$5:$K$12,2)</f>
        <v>BK München 1</v>
      </c>
      <c r="O150" s="438"/>
      <c r="P150" s="396"/>
      <c r="Q150" s="395" t="str">
        <f>VLOOKUP(Q149,Schlüssel!$A$5:$K$12,2)</f>
        <v>Bad Tölz 1</v>
      </c>
      <c r="R150" s="438"/>
      <c r="S150" s="396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" customHeight="1">
      <c r="B152" s="417" t="s">
        <v>2275</v>
      </c>
      <c r="C152" s="418"/>
      <c r="D152" s="419"/>
      <c r="E152" s="431">
        <f>ABS(INDEX(F:F,MATCH(E149,$B:$B,0)+5)+INDEX(F:F,MATCH(E149,$B:$B,0)+6)+INDEX(F:F,MATCH(E149,$B:$B,0)+7))</f>
        <v>166</v>
      </c>
      <c r="F152" s="432"/>
      <c r="G152" s="433"/>
      <c r="H152" s="431">
        <f>ABS(INDEX(I:I,MATCH(H149,$B:$B,0)+5)+INDEX(I:I,MATCH(H149,$B:$B,0)+6)+INDEX(I:I,MATCH(H149,$B:$B,0)+7))</f>
        <v>170</v>
      </c>
      <c r="I152" s="432"/>
      <c r="J152" s="433"/>
      <c r="K152" s="431">
        <f>ABS(INDEX(L:L,MATCH(K149,$B:$B,0)+5)+INDEX(L:L,MATCH(K149,$B:$B,0)+6)+INDEX(L:L,MATCH(K149,$B:$B,0)+7))</f>
        <v>160</v>
      </c>
      <c r="L152" s="432"/>
      <c r="M152" s="433"/>
      <c r="N152" s="431">
        <f>ABS(INDEX(O:O,MATCH(N149,$B:$B,0)+5)+INDEX(O:O,MATCH(N149,$B:$B,0)+6)+INDEX(O:O,MATCH(N149,$B:$B,0)+7))</f>
        <v>180</v>
      </c>
      <c r="O152" s="432"/>
      <c r="P152" s="433"/>
      <c r="Q152" s="431">
        <f>ABS(INDEX(R:R,MATCH(Q149,$B:$B,0)+5)+INDEX(R:R,MATCH(Q149,$B:$B,0)+6)+INDEX(R:R,MATCH(Q149,$B:$B,0)+7))</f>
        <v>185</v>
      </c>
      <c r="R152" s="432"/>
      <c r="S152" s="433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" customHeight="1">
      <c r="B153" s="417" t="s">
        <v>2276</v>
      </c>
      <c r="C153" s="418"/>
      <c r="D153" s="419"/>
      <c r="E153" s="424">
        <f>ABS(INDEX(F:F,MATCH(E149,$B:$B,0)+8)+INDEX(F:F,MATCH(E149,$B:$B,0)+9)+INDEX(F:F,MATCH(E149,$B:$B,0)+10))</f>
        <v>155</v>
      </c>
      <c r="F153" s="425"/>
      <c r="G153" s="426"/>
      <c r="H153" s="424">
        <f>ABS(INDEX(I:I,MATCH(H149,$B:$B,0)+8)+INDEX(I:I,MATCH(H149,$B:$B,0)+9)+INDEX(I:I,MATCH(H149,$B:$B,0)+10))</f>
        <v>161</v>
      </c>
      <c r="I153" s="425"/>
      <c r="J153" s="426"/>
      <c r="K153" s="424">
        <f>ABS(INDEX(L:L,MATCH(K149,$B:$B,0)+8)+INDEX(L:L,MATCH(K149,$B:$B,0)+9)+INDEX(L:L,MATCH(K149,$B:$B,0)+10))</f>
        <v>163</v>
      </c>
      <c r="L153" s="425"/>
      <c r="M153" s="426"/>
      <c r="N153" s="424">
        <f>ABS(INDEX(O:O,MATCH(N149,$B:$B,0)+8)+INDEX(O:O,MATCH(N149,$B:$B,0)+9)+INDEX(O:O,MATCH(N149,$B:$B,0)+10))</f>
        <v>192</v>
      </c>
      <c r="O153" s="425"/>
      <c r="P153" s="426"/>
      <c r="Q153" s="424">
        <f>ABS(INDEX(R:R,MATCH(Q149,$B:$B,0)+8)+INDEX(R:R,MATCH(Q149,$B:$B,0)+9)+INDEX(R:R,MATCH(Q149,$B:$B,0)+10))</f>
        <v>176</v>
      </c>
      <c r="R153" s="425"/>
      <c r="S153" s="426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" customHeight="1">
      <c r="B154" s="417" t="s">
        <v>2277</v>
      </c>
      <c r="C154" s="418"/>
      <c r="D154" s="419"/>
      <c r="E154" s="424">
        <f>ABS(INDEX(F:F,MATCH(E149,$B:$B,0)+11)+INDEX(F:F,MATCH(E149,$B:$B,0)+12)+INDEX(F:F,MATCH(E149,$B:$B,0)+13))</f>
        <v>176</v>
      </c>
      <c r="F154" s="425"/>
      <c r="G154" s="426"/>
      <c r="H154" s="424">
        <f>ABS(INDEX(I:I,MATCH(H149,$B:$B,0)+11)+INDEX(I:I,MATCH(H149,$B:$B,0)+12)+INDEX(I:I,MATCH(H149,$B:$B,0)+13))</f>
        <v>169</v>
      </c>
      <c r="I154" s="425"/>
      <c r="J154" s="426"/>
      <c r="K154" s="424">
        <f>ABS(INDEX(L:L,MATCH(K149,$B:$B,0)+11)+INDEX(L:L,MATCH(K149,$B:$B,0)+12)+INDEX(L:L,MATCH(K149,$B:$B,0)+13))</f>
        <v>134</v>
      </c>
      <c r="L154" s="425"/>
      <c r="M154" s="426"/>
      <c r="N154" s="424">
        <f>ABS(INDEX(O:O,MATCH(N149,$B:$B,0)+11)+INDEX(O:O,MATCH(N149,$B:$B,0)+12)+INDEX(O:O,MATCH(N149,$B:$B,0)+13))</f>
        <v>208</v>
      </c>
      <c r="O154" s="425"/>
      <c r="P154" s="426"/>
      <c r="Q154" s="424">
        <f>ABS(INDEX(R:R,MATCH(Q149,$B:$B,0)+11)+INDEX(R:R,MATCH(Q149,$B:$B,0)+12)+INDEX(R:R,MATCH(Q149,$B:$B,0)+13))</f>
        <v>138</v>
      </c>
      <c r="R154" s="425"/>
      <c r="S154" s="426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" customHeight="1">
      <c r="B155" s="420" t="s">
        <v>2278</v>
      </c>
      <c r="C155" s="421"/>
      <c r="D155" s="422"/>
      <c r="E155" s="407">
        <f>SUM(E152:E154)</f>
        <v>497</v>
      </c>
      <c r="F155" s="423"/>
      <c r="G155" s="408"/>
      <c r="H155" s="407">
        <f>SUM(H152:H154)</f>
        <v>500</v>
      </c>
      <c r="I155" s="423"/>
      <c r="J155" s="408"/>
      <c r="K155" s="407">
        <f>SUM(K152:K154)</f>
        <v>457</v>
      </c>
      <c r="L155" s="423"/>
      <c r="M155" s="408"/>
      <c r="N155" s="407">
        <f>SUM(N152:N154)</f>
        <v>580</v>
      </c>
      <c r="O155" s="423"/>
      <c r="P155" s="408"/>
      <c r="Q155" s="407">
        <f>SUM(Q152:Q154)</f>
        <v>499</v>
      </c>
      <c r="R155" s="423"/>
      <c r="S155" s="408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>
      <c r="A157" s="255"/>
      <c r="B157" s="7" t="s">
        <v>1802</v>
      </c>
      <c r="C157" s="24"/>
      <c r="D157" s="24"/>
      <c r="E157" s="35" t="s">
        <v>1786</v>
      </c>
      <c r="F157" s="35"/>
      <c r="G157" s="427" t="str">
        <f>Schlüssel!$C$1</f>
        <v>Landesliga Jugend</v>
      </c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  <c r="S157" s="406">
        <f>Schlüssel!$CO$1</f>
        <v>45794</v>
      </c>
      <c r="T157" s="406"/>
      <c r="U157" s="406"/>
      <c r="V157" s="406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>
      <c r="A158" s="53"/>
      <c r="B158" s="54">
        <v>7</v>
      </c>
      <c r="E158" s="35" t="s">
        <v>1787</v>
      </c>
      <c r="F158" s="35"/>
      <c r="G158" s="413" t="str">
        <f>Schlüssel!$CE$2</f>
        <v>Olching 5005 Bowling</v>
      </c>
      <c r="H158" s="413"/>
      <c r="I158" s="413"/>
      <c r="J158" s="413"/>
      <c r="K158" s="413"/>
      <c r="L158" s="413"/>
      <c r="M158" s="413"/>
      <c r="N158" s="413"/>
      <c r="O158" s="413"/>
      <c r="P158" s="66"/>
      <c r="Q158" s="411" t="s">
        <v>1785</v>
      </c>
      <c r="R158" s="412"/>
      <c r="S158" s="38">
        <v>5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>
      <c r="B159" s="414" t="str">
        <f>VLOOKUP(B158,Schlüssel!$A$5:$B$12,2)</f>
        <v>BK München 1</v>
      </c>
      <c r="C159" s="415"/>
      <c r="D159" s="415"/>
      <c r="E159" s="415"/>
      <c r="F159" s="415"/>
      <c r="G159" s="416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3.8" hidden="1" thickBot="1">
      <c r="A160" s="6"/>
      <c r="B160" s="7"/>
      <c r="C160" s="43"/>
      <c r="D160" s="43"/>
      <c r="E160" s="162" t="s">
        <v>10</v>
      </c>
      <c r="F160" s="220"/>
      <c r="G160" s="159">
        <f>VLOOKUP(B158,Schlüssel!$A$5:$EK$12,93)</f>
        <v>1</v>
      </c>
      <c r="H160" s="161" t="s">
        <v>10</v>
      </c>
      <c r="I160" s="220"/>
      <c r="J160" s="159">
        <f>VLOOKUP(B158,Schlüssel!$A$5:$EK$12,94)</f>
        <v>8</v>
      </c>
      <c r="K160" s="161" t="s">
        <v>10</v>
      </c>
      <c r="L160" s="220"/>
      <c r="M160" s="159">
        <f>VLOOKUP(B158,Schlüssel!$A$5:$EK$12,95)</f>
        <v>6</v>
      </c>
      <c r="N160" s="161" t="s">
        <v>10</v>
      </c>
      <c r="O160" s="220"/>
      <c r="P160" s="159">
        <f>VLOOKUP(B158,Schlüssel!$A$5:$EK$12,96)</f>
        <v>1</v>
      </c>
      <c r="Q160" s="161" t="s">
        <v>10</v>
      </c>
      <c r="R160" s="220"/>
      <c r="S160" s="160">
        <f>VLOOKUP(B158,Schlüssel!$A$5:$EK$12,97)</f>
        <v>5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>
      <c r="B161" s="44" t="s">
        <v>1</v>
      </c>
      <c r="C161" s="208"/>
      <c r="D161" s="217"/>
      <c r="E161" s="423" t="s">
        <v>1793</v>
      </c>
      <c r="F161" s="423"/>
      <c r="G161" s="408"/>
      <c r="H161" s="407" t="s">
        <v>1794</v>
      </c>
      <c r="I161" s="423"/>
      <c r="J161" s="408"/>
      <c r="K161" s="407" t="s">
        <v>1795</v>
      </c>
      <c r="L161" s="423"/>
      <c r="M161" s="408"/>
      <c r="N161" s="407" t="s">
        <v>1796</v>
      </c>
      <c r="O161" s="423"/>
      <c r="P161" s="408"/>
      <c r="Q161" s="407" t="s">
        <v>1797</v>
      </c>
      <c r="R161" s="423"/>
      <c r="S161" s="437"/>
      <c r="T161" s="439" t="s">
        <v>1792</v>
      </c>
      <c r="U161" s="440"/>
      <c r="V161" s="410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6.95" customHeight="1">
      <c r="A163" s="403" t="s">
        <v>0</v>
      </c>
      <c r="B163" s="58" t="str">
        <f>IF(C163=0,"",VLOOKUP(C163,Starter!$A$1:$D$196,2,FALSE))</f>
        <v>Jakobi, Moritz</v>
      </c>
      <c r="C163" s="232">
        <v>38327</v>
      </c>
      <c r="D163" s="238">
        <f t="shared" ref="D163:D171" si="144">+AP163</f>
        <v>0</v>
      </c>
      <c r="E163" s="221">
        <v>221</v>
      </c>
      <c r="F163" s="240">
        <f t="shared" ref="F163:F171" si="145">IF(E163&gt;0,E163+$D163,0)</f>
        <v>221</v>
      </c>
      <c r="G163" s="428">
        <f>IF(SUM(F163:F165)+E178=0,0,IF(ABS(SUM(F163:F165))=E178,Spielorte!$A$30/2,IF(ABS(SUM(F163:F165))&gt;E178,Spielorte!$A$30,0)))</f>
        <v>1</v>
      </c>
      <c r="H163" s="221">
        <v>193</v>
      </c>
      <c r="I163" s="240">
        <f t="shared" ref="I163:I171" si="146">IF(H163&gt;0,H163+$D163,0)</f>
        <v>193</v>
      </c>
      <c r="J163" s="428">
        <f>IF(SUM(I163:I165)+H178=0,0,IF(ABS(SUM(I163:I165))=H178,Spielorte!$A$30/2,IF(ABS(SUM(I163:I165))&gt;H178,Spielorte!$A$30,0)))</f>
        <v>1</v>
      </c>
      <c r="K163" s="221">
        <v>223</v>
      </c>
      <c r="L163" s="240">
        <f t="shared" ref="L163:L171" si="147">IF(K163&gt;0,K163+$D163,0)</f>
        <v>223</v>
      </c>
      <c r="M163" s="428">
        <f>IF(SUM(L163:L165)+K178=0,0,IF(ABS(SUM(L163:L165))=K178,Spielorte!$A$30/2,IF(ABS(SUM(L163:L165))&gt;K178,Spielorte!$A$30,0)))</f>
        <v>1</v>
      </c>
      <c r="N163" s="221">
        <v>180</v>
      </c>
      <c r="O163" s="240">
        <f t="shared" ref="O163:O171" si="148">IF(N163&gt;0,N163+$D163,0)</f>
        <v>180</v>
      </c>
      <c r="P163" s="428">
        <f>IF(SUM(O163:O165)+N178=0,0,IF(ABS(SUM(O163:O165))=N178,Spielorte!$A$30/2,IF(ABS(SUM(O163:O165))&gt;N178,Spielorte!$A$30,0)))</f>
        <v>1</v>
      </c>
      <c r="Q163" s="221">
        <v>237</v>
      </c>
      <c r="R163" s="240">
        <f t="shared" ref="R163:R171" si="149">IF(Q163&gt;0,Q163+$D163,0)</f>
        <v>237</v>
      </c>
      <c r="S163" s="428">
        <f>IF(SUM(R163:R165)+Q178=0,0,IF(ABS(SUM(R163:R165))=Q178,Spielorte!$A$30/2,IF(ABS(SUM(R163:R165))&gt;Q178,Spielorte!$A$30,0)))</f>
        <v>1</v>
      </c>
      <c r="T163" s="221">
        <f t="shared" ref="T163:T171" si="150">ABS(SUM(E163:E163))+ABS(SUM(H163:H163))+ABS(SUM(K163:K163))+ABS(SUM(N163:N163))+ABS(SUM(Q163:Q163))</f>
        <v>1054</v>
      </c>
      <c r="U163" s="240">
        <f t="shared" ref="U163:U171" si="151">ABS(SUM(F163:F163))+ABS(SUM(I163:I163))+ABS(SUM(L163:L163))+ABS(SUM(O163:O163))+ABS(SUM(R163:R163))</f>
        <v>1054</v>
      </c>
      <c r="V163" s="400">
        <f>SUM(G163+J163+M163+P163+S163)</f>
        <v>5</v>
      </c>
      <c r="W163" s="79"/>
      <c r="X163" s="79"/>
      <c r="Y163" s="79"/>
      <c r="Z163" s="79"/>
      <c r="AA163" s="79"/>
      <c r="AB163" s="79"/>
      <c r="AL163" s="169">
        <f>IF(AU163=0,0,IFERROR(INDEX(RanglisteST5!K:K,MATCH(AU163,RanglisteST5!A:A,0)),0))</f>
        <v>195.81</v>
      </c>
      <c r="AM163" s="169">
        <f>IF(AU163=0,0,SUMIF(AU163:AU171,AU163,AV163:AV171))</f>
        <v>1054</v>
      </c>
      <c r="AN163" s="169">
        <f>IF(AU163=0,0,SUMIF(AU163:AU171,AU163,AW163:AW171))</f>
        <v>5</v>
      </c>
      <c r="AO163" s="169">
        <f t="shared" ref="AO163:AO171" si="152">IFERROR(AM163/AN163,0)</f>
        <v>210.8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38327</v>
      </c>
      <c r="AV163" s="167">
        <f t="shared" ref="AV163:AV171" si="154">T163</f>
        <v>1054</v>
      </c>
      <c r="AW163" s="169">
        <f t="shared" ref="AW163:AW171" si="155">COUNT(AY163:BC163)</f>
        <v>5</v>
      </c>
      <c r="AX163" s="169">
        <f t="shared" ref="AX163:AX171" si="156">COUNTIF(AY163:BC163,"&gt;0")</f>
        <v>5</v>
      </c>
      <c r="AY163" s="169">
        <f t="shared" ref="AY163:AY171" si="157">IF(E163=0,"",E163)</f>
        <v>221</v>
      </c>
      <c r="AZ163" s="169">
        <f t="shared" ref="AZ163:AZ171" si="158">IF(H163=0,"",H163)</f>
        <v>193</v>
      </c>
      <c r="BA163" s="169">
        <f t="shared" ref="BA163:BA171" si="159">IF(K163=0,"",K163)</f>
        <v>223</v>
      </c>
      <c r="BB163" s="169">
        <f t="shared" ref="BB163:BB171" si="160">IF(N163=0,"",N163)</f>
        <v>180</v>
      </c>
      <c r="BC163" s="169">
        <f t="shared" ref="BC163:BC171" si="161">IF(Q163=0,"",Q163)</f>
        <v>237</v>
      </c>
      <c r="BD163" s="170"/>
      <c r="BE163" s="168"/>
      <c r="BF163" s="169">
        <f t="shared" ref="BF163:BF171" si="162">MAX(AY163:BC163)</f>
        <v>237</v>
      </c>
      <c r="BG163" s="169">
        <f t="shared" ref="BG163:BG171" si="163">IF(BF163&lt;MAX(BF:BF),0,BF163+ROW()/1000000000)</f>
        <v>0</v>
      </c>
      <c r="BH163" s="169" t="str">
        <f>+B159</f>
        <v>BK München 1</v>
      </c>
      <c r="BI163" s="168">
        <f t="shared" ref="BI163:BI171" si="164">RANK(BG163,BG:BG)</f>
        <v>2</v>
      </c>
      <c r="BJ163" s="169">
        <f t="shared" ref="BJ163:BJ171" si="165">SUMIF(AY163:BC163,"&gt;0")</f>
        <v>1054</v>
      </c>
      <c r="BK163" s="169">
        <f>IF(COUNTIF(AY163:BC163,"&gt;0")&lt;Spielorte!$A$23,0,AV163/Spielorte!$A$23)</f>
        <v>210.8</v>
      </c>
      <c r="BL163" s="169">
        <f t="shared" ref="BL163:BL171" si="166">IF(BK163&lt;MAX(BK:BK),0,BK163+ROW()/1000000000)</f>
        <v>0</v>
      </c>
      <c r="BM163" s="168">
        <f t="shared" ref="BM163:BM171" si="167">IF(BL163=0,0,RANK(BL163,BL:BL))</f>
        <v>0</v>
      </c>
    </row>
    <row r="164" spans="1:65" ht="16.95" customHeight="1">
      <c r="A164" s="404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9"/>
      <c r="H164" s="222"/>
      <c r="I164" s="241">
        <f t="shared" si="146"/>
        <v>0</v>
      </c>
      <c r="J164" s="429"/>
      <c r="K164" s="222"/>
      <c r="L164" s="241">
        <f t="shared" si="147"/>
        <v>0</v>
      </c>
      <c r="M164" s="429"/>
      <c r="N164" s="222"/>
      <c r="O164" s="241">
        <f t="shared" si="148"/>
        <v>0</v>
      </c>
      <c r="P164" s="429"/>
      <c r="Q164" s="222"/>
      <c r="R164" s="241">
        <f t="shared" si="149"/>
        <v>0</v>
      </c>
      <c r="S164" s="429"/>
      <c r="T164" s="222">
        <f t="shared" si="150"/>
        <v>0</v>
      </c>
      <c r="U164" s="241">
        <f t="shared" si="151"/>
        <v>0</v>
      </c>
      <c r="V164" s="401"/>
      <c r="W164" s="79"/>
      <c r="X164" s="79"/>
      <c r="Y164" s="79"/>
      <c r="Z164" s="79"/>
      <c r="AA164" s="79"/>
      <c r="AB164" s="79"/>
      <c r="AL164" s="169">
        <f>IF(AU164=0,0,IFERROR(INDEX(RanglisteST5!K:K,MATCH(AU164,RanglisteST5!A:A,0)),0))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0</v>
      </c>
      <c r="BH164" s="169" t="str">
        <f t="shared" ref="BH164:BH171" si="168">+BH163</f>
        <v>BK München 1</v>
      </c>
      <c r="BI164" s="168">
        <f t="shared" si="164"/>
        <v>2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0</v>
      </c>
      <c r="BM164" s="168">
        <f t="shared" si="167"/>
        <v>0</v>
      </c>
    </row>
    <row r="165" spans="1:65" ht="16.95" customHeight="1" thickBot="1">
      <c r="A165" s="405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30"/>
      <c r="H165" s="224"/>
      <c r="I165" s="242">
        <f t="shared" si="146"/>
        <v>0</v>
      </c>
      <c r="J165" s="430"/>
      <c r="K165" s="224"/>
      <c r="L165" s="242">
        <f t="shared" si="147"/>
        <v>0</v>
      </c>
      <c r="M165" s="430"/>
      <c r="N165" s="224"/>
      <c r="O165" s="242">
        <f t="shared" si="148"/>
        <v>0</v>
      </c>
      <c r="P165" s="430"/>
      <c r="Q165" s="224"/>
      <c r="R165" s="242">
        <f t="shared" si="149"/>
        <v>0</v>
      </c>
      <c r="S165" s="430"/>
      <c r="T165" s="224">
        <f t="shared" si="150"/>
        <v>0</v>
      </c>
      <c r="U165" s="242">
        <f t="shared" si="151"/>
        <v>0</v>
      </c>
      <c r="V165" s="402"/>
      <c r="W165" s="79"/>
      <c r="X165" s="79"/>
      <c r="Y165" s="79"/>
      <c r="Z165" s="79"/>
      <c r="AA165" s="79"/>
      <c r="AB165" s="79"/>
      <c r="AL165" s="169">
        <f>IF(AU165=0,0,IFERROR(INDEX(RanglisteST5!K:K,MATCH(AU165,RanglisteST5!A:A,0)),0))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0</v>
      </c>
      <c r="BH165" s="169" t="str">
        <f t="shared" si="168"/>
        <v>BK München 1</v>
      </c>
      <c r="BI165" s="168">
        <f t="shared" si="164"/>
        <v>2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0</v>
      </c>
      <c r="BM165" s="168">
        <f t="shared" si="167"/>
        <v>0</v>
      </c>
    </row>
    <row r="166" spans="1:65" ht="16.95" customHeight="1">
      <c r="A166" s="403" t="s">
        <v>2</v>
      </c>
      <c r="B166" s="58" t="str">
        <f>IF(C166=0,"",VLOOKUP(C166,Starter!$A$1:$D$196,2,FALSE))</f>
        <v>Lauchner, Julian</v>
      </c>
      <c r="C166" s="235">
        <v>38334</v>
      </c>
      <c r="D166" s="238">
        <f t="shared" si="144"/>
        <v>0</v>
      </c>
      <c r="E166" s="221">
        <v>197</v>
      </c>
      <c r="F166" s="240">
        <f t="shared" si="145"/>
        <v>197</v>
      </c>
      <c r="G166" s="428">
        <f>IF(SUM(F166:F168)+E179=0,0,IF(ABS(SUM(F166:F168))=E179,Spielorte!$A$30/2,IF(ABS(SUM(F166:F168))&gt;E179,Spielorte!$A$30,0)))</f>
        <v>1</v>
      </c>
      <c r="H166" s="221">
        <v>184</v>
      </c>
      <c r="I166" s="240">
        <f t="shared" si="146"/>
        <v>184</v>
      </c>
      <c r="J166" s="428">
        <f>IF(SUM(I166:I168)+H179=0,0,IF(ABS(SUM(I166:I168))=H179,Spielorte!$A$30/2,IF(ABS(SUM(I166:I168))&gt;H179,Spielorte!$A$30,0)))</f>
        <v>1</v>
      </c>
      <c r="K166" s="221">
        <v>195</v>
      </c>
      <c r="L166" s="240">
        <f t="shared" si="147"/>
        <v>195</v>
      </c>
      <c r="M166" s="428">
        <f>IF(SUM(L166:L168)+K179=0,0,IF(ABS(SUM(L166:L168))=K179,Spielorte!$A$30/2,IF(ABS(SUM(L166:L168))&gt;K179,Spielorte!$A$30,0)))</f>
        <v>1</v>
      </c>
      <c r="N166" s="221">
        <v>192</v>
      </c>
      <c r="O166" s="240">
        <f t="shared" si="148"/>
        <v>192</v>
      </c>
      <c r="P166" s="428">
        <f>IF(SUM(O166:O168)+N179=0,0,IF(ABS(SUM(O166:O168))=N179,Spielorte!$A$30/2,IF(ABS(SUM(O166:O168))&gt;N179,Spielorte!$A$30,0)))</f>
        <v>1</v>
      </c>
      <c r="Q166" s="221">
        <v>165</v>
      </c>
      <c r="R166" s="240">
        <f t="shared" si="149"/>
        <v>165</v>
      </c>
      <c r="S166" s="428">
        <f>IF(SUM(R166:R168)+Q179=0,0,IF(ABS(SUM(R166:R168))=Q179,Spielorte!$A$30/2,IF(ABS(SUM(R166:R168))&gt;Q179,Spielorte!$A$30,0)))</f>
        <v>0</v>
      </c>
      <c r="T166" s="221">
        <f t="shared" si="150"/>
        <v>933</v>
      </c>
      <c r="U166" s="240">
        <f t="shared" si="151"/>
        <v>933</v>
      </c>
      <c r="V166" s="400">
        <f>SUM(G166+J166+M166+P166+S166)</f>
        <v>4</v>
      </c>
      <c r="W166" s="79"/>
      <c r="X166" s="79"/>
      <c r="Y166" s="79"/>
      <c r="Z166" s="79"/>
      <c r="AA166" s="79"/>
      <c r="AB166" s="79"/>
      <c r="AL166" s="169">
        <f>IF(AU166=0,0,IFERROR(INDEX(RanglisteST5!K:K,MATCH(AU166,RanglisteST5!A:A,0)),0))</f>
        <v>187.95</v>
      </c>
      <c r="AM166" s="169">
        <f>IF(AU166=0,0,SUMIF(AU163:AU171,AU166,AV163:AV171))</f>
        <v>933</v>
      </c>
      <c r="AN166" s="169">
        <f>IF(AU166=0,0,SUMIF(AU163:AU171,AU166,AW163:AW171))</f>
        <v>5</v>
      </c>
      <c r="AO166" s="169">
        <f t="shared" si="152"/>
        <v>186.6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38334</v>
      </c>
      <c r="AV166" s="167">
        <f t="shared" si="154"/>
        <v>933</v>
      </c>
      <c r="AW166" s="169">
        <f t="shared" si="155"/>
        <v>5</v>
      </c>
      <c r="AX166" s="169">
        <f t="shared" si="156"/>
        <v>5</v>
      </c>
      <c r="AY166" s="169">
        <f t="shared" si="157"/>
        <v>197</v>
      </c>
      <c r="AZ166" s="169">
        <f t="shared" si="158"/>
        <v>184</v>
      </c>
      <c r="BA166" s="169">
        <f t="shared" si="159"/>
        <v>195</v>
      </c>
      <c r="BB166" s="169">
        <f t="shared" si="160"/>
        <v>192</v>
      </c>
      <c r="BC166" s="169">
        <f t="shared" si="161"/>
        <v>165</v>
      </c>
      <c r="BD166" s="170"/>
      <c r="BE166" s="168"/>
      <c r="BF166" s="169">
        <f t="shared" si="162"/>
        <v>197</v>
      </c>
      <c r="BG166" s="169">
        <f t="shared" si="163"/>
        <v>0</v>
      </c>
      <c r="BH166" s="169" t="str">
        <f t="shared" si="168"/>
        <v>BK München 1</v>
      </c>
      <c r="BI166" s="168">
        <f t="shared" si="164"/>
        <v>2</v>
      </c>
      <c r="BJ166" s="169">
        <f t="shared" si="165"/>
        <v>933</v>
      </c>
      <c r="BK166" s="169">
        <f>IF(COUNTIF(AY166:BC166,"&gt;0")&lt;Spielorte!$A$23,0,AV166/Spielorte!$A$23)</f>
        <v>186.6</v>
      </c>
      <c r="BL166" s="169">
        <f t="shared" si="166"/>
        <v>0</v>
      </c>
      <c r="BM166" s="168">
        <f t="shared" si="167"/>
        <v>0</v>
      </c>
    </row>
    <row r="167" spans="1:65" ht="16.95" customHeight="1">
      <c r="A167" s="404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9"/>
      <c r="H167" s="222"/>
      <c r="I167" s="241">
        <f t="shared" si="146"/>
        <v>0</v>
      </c>
      <c r="J167" s="429"/>
      <c r="K167" s="222"/>
      <c r="L167" s="241">
        <f t="shared" si="147"/>
        <v>0</v>
      </c>
      <c r="M167" s="429"/>
      <c r="N167" s="222"/>
      <c r="O167" s="241">
        <f t="shared" si="148"/>
        <v>0</v>
      </c>
      <c r="P167" s="429"/>
      <c r="Q167" s="222"/>
      <c r="R167" s="241">
        <f t="shared" si="149"/>
        <v>0</v>
      </c>
      <c r="S167" s="429"/>
      <c r="T167" s="222">
        <f t="shared" si="150"/>
        <v>0</v>
      </c>
      <c r="U167" s="241">
        <f t="shared" si="151"/>
        <v>0</v>
      </c>
      <c r="V167" s="401"/>
      <c r="W167" s="79"/>
      <c r="X167" s="79"/>
      <c r="Y167" s="79"/>
      <c r="Z167" s="79"/>
      <c r="AA167" s="79"/>
      <c r="AB167" s="79"/>
      <c r="AL167" s="169">
        <f>IF(AU167=0,0,IFERROR(INDEX(RanglisteST5!K:K,MATCH(AU167,RanglisteST5!A:A,0)),0))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0</v>
      </c>
      <c r="BH167" s="169" t="str">
        <f t="shared" si="168"/>
        <v>BK München 1</v>
      </c>
      <c r="BI167" s="168">
        <f t="shared" si="164"/>
        <v>2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0</v>
      </c>
      <c r="BM167" s="168">
        <f t="shared" si="167"/>
        <v>0</v>
      </c>
    </row>
    <row r="168" spans="1:65" ht="16.95" customHeight="1" thickBot="1">
      <c r="A168" s="405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30"/>
      <c r="H168" s="224"/>
      <c r="I168" s="242">
        <f t="shared" si="146"/>
        <v>0</v>
      </c>
      <c r="J168" s="430"/>
      <c r="K168" s="224"/>
      <c r="L168" s="242">
        <f t="shared" si="147"/>
        <v>0</v>
      </c>
      <c r="M168" s="430"/>
      <c r="N168" s="224"/>
      <c r="O168" s="242">
        <f t="shared" si="148"/>
        <v>0</v>
      </c>
      <c r="P168" s="430"/>
      <c r="Q168" s="224"/>
      <c r="R168" s="242">
        <f t="shared" si="149"/>
        <v>0</v>
      </c>
      <c r="S168" s="430"/>
      <c r="T168" s="224">
        <f t="shared" si="150"/>
        <v>0</v>
      </c>
      <c r="U168" s="242">
        <f t="shared" si="151"/>
        <v>0</v>
      </c>
      <c r="V168" s="402"/>
      <c r="W168" s="79"/>
      <c r="X168" s="79"/>
      <c r="Y168" s="79"/>
      <c r="Z168" s="79"/>
      <c r="AA168" s="79"/>
      <c r="AB168" s="79"/>
      <c r="AL168" s="169">
        <f>IF(AU168=0,0,IFERROR(INDEX(RanglisteST5!K:K,MATCH(AU168,RanglisteST5!A:A,0)),0))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0</v>
      </c>
      <c r="BH168" s="169" t="str">
        <f t="shared" si="168"/>
        <v>BK München 1</v>
      </c>
      <c r="BI168" s="168">
        <f t="shared" si="164"/>
        <v>2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0</v>
      </c>
      <c r="BM168" s="168">
        <f t="shared" si="167"/>
        <v>0</v>
      </c>
    </row>
    <row r="169" spans="1:65" ht="16.95" customHeight="1">
      <c r="A169" s="403" t="s">
        <v>3</v>
      </c>
      <c r="B169" s="58" t="str">
        <f>IF(C169=0,"",VLOOKUP(C169,Starter!$A$1:$D$196,2,FALSE))</f>
        <v>Gründl, Alexander</v>
      </c>
      <c r="C169" s="235">
        <v>38708</v>
      </c>
      <c r="D169" s="238">
        <f t="shared" si="144"/>
        <v>0</v>
      </c>
      <c r="E169" s="221">
        <v>153</v>
      </c>
      <c r="F169" s="240">
        <f t="shared" si="145"/>
        <v>153</v>
      </c>
      <c r="G169" s="428">
        <f>IF(SUM(F169:F171)+E180=0,0,IF(ABS(SUM(F169:F171))=E180,Spielorte!$A$30/2,IF(ABS(SUM(F169:F171))&gt;E180,Spielorte!$A$30,0)))</f>
        <v>1</v>
      </c>
      <c r="H169" s="221">
        <v>241</v>
      </c>
      <c r="I169" s="240">
        <f t="shared" si="146"/>
        <v>241</v>
      </c>
      <c r="J169" s="428">
        <f>IF(SUM(I169:I171)+H180=0,0,IF(ABS(SUM(I169:I171))=H180,Spielorte!$A$30/2,IF(ABS(SUM(I169:I171))&gt;H180,Spielorte!$A$30,0)))</f>
        <v>1</v>
      </c>
      <c r="K169" s="221">
        <v>257</v>
      </c>
      <c r="L169" s="240">
        <f t="shared" si="147"/>
        <v>257</v>
      </c>
      <c r="M169" s="428">
        <f>IF(SUM(L169:L171)+K180=0,0,IF(ABS(SUM(L169:L171))=K180,Spielorte!$A$30/2,IF(ABS(SUM(L169:L171))&gt;K180,Spielorte!$A$30,0)))</f>
        <v>1</v>
      </c>
      <c r="N169" s="221">
        <v>208</v>
      </c>
      <c r="O169" s="240">
        <f t="shared" si="148"/>
        <v>208</v>
      </c>
      <c r="P169" s="428">
        <f>IF(SUM(O169:O171)+N180=0,0,IF(ABS(SUM(O169:O171))=N180,Spielorte!$A$30/2,IF(ABS(SUM(O169:O171))&gt;N180,Spielorte!$A$30,0)))</f>
        <v>1</v>
      </c>
      <c r="Q169" s="221">
        <v>202</v>
      </c>
      <c r="R169" s="240">
        <f t="shared" si="149"/>
        <v>202</v>
      </c>
      <c r="S169" s="428">
        <f>IF(SUM(R169:R171)+Q180=0,0,IF(ABS(SUM(R169:R171))=Q180,Spielorte!$A$30/2,IF(ABS(SUM(R169:R171))&gt;Q180,Spielorte!$A$30,0)))</f>
        <v>1</v>
      </c>
      <c r="T169" s="221">
        <f t="shared" si="150"/>
        <v>1061</v>
      </c>
      <c r="U169" s="240">
        <f t="shared" si="151"/>
        <v>1061</v>
      </c>
      <c r="V169" s="400">
        <f>SUM(G169+J169+M169+P169+S169)</f>
        <v>5</v>
      </c>
      <c r="W169" s="79"/>
      <c r="X169" s="79"/>
      <c r="Y169" s="79"/>
      <c r="Z169" s="79"/>
      <c r="AA169" s="79"/>
      <c r="AB169" s="79"/>
      <c r="AL169" s="169">
        <f>IF(AU169=0,0,IFERROR(INDEX(RanglisteST5!K:K,MATCH(AU169,RanglisteST5!A:A,0)),0))</f>
        <v>201.45</v>
      </c>
      <c r="AM169" s="169">
        <f>IF(AU169=0,0,SUMIF(AU163:AU171,AU169,AV163:AV171))</f>
        <v>1061</v>
      </c>
      <c r="AN169" s="169">
        <f>IF(AU169=0,0,SUMIF(AU163:AU171,AU169,AW163:AW171))</f>
        <v>5</v>
      </c>
      <c r="AO169" s="169">
        <f t="shared" si="152"/>
        <v>212.2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38708</v>
      </c>
      <c r="AV169" s="167">
        <f t="shared" si="154"/>
        <v>1061</v>
      </c>
      <c r="AW169" s="169">
        <f t="shared" si="155"/>
        <v>5</v>
      </c>
      <c r="AX169" s="169">
        <f t="shared" si="156"/>
        <v>5</v>
      </c>
      <c r="AY169" s="169">
        <f t="shared" si="157"/>
        <v>153</v>
      </c>
      <c r="AZ169" s="169">
        <f t="shared" si="158"/>
        <v>241</v>
      </c>
      <c r="BA169" s="169">
        <f t="shared" si="159"/>
        <v>257</v>
      </c>
      <c r="BB169" s="169">
        <f t="shared" si="160"/>
        <v>208</v>
      </c>
      <c r="BC169" s="169">
        <f t="shared" si="161"/>
        <v>202</v>
      </c>
      <c r="BD169" s="170"/>
      <c r="BE169" s="168"/>
      <c r="BF169" s="169">
        <f t="shared" si="162"/>
        <v>257</v>
      </c>
      <c r="BG169" s="169">
        <f t="shared" si="163"/>
        <v>257.00000016899997</v>
      </c>
      <c r="BH169" s="169" t="str">
        <f t="shared" si="168"/>
        <v>BK München 1</v>
      </c>
      <c r="BI169" s="168">
        <f t="shared" si="164"/>
        <v>1</v>
      </c>
      <c r="BJ169" s="169">
        <f t="shared" si="165"/>
        <v>1061</v>
      </c>
      <c r="BK169" s="169">
        <f>IF(COUNTIF(AY169:BC169,"&gt;0")&lt;Spielorte!$A$23,0,AV169/Spielorte!$A$23)</f>
        <v>212.2</v>
      </c>
      <c r="BL169" s="169">
        <f t="shared" si="166"/>
        <v>212.20000016899999</v>
      </c>
      <c r="BM169" s="168">
        <f t="shared" si="167"/>
        <v>1</v>
      </c>
    </row>
    <row r="170" spans="1:65" ht="16.95" customHeight="1">
      <c r="A170" s="404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9"/>
      <c r="H170" s="222"/>
      <c r="I170" s="241">
        <f t="shared" si="146"/>
        <v>0</v>
      </c>
      <c r="J170" s="429"/>
      <c r="K170" s="222"/>
      <c r="L170" s="241">
        <f t="shared" si="147"/>
        <v>0</v>
      </c>
      <c r="M170" s="429"/>
      <c r="N170" s="222"/>
      <c r="O170" s="241">
        <f t="shared" si="148"/>
        <v>0</v>
      </c>
      <c r="P170" s="429"/>
      <c r="Q170" s="222"/>
      <c r="R170" s="241">
        <f t="shared" si="149"/>
        <v>0</v>
      </c>
      <c r="S170" s="429"/>
      <c r="T170" s="222">
        <f t="shared" si="150"/>
        <v>0</v>
      </c>
      <c r="U170" s="241">
        <f t="shared" si="151"/>
        <v>0</v>
      </c>
      <c r="V170" s="401"/>
      <c r="W170" s="79"/>
      <c r="X170" s="79"/>
      <c r="Y170" s="79"/>
      <c r="Z170" s="79"/>
      <c r="AA170" s="79"/>
      <c r="AB170" s="79"/>
      <c r="AL170" s="169">
        <f>IF(AU170=0,0,IFERROR(INDEX(RanglisteST5!K:K,MATCH(AU170,RanglisteST5!A:A,0)),0))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0</v>
      </c>
      <c r="BH170" s="169" t="str">
        <f t="shared" si="168"/>
        <v>BK München 1</v>
      </c>
      <c r="BI170" s="168">
        <f t="shared" si="164"/>
        <v>2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0</v>
      </c>
      <c r="BM170" s="168">
        <f t="shared" si="167"/>
        <v>0</v>
      </c>
    </row>
    <row r="171" spans="1:65" ht="16.95" customHeight="1" thickBot="1">
      <c r="A171" s="405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30"/>
      <c r="H171" s="224"/>
      <c r="I171" s="242">
        <f t="shared" si="146"/>
        <v>0</v>
      </c>
      <c r="J171" s="430"/>
      <c r="K171" s="224"/>
      <c r="L171" s="242">
        <f t="shared" si="147"/>
        <v>0</v>
      </c>
      <c r="M171" s="430"/>
      <c r="N171" s="224"/>
      <c r="O171" s="242">
        <f t="shared" si="148"/>
        <v>0</v>
      </c>
      <c r="P171" s="430"/>
      <c r="Q171" s="224"/>
      <c r="R171" s="242">
        <f t="shared" si="149"/>
        <v>0</v>
      </c>
      <c r="S171" s="430"/>
      <c r="T171" s="224">
        <f t="shared" si="150"/>
        <v>0</v>
      </c>
      <c r="U171" s="242">
        <f t="shared" si="151"/>
        <v>0</v>
      </c>
      <c r="V171" s="402"/>
      <c r="W171" s="79"/>
      <c r="X171" s="79"/>
      <c r="Y171" s="79"/>
      <c r="Z171" s="79"/>
      <c r="AA171" s="79"/>
      <c r="AB171" s="79"/>
      <c r="AL171" s="169">
        <f>IF(AU171=0,0,IFERROR(INDEX(RanglisteST5!K:K,MATCH(AU171,RanglisteST5!A:A,0)),0))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0</v>
      </c>
      <c r="BH171" s="169" t="str">
        <f t="shared" si="168"/>
        <v>BK München 1</v>
      </c>
      <c r="BI171" s="168">
        <f t="shared" si="164"/>
        <v>2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0</v>
      </c>
      <c r="BM171" s="168">
        <f t="shared" si="167"/>
        <v>0</v>
      </c>
    </row>
    <row r="172" spans="1:65" ht="27.75" customHeight="1" thickBot="1">
      <c r="B172" s="218" t="s">
        <v>1792</v>
      </c>
      <c r="C172" s="204"/>
      <c r="D172" s="219"/>
      <c r="E172" s="226">
        <f>ABS(SUM(E163:E165))+ABS(SUM(E166:E168))+ABS(SUM(E169:E171))</f>
        <v>571</v>
      </c>
      <c r="F172" s="225">
        <f>ABS(SUM(F163:F165))+ABS(SUM(F166:F168))+ABS(SUM(F169:F171))</f>
        <v>571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618</v>
      </c>
      <c r="I172" s="225">
        <f>ABS(SUM(I163:I165))+ABS(SUM(I166:I168))+ABS(SUM(I169:I171))</f>
        <v>618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675</v>
      </c>
      <c r="L172" s="225">
        <f>ABS(SUM(L163:L165))+ABS(SUM(L166:L168))+ABS(SUM(L169:L171))</f>
        <v>675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580</v>
      </c>
      <c r="O172" s="225">
        <f>ABS(SUM(O163:O165))+ABS(SUM(O166:O168))+ABS(SUM(O169:O171))</f>
        <v>580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604</v>
      </c>
      <c r="R172" s="225">
        <f>ABS(SUM(R163:R165))+ABS(SUM(R166:R168))+ABS(SUM(R169:R171))</f>
        <v>604</v>
      </c>
      <c r="S172" s="81">
        <f>IF(R172+Q181=0,0,IF(R172=Q181,Spielorte!$A$31/2,IF(R172&gt;Q181,Spielorte!$A$31,0)))</f>
        <v>2</v>
      </c>
      <c r="T172" s="228">
        <f>SUM(E172+H172+K172+N172+Q172)</f>
        <v>3048</v>
      </c>
      <c r="U172" s="229">
        <f>SUM(F172+I172+L172+O172+R172)</f>
        <v>3048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>
      <c r="B173" s="230" t="s">
        <v>1803</v>
      </c>
      <c r="C173" s="1"/>
      <c r="D173" s="1"/>
      <c r="E173" s="1"/>
      <c r="F173" s="1"/>
      <c r="G173" s="61">
        <f>SUM(G163:G172)</f>
        <v>5</v>
      </c>
      <c r="H173" s="1"/>
      <c r="I173" s="1"/>
      <c r="J173" s="61">
        <f>SUM(J163:J172)</f>
        <v>5</v>
      </c>
      <c r="K173" s="1"/>
      <c r="L173" s="1"/>
      <c r="M173" s="61">
        <f>SUM(M163:M172)</f>
        <v>5</v>
      </c>
      <c r="N173" s="1"/>
      <c r="O173" s="1"/>
      <c r="P173" s="61">
        <f>SUM(P163:P172)</f>
        <v>5</v>
      </c>
      <c r="Q173" s="1"/>
      <c r="R173" s="1"/>
      <c r="S173" s="61">
        <f>SUM(S163:S172)</f>
        <v>4</v>
      </c>
      <c r="T173" s="1"/>
      <c r="U173" s="1"/>
      <c r="V173" s="61">
        <f>SUM(V163:V172)</f>
        <v>24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24</v>
      </c>
      <c r="AR173" s="167">
        <f>+T172</f>
        <v>3048</v>
      </c>
      <c r="AS173" s="167">
        <f>+U172</f>
        <v>3048</v>
      </c>
      <c r="AT173" s="168">
        <f>+B158</f>
        <v>7</v>
      </c>
      <c r="AW173" s="169">
        <f>SUM(AW157:AW172)</f>
        <v>15</v>
      </c>
      <c r="BD173" s="166">
        <f>+AS173/1000000+AQ173+AR173/1000000000000</f>
        <v>24.003048003048001</v>
      </c>
      <c r="BE173" s="168">
        <f>RANK(BD173,BD:BD)</f>
        <v>1</v>
      </c>
      <c r="BI173" s="168"/>
      <c r="BM173" s="168"/>
    </row>
    <row r="174" spans="1:65" ht="11.25" customHeight="1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>
      <c r="B175" s="231" t="s">
        <v>1790</v>
      </c>
      <c r="C175" s="210"/>
      <c r="D175" s="42"/>
      <c r="E175" s="434">
        <f>VLOOKUP($B158,Schlüssel!$A$5:$EK$12,83)</f>
        <v>5</v>
      </c>
      <c r="F175" s="435"/>
      <c r="G175" s="436"/>
      <c r="H175" s="434">
        <f>VLOOKUP($B158,Schlüssel!$A$5:$EK$12,84)</f>
        <v>2</v>
      </c>
      <c r="I175" s="435"/>
      <c r="J175" s="436"/>
      <c r="K175" s="434">
        <f>VLOOKUP($B158,Schlüssel!$A$5:$EK$12,85)</f>
        <v>1</v>
      </c>
      <c r="L175" s="435"/>
      <c r="M175" s="436"/>
      <c r="N175" s="434">
        <f>VLOOKUP($B158,Schlüssel!$A$5:$EK$12,86)</f>
        <v>6</v>
      </c>
      <c r="O175" s="435"/>
      <c r="P175" s="436"/>
      <c r="Q175" s="434">
        <f>VLOOKUP($B158,Schlüssel!$A$5:$EK$12,87)</f>
        <v>4</v>
      </c>
      <c r="R175" s="435"/>
      <c r="S175" s="436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>
      <c r="B176" s="3" t="s">
        <v>9</v>
      </c>
      <c r="C176" s="1"/>
      <c r="D176" s="1"/>
      <c r="E176" s="395" t="str">
        <f>VLOOKUP(E175,Schlüssel!$A$5:$K$12,2)</f>
        <v>Berchtesgaden 1</v>
      </c>
      <c r="F176" s="438"/>
      <c r="G176" s="396"/>
      <c r="H176" s="395" t="str">
        <f>VLOOKUP(H175,Schlüssel!$A$5:$K$12,2)</f>
        <v>Highroller Rosenheim 1</v>
      </c>
      <c r="I176" s="438"/>
      <c r="J176" s="396"/>
      <c r="K176" s="395" t="str">
        <f>VLOOKUP(K175,Schlüssel!$A$5:$K$12,2)</f>
        <v>Bad Tölz 1</v>
      </c>
      <c r="L176" s="438"/>
      <c r="M176" s="396"/>
      <c r="N176" s="395" t="str">
        <f>VLOOKUP(N175,Schlüssel!$A$5:$K$12,2)</f>
        <v>Bowling Jugend Bayern 1</v>
      </c>
      <c r="O176" s="438"/>
      <c r="P176" s="396"/>
      <c r="Q176" s="395" t="str">
        <f>VLOOKUP(Q175,Schlüssel!$A$5:$K$12,2)</f>
        <v>Highroller Rosenheim 3</v>
      </c>
      <c r="R176" s="438"/>
      <c r="S176" s="396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" customHeight="1">
      <c r="B178" s="417" t="s">
        <v>2275</v>
      </c>
      <c r="C178" s="418"/>
      <c r="D178" s="419"/>
      <c r="E178" s="431">
        <f>ABS(INDEX(F:F,MATCH(E175,$B:$B,0)+5)+INDEX(F:F,MATCH(E175,$B:$B,0)+6)+INDEX(F:F,MATCH(E175,$B:$B,0)+7))</f>
        <v>110</v>
      </c>
      <c r="F178" s="432"/>
      <c r="G178" s="433"/>
      <c r="H178" s="431">
        <f>ABS(INDEX(I:I,MATCH(H175,$B:$B,0)+5)+INDEX(I:I,MATCH(H175,$B:$B,0)+6)+INDEX(I:I,MATCH(H175,$B:$B,0)+7))</f>
        <v>176</v>
      </c>
      <c r="I178" s="432"/>
      <c r="J178" s="433"/>
      <c r="K178" s="431">
        <f>ABS(INDEX(L:L,MATCH(K175,$B:$B,0)+5)+INDEX(L:L,MATCH(K175,$B:$B,0)+6)+INDEX(L:L,MATCH(K175,$B:$B,0)+7))</f>
        <v>187</v>
      </c>
      <c r="L178" s="432"/>
      <c r="M178" s="433"/>
      <c r="N178" s="431">
        <f>ABS(INDEX(O:O,MATCH(N175,$B:$B,0)+5)+INDEX(O:O,MATCH(N175,$B:$B,0)+6)+INDEX(O:O,MATCH(N175,$B:$B,0)+7))</f>
        <v>152</v>
      </c>
      <c r="O178" s="432"/>
      <c r="P178" s="433"/>
      <c r="Q178" s="431">
        <f>ABS(INDEX(R:R,MATCH(Q175,$B:$B,0)+5)+INDEX(R:R,MATCH(Q175,$B:$B,0)+6)+INDEX(R:R,MATCH(Q175,$B:$B,0)+7))</f>
        <v>132</v>
      </c>
      <c r="R178" s="432"/>
      <c r="S178" s="433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" customHeight="1">
      <c r="B179" s="417" t="s">
        <v>2276</v>
      </c>
      <c r="C179" s="418"/>
      <c r="D179" s="419"/>
      <c r="E179" s="424">
        <f>ABS(INDEX(F:F,MATCH(E175,$B:$B,0)+8)+INDEX(F:F,MATCH(E175,$B:$B,0)+9)+INDEX(F:F,MATCH(E175,$B:$B,0)+10))</f>
        <v>163</v>
      </c>
      <c r="F179" s="425"/>
      <c r="G179" s="426"/>
      <c r="H179" s="424">
        <f>ABS(INDEX(I:I,MATCH(H175,$B:$B,0)+8)+INDEX(I:I,MATCH(H175,$B:$B,0)+9)+INDEX(I:I,MATCH(H175,$B:$B,0)+10))</f>
        <v>166</v>
      </c>
      <c r="I179" s="425"/>
      <c r="J179" s="426"/>
      <c r="K179" s="424">
        <f>ABS(INDEX(L:L,MATCH(K175,$B:$B,0)+8)+INDEX(L:L,MATCH(K175,$B:$B,0)+9)+INDEX(L:L,MATCH(K175,$B:$B,0)+10))</f>
        <v>178</v>
      </c>
      <c r="L179" s="425"/>
      <c r="M179" s="426"/>
      <c r="N179" s="424">
        <f>ABS(INDEX(O:O,MATCH(N175,$B:$B,0)+8)+INDEX(O:O,MATCH(N175,$B:$B,0)+9)+INDEX(O:O,MATCH(N175,$B:$B,0)+10))</f>
        <v>162</v>
      </c>
      <c r="O179" s="425"/>
      <c r="P179" s="426"/>
      <c r="Q179" s="424">
        <f>ABS(INDEX(R:R,MATCH(Q175,$B:$B,0)+8)+INDEX(R:R,MATCH(Q175,$B:$B,0)+9)+INDEX(R:R,MATCH(Q175,$B:$B,0)+10))</f>
        <v>193</v>
      </c>
      <c r="R179" s="425"/>
      <c r="S179" s="426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" customHeight="1">
      <c r="B180" s="417" t="s">
        <v>2277</v>
      </c>
      <c r="C180" s="418"/>
      <c r="D180" s="419"/>
      <c r="E180" s="424">
        <f>ABS(INDEX(F:F,MATCH(E175,$B:$B,0)+11)+INDEX(F:F,MATCH(E175,$B:$B,0)+12)+INDEX(F:F,MATCH(E175,$B:$B,0)+13))</f>
        <v>132</v>
      </c>
      <c r="F180" s="425"/>
      <c r="G180" s="426"/>
      <c r="H180" s="424">
        <f>ABS(INDEX(I:I,MATCH(H175,$B:$B,0)+11)+INDEX(I:I,MATCH(H175,$B:$B,0)+12)+INDEX(I:I,MATCH(H175,$B:$B,0)+13))</f>
        <v>185</v>
      </c>
      <c r="I180" s="425"/>
      <c r="J180" s="426"/>
      <c r="K180" s="424">
        <f>ABS(INDEX(L:L,MATCH(K175,$B:$B,0)+11)+INDEX(L:L,MATCH(K175,$B:$B,0)+12)+INDEX(L:L,MATCH(K175,$B:$B,0)+13))</f>
        <v>150</v>
      </c>
      <c r="L180" s="425"/>
      <c r="M180" s="426"/>
      <c r="N180" s="424">
        <f>ABS(INDEX(O:O,MATCH(N175,$B:$B,0)+11)+INDEX(O:O,MATCH(N175,$B:$B,0)+12)+INDEX(O:O,MATCH(N175,$B:$B,0)+13))</f>
        <v>149</v>
      </c>
      <c r="O180" s="425"/>
      <c r="P180" s="426"/>
      <c r="Q180" s="424">
        <f>ABS(INDEX(R:R,MATCH(Q175,$B:$B,0)+11)+INDEX(R:R,MATCH(Q175,$B:$B,0)+12)+INDEX(R:R,MATCH(Q175,$B:$B,0)+13))</f>
        <v>162</v>
      </c>
      <c r="R180" s="425"/>
      <c r="S180" s="426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" customHeight="1">
      <c r="B181" s="420" t="s">
        <v>2278</v>
      </c>
      <c r="C181" s="421"/>
      <c r="D181" s="422"/>
      <c r="E181" s="407">
        <f>SUM(E178:E180)</f>
        <v>405</v>
      </c>
      <c r="F181" s="423"/>
      <c r="G181" s="408"/>
      <c r="H181" s="407">
        <f>SUM(H178:H180)</f>
        <v>527</v>
      </c>
      <c r="I181" s="423"/>
      <c r="J181" s="408"/>
      <c r="K181" s="407">
        <f>SUM(K178:K180)</f>
        <v>515</v>
      </c>
      <c r="L181" s="423"/>
      <c r="M181" s="408"/>
      <c r="N181" s="407">
        <f>SUM(N178:N180)</f>
        <v>463</v>
      </c>
      <c r="O181" s="423"/>
      <c r="P181" s="408"/>
      <c r="Q181" s="407">
        <f>SUM(Q178:Q180)</f>
        <v>487</v>
      </c>
      <c r="R181" s="423"/>
      <c r="S181" s="408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>
      <c r="A183" s="255"/>
      <c r="B183" s="7" t="s">
        <v>1802</v>
      </c>
      <c r="C183" s="24"/>
      <c r="D183" s="24"/>
      <c r="E183" s="35" t="s">
        <v>1786</v>
      </c>
      <c r="F183" s="35"/>
      <c r="G183" s="427" t="str">
        <f>Schlüssel!$C$1</f>
        <v>Landesliga Jugend</v>
      </c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06">
        <f>Schlüssel!$CO$1</f>
        <v>45794</v>
      </c>
      <c r="T183" s="406"/>
      <c r="U183" s="406"/>
      <c r="V183" s="406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>
      <c r="A184" s="53"/>
      <c r="B184" s="54">
        <v>8</v>
      </c>
      <c r="E184" s="35" t="s">
        <v>1787</v>
      </c>
      <c r="F184" s="35"/>
      <c r="G184" s="413" t="str">
        <f>Schlüssel!$CE$2</f>
        <v>Olching 5005 Bowling</v>
      </c>
      <c r="H184" s="413"/>
      <c r="I184" s="413"/>
      <c r="J184" s="413"/>
      <c r="K184" s="413"/>
      <c r="L184" s="413"/>
      <c r="M184" s="413"/>
      <c r="N184" s="413"/>
      <c r="O184" s="413"/>
      <c r="P184" s="66"/>
      <c r="Q184" s="411" t="s">
        <v>1785</v>
      </c>
      <c r="R184" s="412"/>
      <c r="S184" s="38">
        <v>5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>
      <c r="B185" s="414" t="str">
        <f>VLOOKUP(B184,Schlüssel!$A$5:$B$12,2)</f>
        <v>EMAX 1</v>
      </c>
      <c r="C185" s="415"/>
      <c r="D185" s="415"/>
      <c r="E185" s="415"/>
      <c r="F185" s="415"/>
      <c r="G185" s="416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3.8" hidden="1" thickBot="1">
      <c r="A186" s="6"/>
      <c r="B186" s="7"/>
      <c r="C186" s="43"/>
      <c r="D186" s="43"/>
      <c r="E186" s="162" t="s">
        <v>10</v>
      </c>
      <c r="F186" s="220"/>
      <c r="G186" s="159">
        <f>VLOOKUP(B184,Schlüssel!$A$5:$EK$12,93)</f>
        <v>3</v>
      </c>
      <c r="H186" s="161" t="s">
        <v>10</v>
      </c>
      <c r="I186" s="220"/>
      <c r="J186" s="159">
        <f>VLOOKUP(B184,Schlüssel!$A$5:$EK$12,94)</f>
        <v>2</v>
      </c>
      <c r="K186" s="161" t="s">
        <v>10</v>
      </c>
      <c r="L186" s="220"/>
      <c r="M186" s="159">
        <f>VLOOKUP(B184,Schlüssel!$A$5:$EK$12,95)</f>
        <v>3</v>
      </c>
      <c r="N186" s="161" t="s">
        <v>10</v>
      </c>
      <c r="O186" s="220"/>
      <c r="P186" s="159">
        <f>VLOOKUP(B184,Schlüssel!$A$5:$EK$12,96)</f>
        <v>8</v>
      </c>
      <c r="Q186" s="161" t="s">
        <v>10</v>
      </c>
      <c r="R186" s="220"/>
      <c r="S186" s="160">
        <f>VLOOKUP(B184,Schlüssel!$A$5:$EK$12,97)</f>
        <v>4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>
      <c r="B187" s="44" t="s">
        <v>1</v>
      </c>
      <c r="C187" s="208"/>
      <c r="D187" s="217"/>
      <c r="E187" s="423" t="s">
        <v>1793</v>
      </c>
      <c r="F187" s="423"/>
      <c r="G187" s="408"/>
      <c r="H187" s="407" t="s">
        <v>1794</v>
      </c>
      <c r="I187" s="423"/>
      <c r="J187" s="408"/>
      <c r="K187" s="407" t="s">
        <v>1795</v>
      </c>
      <c r="L187" s="423"/>
      <c r="M187" s="408"/>
      <c r="N187" s="407" t="s">
        <v>1796</v>
      </c>
      <c r="O187" s="423"/>
      <c r="P187" s="408"/>
      <c r="Q187" s="407" t="s">
        <v>1797</v>
      </c>
      <c r="R187" s="423"/>
      <c r="S187" s="437"/>
      <c r="T187" s="439" t="s">
        <v>1792</v>
      </c>
      <c r="U187" s="440"/>
      <c r="V187" s="410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6.95" customHeight="1">
      <c r="A189" s="403" t="s">
        <v>0</v>
      </c>
      <c r="B189" s="58" t="str">
        <f>IF(C189=0,"",VLOOKUP(C189,Starter!$A$1:$D$196,2,FALSE))</f>
        <v>Hofer, Anja</v>
      </c>
      <c r="C189" s="232">
        <v>38890</v>
      </c>
      <c r="D189" s="238">
        <f t="shared" ref="D189:D197" si="169">+AP189</f>
        <v>54</v>
      </c>
      <c r="E189" s="221">
        <v>112</v>
      </c>
      <c r="F189" s="240">
        <f t="shared" ref="F189:F197" si="170">IF(E189&gt;0,E189+$D189,0)</f>
        <v>166</v>
      </c>
      <c r="G189" s="428">
        <f>IF(SUM(F189:F191)+E204=0,0,IF(ABS(SUM(F189:F191))=E204,Spielorte!$A$30/2,IF(ABS(SUM(F189:F191))&gt;E204,Spielorte!$A$30,0)))</f>
        <v>1</v>
      </c>
      <c r="H189" s="221">
        <v>96</v>
      </c>
      <c r="I189" s="240">
        <f t="shared" ref="I189:I197" si="171">IF(H189&gt;0,H189+$D189,0)</f>
        <v>150</v>
      </c>
      <c r="J189" s="428">
        <f>IF(SUM(I189:I191)+H204=0,0,IF(ABS(SUM(I189:I191))=H204,Spielorte!$A$30/2,IF(ABS(SUM(I189:I191))&gt;H204,Spielorte!$A$30,0)))</f>
        <v>0</v>
      </c>
      <c r="K189" s="221">
        <v>100</v>
      </c>
      <c r="L189" s="240">
        <f t="shared" ref="L189:L197" si="172">IF(K189&gt;0,K189+$D189,0)</f>
        <v>154</v>
      </c>
      <c r="M189" s="428">
        <f>IF(SUM(L189:L191)+K204=0,0,IF(ABS(SUM(L189:L191))=K204,Spielorte!$A$30/2,IF(ABS(SUM(L189:L191))&gt;K204,Spielorte!$A$30,0)))</f>
        <v>1</v>
      </c>
      <c r="N189" s="221"/>
      <c r="O189" s="240">
        <f t="shared" ref="O189:O197" si="173">IF(N189&gt;0,N189+$D189,0)</f>
        <v>0</v>
      </c>
      <c r="P189" s="428">
        <f>IF(SUM(O189:O191)+N204=0,0,IF(ABS(SUM(O189:O191))=N204,Spielorte!$A$30/2,IF(ABS(SUM(O189:O191))&gt;N204,Spielorte!$A$30,0)))</f>
        <v>1</v>
      </c>
      <c r="Q189" s="221"/>
      <c r="R189" s="240">
        <f t="shared" ref="R189:R197" si="174">IF(Q189&gt;0,Q189+$D189,0)</f>
        <v>0</v>
      </c>
      <c r="S189" s="428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308</v>
      </c>
      <c r="U189" s="240">
        <f t="shared" ref="U189:U197" si="176">ABS(SUM(F189:F189))+ABS(SUM(I189:I189))+ABS(SUM(L189:L189))+ABS(SUM(O189:O189))+ABS(SUM(R189:R189))</f>
        <v>470</v>
      </c>
      <c r="V189" s="400">
        <f>SUM(G189+J189+M189+P189+S189)</f>
        <v>3</v>
      </c>
      <c r="W189" s="79"/>
      <c r="X189" s="79"/>
      <c r="Y189" s="79"/>
      <c r="Z189" s="79"/>
      <c r="AA189" s="79"/>
      <c r="AB189" s="79"/>
      <c r="AL189" s="169">
        <f>IF(AU189=0,0,IFERROR(INDEX(RanglisteST5!K:K,MATCH(AU189,RanglisteST5!A:A,0)),0))</f>
        <v>92.23</v>
      </c>
      <c r="AM189" s="169">
        <f>IF(AU189=0,0,SUMIF(AU189:AU197,AU189,AV189:AV197))</f>
        <v>308</v>
      </c>
      <c r="AN189" s="169">
        <f>IF(AU189=0,0,SUMIF(AU189:AU197,AU189,AW189:AW197))</f>
        <v>3</v>
      </c>
      <c r="AO189" s="169">
        <f t="shared" ref="AO189:AO197" si="177">IFERROR(AM189/AN189,0)</f>
        <v>102.66666666666667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54</v>
      </c>
      <c r="AQ189" s="166"/>
      <c r="AR189" s="167"/>
      <c r="AS189" s="167"/>
      <c r="AT189" s="168"/>
      <c r="AU189" s="171">
        <f t="shared" ref="AU189:AU197" si="178">C189</f>
        <v>38890</v>
      </c>
      <c r="AV189" s="167">
        <f t="shared" ref="AV189:AV197" si="179">T189</f>
        <v>308</v>
      </c>
      <c r="AW189" s="169">
        <f t="shared" ref="AW189:AW197" si="180">COUNT(AY189:BC189)</f>
        <v>3</v>
      </c>
      <c r="AX189" s="169">
        <f t="shared" ref="AX189:AX197" si="181">COUNTIF(AY189:BC189,"&gt;0")</f>
        <v>3</v>
      </c>
      <c r="AY189" s="169">
        <f t="shared" ref="AY189:AY197" si="182">IF(E189=0,"",E189)</f>
        <v>112</v>
      </c>
      <c r="AZ189" s="169">
        <f t="shared" ref="AZ189:AZ197" si="183">IF(H189=0,"",H189)</f>
        <v>96</v>
      </c>
      <c r="BA189" s="169">
        <f t="shared" ref="BA189:BA197" si="184">IF(K189=0,"",K189)</f>
        <v>100</v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112</v>
      </c>
      <c r="BG189" s="169">
        <f t="shared" ref="BG189:BG197" si="188">IF(BF189&lt;MAX(BF:BF),0,BF189+ROW()/1000000000)</f>
        <v>0</v>
      </c>
      <c r="BH189" s="169" t="str">
        <f>+B185</f>
        <v>EMAX 1</v>
      </c>
      <c r="BI189" s="168">
        <f t="shared" ref="BI189:BI197" si="189">RANK(BG189,BG:BG)</f>
        <v>2</v>
      </c>
      <c r="BJ189" s="169">
        <f t="shared" ref="BJ189:BJ197" si="190">SUMIF(AY189:BC189,"&gt;0")</f>
        <v>308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0</v>
      </c>
      <c r="BM189" s="168">
        <f t="shared" ref="BM189:BM197" si="192">IF(BL189=0,0,RANK(BL189,BL:BL))</f>
        <v>0</v>
      </c>
    </row>
    <row r="190" spans="1:65" ht="16.95" customHeight="1">
      <c r="A190" s="404"/>
      <c r="B190" s="58" t="str">
        <f>IF(C190=0,"",VLOOKUP(C190,Starter!$A$1:$D$196,2,FALSE))</f>
        <v>Böhm, Eric-Pascal</v>
      </c>
      <c r="C190" s="233">
        <v>38706</v>
      </c>
      <c r="D190" s="239">
        <f t="shared" si="169"/>
        <v>10</v>
      </c>
      <c r="E190" s="222"/>
      <c r="F190" s="241">
        <f t="shared" si="170"/>
        <v>0</v>
      </c>
      <c r="G190" s="429"/>
      <c r="H190" s="222"/>
      <c r="I190" s="241">
        <f t="shared" si="171"/>
        <v>0</v>
      </c>
      <c r="J190" s="429"/>
      <c r="K190" s="222"/>
      <c r="L190" s="241">
        <f t="shared" si="172"/>
        <v>0</v>
      </c>
      <c r="M190" s="429"/>
      <c r="N190" s="222">
        <v>199</v>
      </c>
      <c r="O190" s="241">
        <f t="shared" si="173"/>
        <v>209</v>
      </c>
      <c r="P190" s="429"/>
      <c r="Q190" s="222">
        <v>138</v>
      </c>
      <c r="R190" s="241">
        <f t="shared" si="174"/>
        <v>148</v>
      </c>
      <c r="S190" s="429"/>
      <c r="T190" s="222">
        <f t="shared" si="175"/>
        <v>337</v>
      </c>
      <c r="U190" s="241">
        <f t="shared" si="176"/>
        <v>357</v>
      </c>
      <c r="V190" s="401"/>
      <c r="W190" s="79"/>
      <c r="X190" s="79"/>
      <c r="Y190" s="79"/>
      <c r="Z190" s="79"/>
      <c r="AA190" s="79"/>
      <c r="AB190" s="79"/>
      <c r="AL190" s="169">
        <f>IF(AU190=0,0,IFERROR(INDEX(RanglisteST5!K:K,MATCH(AU190,RanglisteST5!A:A,0)),0))</f>
        <v>147.63</v>
      </c>
      <c r="AM190" s="169">
        <f>IF(AU190=0,0,SUMIF(AU189:AU197,AU190,AV189:AV197))</f>
        <v>664</v>
      </c>
      <c r="AN190" s="169">
        <f>IF(AU190=0,0,SUMIF(AU189:AU197,AU190,AW189:AW197))</f>
        <v>4</v>
      </c>
      <c r="AO190" s="169">
        <f t="shared" si="177"/>
        <v>166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10</v>
      </c>
      <c r="AQ190" s="166"/>
      <c r="AR190" s="167"/>
      <c r="AS190" s="167"/>
      <c r="AT190" s="168"/>
      <c r="AU190" s="171">
        <f t="shared" si="178"/>
        <v>38706</v>
      </c>
      <c r="AV190" s="167">
        <f t="shared" si="179"/>
        <v>337</v>
      </c>
      <c r="AW190" s="169">
        <f t="shared" si="180"/>
        <v>2</v>
      </c>
      <c r="AX190" s="169">
        <f t="shared" si="181"/>
        <v>2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>
        <f t="shared" si="185"/>
        <v>199</v>
      </c>
      <c r="BC190" s="169">
        <f t="shared" si="186"/>
        <v>138</v>
      </c>
      <c r="BD190" s="170"/>
      <c r="BE190" s="168"/>
      <c r="BF190" s="169">
        <f t="shared" si="187"/>
        <v>199</v>
      </c>
      <c r="BG190" s="169">
        <f t="shared" si="188"/>
        <v>0</v>
      </c>
      <c r="BH190" s="169" t="str">
        <f t="shared" ref="BH190:BH197" si="193">+BH189</f>
        <v>EMAX 1</v>
      </c>
      <c r="BI190" s="168">
        <f t="shared" si="189"/>
        <v>2</v>
      </c>
      <c r="BJ190" s="169">
        <f t="shared" si="190"/>
        <v>337</v>
      </c>
      <c r="BK190" s="169">
        <f>IF(COUNTIF(AY190:BC190,"&gt;0")&lt;Spielorte!$A$23,0,AV190/Spielorte!$A$23)</f>
        <v>0</v>
      </c>
      <c r="BL190" s="169">
        <f t="shared" si="191"/>
        <v>0</v>
      </c>
      <c r="BM190" s="168">
        <f t="shared" si="192"/>
        <v>0</v>
      </c>
    </row>
    <row r="191" spans="1:65" ht="16.95" customHeight="1" thickBot="1">
      <c r="A191" s="405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30"/>
      <c r="H191" s="224"/>
      <c r="I191" s="242">
        <f t="shared" si="171"/>
        <v>0</v>
      </c>
      <c r="J191" s="430"/>
      <c r="K191" s="224"/>
      <c r="L191" s="242">
        <f t="shared" si="172"/>
        <v>0</v>
      </c>
      <c r="M191" s="430"/>
      <c r="N191" s="224"/>
      <c r="O191" s="242">
        <f t="shared" si="173"/>
        <v>0</v>
      </c>
      <c r="P191" s="430"/>
      <c r="Q191" s="224"/>
      <c r="R191" s="242">
        <f t="shared" si="174"/>
        <v>0</v>
      </c>
      <c r="S191" s="430"/>
      <c r="T191" s="224">
        <f t="shared" si="175"/>
        <v>0</v>
      </c>
      <c r="U191" s="242">
        <f t="shared" si="176"/>
        <v>0</v>
      </c>
      <c r="V191" s="402"/>
      <c r="W191" s="79"/>
      <c r="X191" s="79"/>
      <c r="Y191" s="79"/>
      <c r="Z191" s="79"/>
      <c r="AA191" s="79"/>
      <c r="AB191" s="79"/>
      <c r="AL191" s="169">
        <f>IF(AU191=0,0,IFERROR(INDEX(RanglisteST5!K:K,MATCH(AU191,RanglisteST5!A:A,0)),0))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0</v>
      </c>
      <c r="BH191" s="169" t="str">
        <f t="shared" si="193"/>
        <v>EMAX 1</v>
      </c>
      <c r="BI191" s="168">
        <f t="shared" si="189"/>
        <v>2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0</v>
      </c>
      <c r="BM191" s="168">
        <f t="shared" si="192"/>
        <v>0</v>
      </c>
    </row>
    <row r="192" spans="1:65" ht="16.95" customHeight="1">
      <c r="A192" s="403" t="s">
        <v>2</v>
      </c>
      <c r="B192" s="58" t="str">
        <f>IF(C192=0,"",VLOOKUP(C192,Starter!$A$1:$D$196,2,FALSE))</f>
        <v>Heiming, Thalea</v>
      </c>
      <c r="C192" s="235">
        <v>38910</v>
      </c>
      <c r="D192" s="238">
        <f t="shared" si="169"/>
        <v>33</v>
      </c>
      <c r="E192" s="221">
        <v>122</v>
      </c>
      <c r="F192" s="240">
        <f t="shared" si="170"/>
        <v>155</v>
      </c>
      <c r="G192" s="428">
        <f>IF(SUM(F192:F194)+E205=0,0,IF(ABS(SUM(F192:F194))=E205,Spielorte!$A$30/2,IF(ABS(SUM(F192:F194))&gt;E205,Spielorte!$A$30,0)))</f>
        <v>1</v>
      </c>
      <c r="H192" s="221"/>
      <c r="I192" s="240">
        <f t="shared" si="171"/>
        <v>0</v>
      </c>
      <c r="J192" s="428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8">
        <f>IF(SUM(L192:L194)+K205=0,0,IF(ABS(SUM(L192:L194))=K205,Spielorte!$A$30/2,IF(ABS(SUM(L192:L194))&gt;K205,Spielorte!$A$30,0)))</f>
        <v>1</v>
      </c>
      <c r="N192" s="221"/>
      <c r="O192" s="240">
        <f t="shared" si="173"/>
        <v>0</v>
      </c>
      <c r="P192" s="428">
        <f>IF(SUM(O192:O194)+N205=0,0,IF(ABS(SUM(O192:O194))=N205,Spielorte!$A$30/2,IF(ABS(SUM(O192:O194))&gt;N205,Spielorte!$A$30,0)))</f>
        <v>0</v>
      </c>
      <c r="Q192" s="221"/>
      <c r="R192" s="240">
        <f t="shared" si="174"/>
        <v>0</v>
      </c>
      <c r="S192" s="428">
        <f>IF(SUM(R192:R194)+Q205=0,0,IF(ABS(SUM(R192:R194))=Q205,Spielorte!$A$30/2,IF(ABS(SUM(R192:R194))&gt;Q205,Spielorte!$A$30,0)))</f>
        <v>0.5</v>
      </c>
      <c r="T192" s="221">
        <f t="shared" si="175"/>
        <v>122</v>
      </c>
      <c r="U192" s="240">
        <f t="shared" si="176"/>
        <v>155</v>
      </c>
      <c r="V192" s="400">
        <f>SUM(G192+J192+M192+P192+S192)</f>
        <v>2.5</v>
      </c>
      <c r="W192" s="79"/>
      <c r="X192" s="79"/>
      <c r="Y192" s="79"/>
      <c r="Z192" s="79"/>
      <c r="AA192" s="79"/>
      <c r="AB192" s="79"/>
      <c r="AL192" s="169">
        <f>IF(AU192=0,0,IFERROR(INDEX(RanglisteST5!K:K,MATCH(AU192,RanglisteST5!A:A,0)),0))</f>
        <v>118.91</v>
      </c>
      <c r="AM192" s="169">
        <f>IF(AU192=0,0,SUMIF(AU189:AU197,AU192,AV189:AV197))</f>
        <v>486</v>
      </c>
      <c r="AN192" s="169">
        <f>IF(AU192=0,0,SUMIF(AU189:AU197,AU192,AW189:AW197))</f>
        <v>4</v>
      </c>
      <c r="AO192" s="169">
        <f t="shared" si="177"/>
        <v>121.5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33</v>
      </c>
      <c r="AQ192" s="166"/>
      <c r="AR192" s="167"/>
      <c r="AS192" s="167"/>
      <c r="AT192" s="168"/>
      <c r="AU192" s="171">
        <f t="shared" si="178"/>
        <v>38910</v>
      </c>
      <c r="AV192" s="167">
        <f t="shared" si="179"/>
        <v>122</v>
      </c>
      <c r="AW192" s="169">
        <f t="shared" si="180"/>
        <v>1</v>
      </c>
      <c r="AX192" s="169">
        <f t="shared" si="181"/>
        <v>1</v>
      </c>
      <c r="AY192" s="169">
        <f t="shared" si="182"/>
        <v>122</v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122</v>
      </c>
      <c r="BG192" s="169">
        <f t="shared" si="188"/>
        <v>0</v>
      </c>
      <c r="BH192" s="169" t="str">
        <f t="shared" si="193"/>
        <v>EMAX 1</v>
      </c>
      <c r="BI192" s="168">
        <f t="shared" si="189"/>
        <v>2</v>
      </c>
      <c r="BJ192" s="169">
        <f t="shared" si="190"/>
        <v>122</v>
      </c>
      <c r="BK192" s="169">
        <f>IF(COUNTIF(AY192:BC192,"&gt;0")&lt;Spielorte!$A$23,0,AV192/Spielorte!$A$23)</f>
        <v>0</v>
      </c>
      <c r="BL192" s="169">
        <f t="shared" si="191"/>
        <v>0</v>
      </c>
      <c r="BM192" s="168">
        <f t="shared" si="192"/>
        <v>0</v>
      </c>
    </row>
    <row r="193" spans="1:65" ht="16.95" customHeight="1">
      <c r="A193" s="404"/>
      <c r="B193" s="58" t="str">
        <f>IF(C193=0,"",VLOOKUP(C193,Starter!$A$1:$D$196,2,FALSE))</f>
        <v>Vogt, Leonard</v>
      </c>
      <c r="C193" s="233">
        <v>38904</v>
      </c>
      <c r="D193" s="239">
        <f t="shared" si="169"/>
        <v>32</v>
      </c>
      <c r="E193" s="222"/>
      <c r="F193" s="241">
        <f t="shared" si="170"/>
        <v>0</v>
      </c>
      <c r="G193" s="429"/>
      <c r="H193" s="222">
        <v>103</v>
      </c>
      <c r="I193" s="241">
        <f t="shared" si="171"/>
        <v>135</v>
      </c>
      <c r="J193" s="429"/>
      <c r="K193" s="222">
        <v>159</v>
      </c>
      <c r="L193" s="241">
        <f t="shared" si="172"/>
        <v>191</v>
      </c>
      <c r="M193" s="429"/>
      <c r="N193" s="222">
        <v>117</v>
      </c>
      <c r="O193" s="241">
        <f t="shared" si="173"/>
        <v>149</v>
      </c>
      <c r="P193" s="429"/>
      <c r="Q193" s="222">
        <v>145</v>
      </c>
      <c r="R193" s="241">
        <f t="shared" si="174"/>
        <v>177</v>
      </c>
      <c r="S193" s="429"/>
      <c r="T193" s="222">
        <f t="shared" si="175"/>
        <v>524</v>
      </c>
      <c r="U193" s="241">
        <f t="shared" si="176"/>
        <v>652</v>
      </c>
      <c r="V193" s="401"/>
      <c r="W193" s="79"/>
      <c r="X193" s="79"/>
      <c r="Y193" s="79"/>
      <c r="Z193" s="79"/>
      <c r="AA193" s="79"/>
      <c r="AB193" s="79"/>
      <c r="AL193" s="169">
        <f>IF(AU193=0,0,IFERROR(INDEX(RanglisteST5!K:K,MATCH(AU193,RanglisteST5!A:A,0)),0))</f>
        <v>120.36</v>
      </c>
      <c r="AM193" s="169">
        <f>IF(AU193=0,0,SUMIF(AU189:AU197,AU193,AV189:AV197))</f>
        <v>524</v>
      </c>
      <c r="AN193" s="169">
        <f>IF(AU193=0,0,SUMIF(AU189:AU197,AU193,AW189:AW197))</f>
        <v>4</v>
      </c>
      <c r="AO193" s="169">
        <f t="shared" si="177"/>
        <v>131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32</v>
      </c>
      <c r="AQ193" s="166"/>
      <c r="AR193" s="167"/>
      <c r="AS193" s="167"/>
      <c r="AT193" s="168"/>
      <c r="AU193" s="171">
        <f t="shared" si="178"/>
        <v>38904</v>
      </c>
      <c r="AV193" s="167">
        <f t="shared" si="179"/>
        <v>524</v>
      </c>
      <c r="AW193" s="169">
        <f t="shared" si="180"/>
        <v>4</v>
      </c>
      <c r="AX193" s="169">
        <f t="shared" si="181"/>
        <v>4</v>
      </c>
      <c r="AY193" s="169" t="str">
        <f t="shared" si="182"/>
        <v/>
      </c>
      <c r="AZ193" s="169">
        <f t="shared" si="183"/>
        <v>103</v>
      </c>
      <c r="BA193" s="169">
        <f t="shared" si="184"/>
        <v>159</v>
      </c>
      <c r="BB193" s="169">
        <f t="shared" si="185"/>
        <v>117</v>
      </c>
      <c r="BC193" s="169">
        <f t="shared" si="186"/>
        <v>145</v>
      </c>
      <c r="BD193" s="170"/>
      <c r="BE193" s="168"/>
      <c r="BF193" s="169">
        <f t="shared" si="187"/>
        <v>159</v>
      </c>
      <c r="BG193" s="169">
        <f t="shared" si="188"/>
        <v>0</v>
      </c>
      <c r="BH193" s="169" t="str">
        <f t="shared" si="193"/>
        <v>EMAX 1</v>
      </c>
      <c r="BI193" s="168">
        <f t="shared" si="189"/>
        <v>2</v>
      </c>
      <c r="BJ193" s="169">
        <f t="shared" si="190"/>
        <v>524</v>
      </c>
      <c r="BK193" s="169">
        <f>IF(COUNTIF(AY193:BC193,"&gt;0")&lt;Spielorte!$A$23,0,AV193/Spielorte!$A$23)</f>
        <v>0</v>
      </c>
      <c r="BL193" s="169">
        <f t="shared" si="191"/>
        <v>0</v>
      </c>
      <c r="BM193" s="168">
        <f t="shared" si="192"/>
        <v>0</v>
      </c>
    </row>
    <row r="194" spans="1:65" ht="16.95" customHeight="1" thickBot="1">
      <c r="A194" s="405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30"/>
      <c r="H194" s="224"/>
      <c r="I194" s="242">
        <f t="shared" si="171"/>
        <v>0</v>
      </c>
      <c r="J194" s="430"/>
      <c r="K194" s="224"/>
      <c r="L194" s="242">
        <f t="shared" si="172"/>
        <v>0</v>
      </c>
      <c r="M194" s="430"/>
      <c r="N194" s="224"/>
      <c r="O194" s="242">
        <f t="shared" si="173"/>
        <v>0</v>
      </c>
      <c r="P194" s="430"/>
      <c r="Q194" s="224"/>
      <c r="R194" s="242">
        <f t="shared" si="174"/>
        <v>0</v>
      </c>
      <c r="S194" s="430"/>
      <c r="T194" s="224">
        <f t="shared" si="175"/>
        <v>0</v>
      </c>
      <c r="U194" s="242">
        <f t="shared" si="176"/>
        <v>0</v>
      </c>
      <c r="V194" s="402"/>
      <c r="W194" s="79"/>
      <c r="X194" s="79"/>
      <c r="Y194" s="79"/>
      <c r="Z194" s="79"/>
      <c r="AA194" s="79"/>
      <c r="AB194" s="79"/>
      <c r="AL194" s="169">
        <f>IF(AU194=0,0,IFERROR(INDEX(RanglisteST5!K:K,MATCH(AU194,RanglisteST5!A:A,0)),0))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0</v>
      </c>
      <c r="BH194" s="169" t="str">
        <f t="shared" si="193"/>
        <v>EMAX 1</v>
      </c>
      <c r="BI194" s="168">
        <f t="shared" si="189"/>
        <v>2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0</v>
      </c>
      <c r="BM194" s="168">
        <f t="shared" si="192"/>
        <v>0</v>
      </c>
    </row>
    <row r="195" spans="1:65" ht="16.95" customHeight="1">
      <c r="A195" s="403" t="s">
        <v>3</v>
      </c>
      <c r="B195" s="58" t="str">
        <f>IF(C195=0,"",VLOOKUP(C195,Starter!$A$1:$D$196,2,FALSE))</f>
        <v>Böhm, Eric-Pascal</v>
      </c>
      <c r="C195" s="235">
        <v>38706</v>
      </c>
      <c r="D195" s="238">
        <f t="shared" si="169"/>
        <v>10</v>
      </c>
      <c r="E195" s="221">
        <v>166</v>
      </c>
      <c r="F195" s="240">
        <f t="shared" si="170"/>
        <v>176</v>
      </c>
      <c r="G195" s="428">
        <f>IF(SUM(F195:F197)+E206=0,0,IF(ABS(SUM(F195:F197))=E206,Spielorte!$A$30/2,IF(ABS(SUM(F195:F197))&gt;E206,Spielorte!$A$30,0)))</f>
        <v>1</v>
      </c>
      <c r="H195" s="221">
        <v>161</v>
      </c>
      <c r="I195" s="240">
        <f t="shared" si="171"/>
        <v>171</v>
      </c>
      <c r="J195" s="428">
        <f>IF(SUM(I195:I197)+H206=0,0,IF(ABS(SUM(I195:I197))=H206,Spielorte!$A$30/2,IF(ABS(SUM(I195:I197))&gt;H206,Spielorte!$A$30,0)))</f>
        <v>1</v>
      </c>
      <c r="K195" s="221"/>
      <c r="L195" s="240">
        <f t="shared" si="172"/>
        <v>0</v>
      </c>
      <c r="M195" s="428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8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8">
        <f>IF(SUM(R195:R197)+Q206=0,0,IF(ABS(SUM(R195:R197))=Q206,Spielorte!$A$30/2,IF(ABS(SUM(R195:R197))&gt;Q206,Spielorte!$A$30,0)))</f>
        <v>1</v>
      </c>
      <c r="T195" s="221">
        <f t="shared" si="175"/>
        <v>327</v>
      </c>
      <c r="U195" s="240">
        <f t="shared" si="176"/>
        <v>347</v>
      </c>
      <c r="V195" s="400">
        <f>SUM(G195+J195+M195+P195+S195)</f>
        <v>3</v>
      </c>
      <c r="W195" s="79"/>
      <c r="X195" s="79"/>
      <c r="Y195" s="79"/>
      <c r="Z195" s="79"/>
      <c r="AA195" s="79"/>
      <c r="AB195" s="79"/>
      <c r="AL195" s="169">
        <f>IF(AU195=0,0,IFERROR(INDEX(RanglisteST5!K:K,MATCH(AU195,RanglisteST5!A:A,0)),0))</f>
        <v>147.63</v>
      </c>
      <c r="AM195" s="169">
        <f>IF(AU195=0,0,SUMIF(AU189:AU197,AU195,AV189:AV197))</f>
        <v>664</v>
      </c>
      <c r="AN195" s="169">
        <f>IF(AU195=0,0,SUMIF(AU189:AU197,AU195,AW189:AW197))</f>
        <v>4</v>
      </c>
      <c r="AO195" s="169">
        <f t="shared" si="177"/>
        <v>166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10</v>
      </c>
      <c r="AQ195" s="166"/>
      <c r="AR195" s="167"/>
      <c r="AS195" s="167"/>
      <c r="AT195" s="168"/>
      <c r="AU195" s="171">
        <f t="shared" si="178"/>
        <v>38706</v>
      </c>
      <c r="AV195" s="167">
        <f t="shared" si="179"/>
        <v>327</v>
      </c>
      <c r="AW195" s="169">
        <f t="shared" si="180"/>
        <v>2</v>
      </c>
      <c r="AX195" s="169">
        <f t="shared" si="181"/>
        <v>2</v>
      </c>
      <c r="AY195" s="169">
        <f t="shared" si="182"/>
        <v>166</v>
      </c>
      <c r="AZ195" s="169">
        <f t="shared" si="183"/>
        <v>161</v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166</v>
      </c>
      <c r="BG195" s="169">
        <f t="shared" si="188"/>
        <v>0</v>
      </c>
      <c r="BH195" s="169" t="str">
        <f t="shared" si="193"/>
        <v>EMAX 1</v>
      </c>
      <c r="BI195" s="168">
        <f t="shared" si="189"/>
        <v>2</v>
      </c>
      <c r="BJ195" s="169">
        <f t="shared" si="190"/>
        <v>327</v>
      </c>
      <c r="BK195" s="169">
        <f>IF(COUNTIF(AY195:BC195,"&gt;0")&lt;Spielorte!$A$23,0,AV195/Spielorte!$A$23)</f>
        <v>0</v>
      </c>
      <c r="BL195" s="169">
        <f t="shared" si="191"/>
        <v>0</v>
      </c>
      <c r="BM195" s="168">
        <f t="shared" si="192"/>
        <v>0</v>
      </c>
    </row>
    <row r="196" spans="1:65" ht="16.95" customHeight="1">
      <c r="A196" s="404"/>
      <c r="B196" s="58" t="str">
        <f>IF(C196=0,"",VLOOKUP(C196,Starter!$A$1:$D$196,2,FALSE))</f>
        <v>Heiming, Thalea</v>
      </c>
      <c r="C196" s="233">
        <v>38910</v>
      </c>
      <c r="D196" s="239">
        <f t="shared" si="169"/>
        <v>33</v>
      </c>
      <c r="E196" s="222"/>
      <c r="F196" s="241">
        <f t="shared" si="170"/>
        <v>0</v>
      </c>
      <c r="G196" s="429"/>
      <c r="H196" s="222"/>
      <c r="I196" s="241">
        <f t="shared" si="171"/>
        <v>0</v>
      </c>
      <c r="J196" s="429"/>
      <c r="K196" s="222">
        <v>118</v>
      </c>
      <c r="L196" s="241">
        <f t="shared" si="172"/>
        <v>151</v>
      </c>
      <c r="M196" s="429"/>
      <c r="N196" s="222">
        <v>103</v>
      </c>
      <c r="O196" s="241">
        <f t="shared" si="173"/>
        <v>136</v>
      </c>
      <c r="P196" s="429"/>
      <c r="Q196" s="222">
        <v>143</v>
      </c>
      <c r="R196" s="241">
        <f t="shared" si="174"/>
        <v>176</v>
      </c>
      <c r="S196" s="429"/>
      <c r="T196" s="222">
        <f t="shared" si="175"/>
        <v>364</v>
      </c>
      <c r="U196" s="241">
        <f t="shared" si="176"/>
        <v>463</v>
      </c>
      <c r="V196" s="401"/>
      <c r="W196" s="79"/>
      <c r="X196" s="79"/>
      <c r="Y196" s="79"/>
      <c r="Z196" s="79"/>
      <c r="AA196" s="79"/>
      <c r="AB196" s="79"/>
      <c r="AL196" s="169">
        <f>IF(AU196=0,0,IFERROR(INDEX(RanglisteST5!K:K,MATCH(AU196,RanglisteST5!A:A,0)),0))</f>
        <v>118.91</v>
      </c>
      <c r="AM196" s="169">
        <f>IF(AU196=0,0,SUMIF(AU189:AU197,AU196,AV189:AV197))</f>
        <v>486</v>
      </c>
      <c r="AN196" s="169">
        <f>IF(AU196=0,0,SUMIF(AU189:AU197,AU196,AW189:AW197))</f>
        <v>4</v>
      </c>
      <c r="AO196" s="169">
        <f t="shared" si="177"/>
        <v>121.5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33</v>
      </c>
      <c r="AQ196" s="166"/>
      <c r="AR196" s="167"/>
      <c r="AS196" s="167"/>
      <c r="AT196" s="168"/>
      <c r="AU196" s="171">
        <f t="shared" si="178"/>
        <v>38910</v>
      </c>
      <c r="AV196" s="167">
        <f t="shared" si="179"/>
        <v>364</v>
      </c>
      <c r="AW196" s="169">
        <f t="shared" si="180"/>
        <v>3</v>
      </c>
      <c r="AX196" s="169">
        <f t="shared" si="181"/>
        <v>3</v>
      </c>
      <c r="AY196" s="169" t="str">
        <f t="shared" si="182"/>
        <v/>
      </c>
      <c r="AZ196" s="169" t="str">
        <f t="shared" si="183"/>
        <v/>
      </c>
      <c r="BA196" s="169">
        <f t="shared" si="184"/>
        <v>118</v>
      </c>
      <c r="BB196" s="169">
        <f t="shared" si="185"/>
        <v>103</v>
      </c>
      <c r="BC196" s="169">
        <f t="shared" si="186"/>
        <v>143</v>
      </c>
      <c r="BD196" s="170"/>
      <c r="BE196" s="168"/>
      <c r="BF196" s="169">
        <f t="shared" si="187"/>
        <v>143</v>
      </c>
      <c r="BG196" s="169">
        <f t="shared" si="188"/>
        <v>0</v>
      </c>
      <c r="BH196" s="169" t="str">
        <f t="shared" si="193"/>
        <v>EMAX 1</v>
      </c>
      <c r="BI196" s="168">
        <f t="shared" si="189"/>
        <v>2</v>
      </c>
      <c r="BJ196" s="169">
        <f t="shared" si="190"/>
        <v>364</v>
      </c>
      <c r="BK196" s="169">
        <f>IF(COUNTIF(AY196:BC196,"&gt;0")&lt;Spielorte!$A$23,0,AV196/Spielorte!$A$23)</f>
        <v>0</v>
      </c>
      <c r="BL196" s="169">
        <f t="shared" si="191"/>
        <v>0</v>
      </c>
      <c r="BM196" s="168">
        <f t="shared" si="192"/>
        <v>0</v>
      </c>
    </row>
    <row r="197" spans="1:65" ht="16.95" customHeight="1" thickBot="1">
      <c r="A197" s="405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30"/>
      <c r="H197" s="224"/>
      <c r="I197" s="242">
        <f t="shared" si="171"/>
        <v>0</v>
      </c>
      <c r="J197" s="430"/>
      <c r="K197" s="224"/>
      <c r="L197" s="242">
        <f t="shared" si="172"/>
        <v>0</v>
      </c>
      <c r="M197" s="430"/>
      <c r="N197" s="224"/>
      <c r="O197" s="242">
        <f t="shared" si="173"/>
        <v>0</v>
      </c>
      <c r="P197" s="430"/>
      <c r="Q197" s="224"/>
      <c r="R197" s="242">
        <f t="shared" si="174"/>
        <v>0</v>
      </c>
      <c r="S197" s="430"/>
      <c r="T197" s="224">
        <f t="shared" si="175"/>
        <v>0</v>
      </c>
      <c r="U197" s="242">
        <f t="shared" si="176"/>
        <v>0</v>
      </c>
      <c r="V197" s="402"/>
      <c r="W197" s="79"/>
      <c r="X197" s="79"/>
      <c r="Y197" s="79"/>
      <c r="Z197" s="79"/>
      <c r="AA197" s="79"/>
      <c r="AB197" s="79"/>
      <c r="AL197" s="169">
        <f>IF(AU197=0,0,IFERROR(INDEX(RanglisteST5!K:K,MATCH(AU197,RanglisteST5!A:A,0)),0))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0</v>
      </c>
      <c r="BH197" s="169" t="str">
        <f t="shared" si="193"/>
        <v>EMAX 1</v>
      </c>
      <c r="BI197" s="168">
        <f t="shared" si="189"/>
        <v>2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0</v>
      </c>
      <c r="BM197" s="168">
        <f t="shared" si="192"/>
        <v>0</v>
      </c>
    </row>
    <row r="198" spans="1:65" ht="27.75" customHeight="1" thickBot="1">
      <c r="B198" s="218" t="s">
        <v>1792</v>
      </c>
      <c r="C198" s="204"/>
      <c r="D198" s="219"/>
      <c r="E198" s="226">
        <f>ABS(SUM(E189:E191))+ABS(SUM(E192:E194))+ABS(SUM(E195:E197))</f>
        <v>400</v>
      </c>
      <c r="F198" s="225">
        <f>ABS(SUM(F189:F191))+ABS(SUM(F192:F194))+ABS(SUM(F195:F197))</f>
        <v>497</v>
      </c>
      <c r="G198" s="81">
        <f>IF(F198+E207=0,0,IF(F198=E207,Spielorte!$A$31/2,IF(F198&gt;E207,Spielorte!$A$31,0)))</f>
        <v>2</v>
      </c>
      <c r="H198" s="226">
        <f>ABS(SUM(H189:H191))+ABS(SUM(H192:H194))+ABS(SUM(H195:H197))</f>
        <v>360</v>
      </c>
      <c r="I198" s="225">
        <f>ABS(SUM(I189:I191))+ABS(SUM(I192:I194))+ABS(SUM(I195:I197))</f>
        <v>456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377</v>
      </c>
      <c r="L198" s="225">
        <f>ABS(SUM(L189:L191))+ABS(SUM(L192:L194))+ABS(SUM(L195:L197))</f>
        <v>496</v>
      </c>
      <c r="M198" s="81">
        <f>IF(L198+K207=0,0,IF(L198=K207,Spielorte!$A$31/2,IF(L198&gt;K207,Spielorte!$A$31,0)))</f>
        <v>2</v>
      </c>
      <c r="N198" s="226">
        <f>ABS(SUM(N189:N191))+ABS(SUM(N192:N194))+ABS(SUM(N195:N197))</f>
        <v>419</v>
      </c>
      <c r="O198" s="225">
        <f>ABS(SUM(O189:O191))+ABS(SUM(O192:O194))+ABS(SUM(O195:O197))</f>
        <v>494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426</v>
      </c>
      <c r="R198" s="225">
        <f>ABS(SUM(R189:R191))+ABS(SUM(R192:R194))+ABS(SUM(R195:R197))</f>
        <v>501</v>
      </c>
      <c r="S198" s="81">
        <f>IF(R198+Q207=0,0,IF(R198=Q207,Spielorte!$A$31/2,IF(R198&gt;Q207,Spielorte!$A$31,0)))</f>
        <v>0</v>
      </c>
      <c r="T198" s="228">
        <f>SUM(E198+H198+K198+N198+Q198)</f>
        <v>1982</v>
      </c>
      <c r="U198" s="229">
        <f>SUM(F198+I198+L198+O198+R198)</f>
        <v>2444</v>
      </c>
      <c r="V198" s="12">
        <f>SUM(G198+J198+M198+P198+S198)</f>
        <v>4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>
      <c r="B199" s="230" t="s">
        <v>1803</v>
      </c>
      <c r="C199" s="1"/>
      <c r="D199" s="1"/>
      <c r="E199" s="1"/>
      <c r="F199" s="1"/>
      <c r="G199" s="61">
        <f>SUM(G189:G198)</f>
        <v>5</v>
      </c>
      <c r="H199" s="1"/>
      <c r="I199" s="1"/>
      <c r="J199" s="61">
        <f>SUM(J189:J198)</f>
        <v>1</v>
      </c>
      <c r="K199" s="1"/>
      <c r="L199" s="1"/>
      <c r="M199" s="61">
        <f>SUM(M189:M198)</f>
        <v>4</v>
      </c>
      <c r="N199" s="1"/>
      <c r="O199" s="1"/>
      <c r="P199" s="61">
        <f>SUM(P189:P198)</f>
        <v>1</v>
      </c>
      <c r="Q199" s="1"/>
      <c r="R199" s="1"/>
      <c r="S199" s="61">
        <f>SUM(S189:S198)</f>
        <v>1.5</v>
      </c>
      <c r="T199" s="1"/>
      <c r="U199" s="1"/>
      <c r="V199" s="61">
        <f>SUM(V189:V198)</f>
        <v>12.5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12.5</v>
      </c>
      <c r="AR199" s="167">
        <f>+T198</f>
        <v>1982</v>
      </c>
      <c r="AS199" s="167">
        <f>+U198</f>
        <v>2444</v>
      </c>
      <c r="AT199" s="168">
        <f>+B184</f>
        <v>8</v>
      </c>
      <c r="AW199" s="169">
        <f>SUM(AW183:AW198)</f>
        <v>15</v>
      </c>
      <c r="BD199" s="166">
        <f>+AS199/1000000+AQ199+AR199/1000000000000</f>
        <v>12.502444001982001</v>
      </c>
      <c r="BE199" s="168">
        <f>RANK(BD199,BD:BD)</f>
        <v>4</v>
      </c>
      <c r="BI199" s="168"/>
      <c r="BM199" s="168"/>
    </row>
    <row r="200" spans="1:65" ht="11.25" customHeight="1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>
      <c r="B201" s="231" t="s">
        <v>1790</v>
      </c>
      <c r="C201" s="210"/>
      <c r="D201" s="42"/>
      <c r="E201" s="434">
        <f>VLOOKUP($B184,Schlüssel!$A$5:$EK$12,83)</f>
        <v>6</v>
      </c>
      <c r="F201" s="435"/>
      <c r="G201" s="436"/>
      <c r="H201" s="434">
        <f>VLOOKUP($B184,Schlüssel!$A$5:$EK$12,84)</f>
        <v>4</v>
      </c>
      <c r="I201" s="435"/>
      <c r="J201" s="436"/>
      <c r="K201" s="434">
        <f>VLOOKUP($B184,Schlüssel!$A$5:$EK$12,85)</f>
        <v>3</v>
      </c>
      <c r="L201" s="435"/>
      <c r="M201" s="436"/>
      <c r="N201" s="434">
        <f>VLOOKUP($B184,Schlüssel!$A$5:$EK$12,86)</f>
        <v>5</v>
      </c>
      <c r="O201" s="435"/>
      <c r="P201" s="436"/>
      <c r="Q201" s="434">
        <f>VLOOKUP($B184,Schlüssel!$A$5:$EK$12,87)</f>
        <v>2</v>
      </c>
      <c r="R201" s="435"/>
      <c r="S201" s="436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>
      <c r="B202" s="3" t="s">
        <v>9</v>
      </c>
      <c r="C202" s="1"/>
      <c r="D202" s="1"/>
      <c r="E202" s="395" t="str">
        <f>VLOOKUP(E201,Schlüssel!$A$5:$K$12,2)</f>
        <v>Bowling Jugend Bayern 1</v>
      </c>
      <c r="F202" s="438"/>
      <c r="G202" s="396"/>
      <c r="H202" s="395" t="str">
        <f>VLOOKUP(H201,Schlüssel!$A$5:$K$12,2)</f>
        <v>Highroller Rosenheim 3</v>
      </c>
      <c r="I202" s="438"/>
      <c r="J202" s="396"/>
      <c r="K202" s="395" t="str">
        <f>VLOOKUP(K201,Schlüssel!$A$5:$K$12,2)</f>
        <v>Highroller Rosenheim 2</v>
      </c>
      <c r="L202" s="438"/>
      <c r="M202" s="396"/>
      <c r="N202" s="395" t="str">
        <f>VLOOKUP(N201,Schlüssel!$A$5:$K$12,2)</f>
        <v>Berchtesgaden 1</v>
      </c>
      <c r="O202" s="438"/>
      <c r="P202" s="396"/>
      <c r="Q202" s="395" t="str">
        <f>VLOOKUP(Q201,Schlüssel!$A$5:$K$12,2)</f>
        <v>Highroller Rosenheim 1</v>
      </c>
      <c r="R202" s="438"/>
      <c r="S202" s="396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" customHeight="1">
      <c r="B204" s="417" t="s">
        <v>2275</v>
      </c>
      <c r="C204" s="418"/>
      <c r="D204" s="419"/>
      <c r="E204" s="431">
        <f>ABS(INDEX(F:F,MATCH(E201,$B:$B,0)+5)+INDEX(F:F,MATCH(E201,$B:$B,0)+6)+INDEX(F:F,MATCH(E201,$B:$B,0)+7))</f>
        <v>137</v>
      </c>
      <c r="F204" s="432"/>
      <c r="G204" s="433"/>
      <c r="H204" s="431">
        <f>ABS(INDEX(I:I,MATCH(H201,$B:$B,0)+5)+INDEX(I:I,MATCH(H201,$B:$B,0)+6)+INDEX(I:I,MATCH(H201,$B:$B,0)+7))</f>
        <v>177</v>
      </c>
      <c r="I204" s="432"/>
      <c r="J204" s="433"/>
      <c r="K204" s="431">
        <f>ABS(INDEX(L:L,MATCH(K201,$B:$B,0)+5)+INDEX(L:L,MATCH(K201,$B:$B,0)+6)+INDEX(L:L,MATCH(K201,$B:$B,0)+7))</f>
        <v>134</v>
      </c>
      <c r="L204" s="432"/>
      <c r="M204" s="433"/>
      <c r="N204" s="431">
        <f>ABS(INDEX(O:O,MATCH(N201,$B:$B,0)+5)+INDEX(O:O,MATCH(N201,$B:$B,0)+6)+INDEX(O:O,MATCH(N201,$B:$B,0)+7))</f>
        <v>163</v>
      </c>
      <c r="O204" s="432"/>
      <c r="P204" s="433"/>
      <c r="Q204" s="431">
        <f>ABS(INDEX(R:R,MATCH(Q201,$B:$B,0)+5)+INDEX(R:R,MATCH(Q201,$B:$B,0)+6)+INDEX(R:R,MATCH(Q201,$B:$B,0)+7))</f>
        <v>196</v>
      </c>
      <c r="R204" s="432"/>
      <c r="S204" s="433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" customHeight="1">
      <c r="B205" s="417" t="s">
        <v>2276</v>
      </c>
      <c r="C205" s="418"/>
      <c r="D205" s="419"/>
      <c r="E205" s="424">
        <f>ABS(INDEX(F:F,MATCH(E201,$B:$B,0)+8)+INDEX(F:F,MATCH(E201,$B:$B,0)+9)+INDEX(F:F,MATCH(E201,$B:$B,0)+10))</f>
        <v>130</v>
      </c>
      <c r="F205" s="425"/>
      <c r="G205" s="426"/>
      <c r="H205" s="424">
        <f>ABS(INDEX(I:I,MATCH(H201,$B:$B,0)+8)+INDEX(I:I,MATCH(H201,$B:$B,0)+9)+INDEX(I:I,MATCH(H201,$B:$B,0)+10))</f>
        <v>166</v>
      </c>
      <c r="I205" s="425"/>
      <c r="J205" s="426"/>
      <c r="K205" s="424">
        <f>ABS(INDEX(L:L,MATCH(K201,$B:$B,0)+8)+INDEX(L:L,MATCH(K201,$B:$B,0)+9)+INDEX(L:L,MATCH(K201,$B:$B,0)+10))</f>
        <v>172</v>
      </c>
      <c r="L205" s="425"/>
      <c r="M205" s="426"/>
      <c r="N205" s="424">
        <f>ABS(INDEX(O:O,MATCH(N201,$B:$B,0)+8)+INDEX(O:O,MATCH(N201,$B:$B,0)+9)+INDEX(O:O,MATCH(N201,$B:$B,0)+10))</f>
        <v>168</v>
      </c>
      <c r="O205" s="425"/>
      <c r="P205" s="426"/>
      <c r="Q205" s="424">
        <f>ABS(INDEX(R:R,MATCH(Q201,$B:$B,0)+8)+INDEX(R:R,MATCH(Q201,$B:$B,0)+9)+INDEX(R:R,MATCH(Q201,$B:$B,0)+10))</f>
        <v>177</v>
      </c>
      <c r="R205" s="425"/>
      <c r="S205" s="426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" customHeight="1">
      <c r="B206" s="417" t="s">
        <v>2277</v>
      </c>
      <c r="C206" s="418"/>
      <c r="D206" s="419"/>
      <c r="E206" s="424">
        <f>ABS(INDEX(F:F,MATCH(E201,$B:$B,0)+11)+INDEX(F:F,MATCH(E201,$B:$B,0)+12)+INDEX(F:F,MATCH(E201,$B:$B,0)+13))</f>
        <v>134</v>
      </c>
      <c r="F206" s="425"/>
      <c r="G206" s="426"/>
      <c r="H206" s="424">
        <f>ABS(INDEX(I:I,MATCH(H201,$B:$B,0)+11)+INDEX(I:I,MATCH(H201,$B:$B,0)+12)+INDEX(I:I,MATCH(H201,$B:$B,0)+13))</f>
        <v>125</v>
      </c>
      <c r="I206" s="425"/>
      <c r="J206" s="426"/>
      <c r="K206" s="424">
        <f>ABS(INDEX(L:L,MATCH(K201,$B:$B,0)+11)+INDEX(L:L,MATCH(K201,$B:$B,0)+12)+INDEX(L:L,MATCH(K201,$B:$B,0)+13))</f>
        <v>170</v>
      </c>
      <c r="L206" s="425"/>
      <c r="M206" s="426"/>
      <c r="N206" s="424">
        <f>ABS(INDEX(O:O,MATCH(N201,$B:$B,0)+11)+INDEX(O:O,MATCH(N201,$B:$B,0)+12)+INDEX(O:O,MATCH(N201,$B:$B,0)+13))</f>
        <v>200</v>
      </c>
      <c r="O206" s="425"/>
      <c r="P206" s="426"/>
      <c r="Q206" s="424">
        <f>ABS(INDEX(R:R,MATCH(Q201,$B:$B,0)+11)+INDEX(R:R,MATCH(Q201,$B:$B,0)+12)+INDEX(R:R,MATCH(Q201,$B:$B,0)+13))</f>
        <v>152</v>
      </c>
      <c r="R206" s="425"/>
      <c r="S206" s="426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" customHeight="1">
      <c r="B207" s="420" t="s">
        <v>2278</v>
      </c>
      <c r="C207" s="421"/>
      <c r="D207" s="422"/>
      <c r="E207" s="407">
        <f>SUM(E204:E206)</f>
        <v>401</v>
      </c>
      <c r="F207" s="423"/>
      <c r="G207" s="408"/>
      <c r="H207" s="407">
        <f>SUM(H204:H206)</f>
        <v>468</v>
      </c>
      <c r="I207" s="423"/>
      <c r="J207" s="408"/>
      <c r="K207" s="407">
        <f>SUM(K204:K206)</f>
        <v>476</v>
      </c>
      <c r="L207" s="423"/>
      <c r="M207" s="408"/>
      <c r="N207" s="407">
        <f>SUM(N204:N206)</f>
        <v>531</v>
      </c>
      <c r="O207" s="423"/>
      <c r="P207" s="408"/>
      <c r="Q207" s="407">
        <f>SUM(Q204:Q206)</f>
        <v>525</v>
      </c>
      <c r="R207" s="423"/>
      <c r="S207" s="408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formatCells="0" formatColumns="0" formatRows="0"/>
  <mergeCells count="528">
    <mergeCell ref="A13:A15"/>
    <mergeCell ref="A10:A12"/>
    <mergeCell ref="A7:A9"/>
    <mergeCell ref="S1:V1"/>
    <mergeCell ref="E5:G5"/>
    <mergeCell ref="H5:J5"/>
    <mergeCell ref="K5:M5"/>
    <mergeCell ref="T5:V5"/>
    <mergeCell ref="V10:V12"/>
    <mergeCell ref="V7:V9"/>
    <mergeCell ref="G10:G12"/>
    <mergeCell ref="J10:J12"/>
    <mergeCell ref="M10:M12"/>
    <mergeCell ref="P10:P12"/>
    <mergeCell ref="G1:R1"/>
    <mergeCell ref="G2:O2"/>
    <mergeCell ref="Q2:R2"/>
    <mergeCell ref="B3:G3"/>
    <mergeCell ref="S13:S15"/>
    <mergeCell ref="V13:V15"/>
    <mergeCell ref="S10:S12"/>
    <mergeCell ref="G13:G15"/>
    <mergeCell ref="J13:J15"/>
    <mergeCell ref="M13:M15"/>
    <mergeCell ref="B154:D154"/>
    <mergeCell ref="B155:D155"/>
    <mergeCell ref="B126:D126"/>
    <mergeCell ref="B127:D127"/>
    <mergeCell ref="B128:D128"/>
    <mergeCell ref="B129:D129"/>
    <mergeCell ref="B133:G133"/>
    <mergeCell ref="G143:G145"/>
    <mergeCell ref="B100:D100"/>
    <mergeCell ref="B101:D101"/>
    <mergeCell ref="B102:D102"/>
    <mergeCell ref="B103:D103"/>
    <mergeCell ref="E153:G153"/>
    <mergeCell ref="G106:O106"/>
    <mergeCell ref="E155:G155"/>
    <mergeCell ref="H155:J155"/>
    <mergeCell ref="K155:M155"/>
    <mergeCell ref="N155:P155"/>
    <mergeCell ref="H153:J153"/>
    <mergeCell ref="K153:M153"/>
    <mergeCell ref="N153:P153"/>
    <mergeCell ref="A36:A38"/>
    <mergeCell ref="S27:V27"/>
    <mergeCell ref="A33:A35"/>
    <mergeCell ref="B152:D152"/>
    <mergeCell ref="B153:D153"/>
    <mergeCell ref="A39:A41"/>
    <mergeCell ref="B74:D74"/>
    <mergeCell ref="B75:D75"/>
    <mergeCell ref="B76:D76"/>
    <mergeCell ref="B77:D77"/>
    <mergeCell ref="B81:G81"/>
    <mergeCell ref="G91:G93"/>
    <mergeCell ref="A111:A113"/>
    <mergeCell ref="A117:A119"/>
    <mergeCell ref="S53:V53"/>
    <mergeCell ref="A62:A64"/>
    <mergeCell ref="A59:A61"/>
    <mergeCell ref="G140:G142"/>
    <mergeCell ref="J140:J142"/>
    <mergeCell ref="G137:G139"/>
    <mergeCell ref="M143:M145"/>
    <mergeCell ref="P143:P145"/>
    <mergeCell ref="S143:S145"/>
    <mergeCell ref="V143:V145"/>
    <mergeCell ref="A65:A67"/>
    <mergeCell ref="Q72:S72"/>
    <mergeCell ref="E72:G72"/>
    <mergeCell ref="H72:J72"/>
    <mergeCell ref="K72:M72"/>
    <mergeCell ref="N72:P72"/>
    <mergeCell ref="E71:G71"/>
    <mergeCell ref="H71:J71"/>
    <mergeCell ref="K71:M71"/>
    <mergeCell ref="A88:A90"/>
    <mergeCell ref="A85:A87"/>
    <mergeCell ref="V117:V119"/>
    <mergeCell ref="G117:G119"/>
    <mergeCell ref="J117:J119"/>
    <mergeCell ref="M137:M139"/>
    <mergeCell ref="P137:P139"/>
    <mergeCell ref="S137:S139"/>
    <mergeCell ref="V137:V139"/>
    <mergeCell ref="A91:A93"/>
    <mergeCell ref="Q98:S98"/>
    <mergeCell ref="E98:G98"/>
    <mergeCell ref="H98:J98"/>
    <mergeCell ref="K98:M98"/>
    <mergeCell ref="N98:P98"/>
    <mergeCell ref="S105:V105"/>
    <mergeCell ref="E100:G100"/>
    <mergeCell ref="H100:J100"/>
    <mergeCell ref="K100:M100"/>
    <mergeCell ref="V91:V93"/>
    <mergeCell ref="E102:G102"/>
    <mergeCell ref="H102:J102"/>
    <mergeCell ref="K102:M102"/>
    <mergeCell ref="N102:P102"/>
    <mergeCell ref="Q102:S102"/>
    <mergeCell ref="E103:G103"/>
    <mergeCell ref="H103:J103"/>
    <mergeCell ref="K103:M103"/>
    <mergeCell ref="N103:P103"/>
    <mergeCell ref="G105:R105"/>
    <mergeCell ref="A143:A145"/>
    <mergeCell ref="P65:P67"/>
    <mergeCell ref="S65:S67"/>
    <mergeCell ref="A140:A142"/>
    <mergeCell ref="A137:A139"/>
    <mergeCell ref="S131:V131"/>
    <mergeCell ref="T135:V135"/>
    <mergeCell ref="Q124:S124"/>
    <mergeCell ref="E124:G124"/>
    <mergeCell ref="H124:J124"/>
    <mergeCell ref="K124:M124"/>
    <mergeCell ref="N124:P124"/>
    <mergeCell ref="A114:A116"/>
    <mergeCell ref="V111:V113"/>
    <mergeCell ref="G114:G116"/>
    <mergeCell ref="K97:M97"/>
    <mergeCell ref="N97:P97"/>
    <mergeCell ref="Q97:S97"/>
    <mergeCell ref="V65:V67"/>
    <mergeCell ref="S85:S87"/>
    <mergeCell ref="V85:V87"/>
    <mergeCell ref="G88:G90"/>
    <mergeCell ref="J88:J90"/>
    <mergeCell ref="M88:M90"/>
    <mergeCell ref="P88:P90"/>
    <mergeCell ref="S88:S90"/>
    <mergeCell ref="V88:V90"/>
    <mergeCell ref="G85:G87"/>
    <mergeCell ref="J85:J87"/>
    <mergeCell ref="M85:M87"/>
    <mergeCell ref="P85:P87"/>
    <mergeCell ref="E83:G83"/>
    <mergeCell ref="H83:J83"/>
    <mergeCell ref="K83:M83"/>
    <mergeCell ref="N83:P83"/>
    <mergeCell ref="Q83:S83"/>
    <mergeCell ref="N71:P71"/>
    <mergeCell ref="Q71:S71"/>
    <mergeCell ref="V59:V61"/>
    <mergeCell ref="G62:G64"/>
    <mergeCell ref="J62:J64"/>
    <mergeCell ref="M62:M64"/>
    <mergeCell ref="P62:P64"/>
    <mergeCell ref="S62:S64"/>
    <mergeCell ref="V62:V64"/>
    <mergeCell ref="J114:J116"/>
    <mergeCell ref="M114:M116"/>
    <mergeCell ref="P114:P116"/>
    <mergeCell ref="S114:S116"/>
    <mergeCell ref="V114:V116"/>
    <mergeCell ref="S79:V79"/>
    <mergeCell ref="E74:G74"/>
    <mergeCell ref="H74:J74"/>
    <mergeCell ref="K74:M74"/>
    <mergeCell ref="N74:P74"/>
    <mergeCell ref="Q74:S74"/>
    <mergeCell ref="G65:G67"/>
    <mergeCell ref="J65:J67"/>
    <mergeCell ref="M65:M67"/>
    <mergeCell ref="T83:V83"/>
    <mergeCell ref="E97:G97"/>
    <mergeCell ref="H97:J97"/>
    <mergeCell ref="H19:J19"/>
    <mergeCell ref="K19:M19"/>
    <mergeCell ref="N19:P19"/>
    <mergeCell ref="Q19:S19"/>
    <mergeCell ref="M39:M41"/>
    <mergeCell ref="P39:P41"/>
    <mergeCell ref="S39:S41"/>
    <mergeCell ref="E24:G24"/>
    <mergeCell ref="H24:J24"/>
    <mergeCell ref="K24:M24"/>
    <mergeCell ref="N24:P24"/>
    <mergeCell ref="Q24:S24"/>
    <mergeCell ref="N25:P25"/>
    <mergeCell ref="Q25:S25"/>
    <mergeCell ref="K31:M31"/>
    <mergeCell ref="N31:P31"/>
    <mergeCell ref="Q31:S31"/>
    <mergeCell ref="Q20:S20"/>
    <mergeCell ref="E20:G20"/>
    <mergeCell ref="H20:J20"/>
    <mergeCell ref="K20:M20"/>
    <mergeCell ref="N20:P20"/>
    <mergeCell ref="E19:G19"/>
    <mergeCell ref="P36:P38"/>
    <mergeCell ref="T31:V31"/>
    <mergeCell ref="E45:G45"/>
    <mergeCell ref="H45:J45"/>
    <mergeCell ref="K45:M45"/>
    <mergeCell ref="N45:P45"/>
    <mergeCell ref="Q45:S45"/>
    <mergeCell ref="V33:V35"/>
    <mergeCell ref="V36:V38"/>
    <mergeCell ref="E31:G31"/>
    <mergeCell ref="H31:J31"/>
    <mergeCell ref="G39:G41"/>
    <mergeCell ref="J39:J41"/>
    <mergeCell ref="G33:G35"/>
    <mergeCell ref="J33:J35"/>
    <mergeCell ref="T57:V57"/>
    <mergeCell ref="M33:M35"/>
    <mergeCell ref="P33:P35"/>
    <mergeCell ref="S33:S35"/>
    <mergeCell ref="G36:G38"/>
    <mergeCell ref="J36:J38"/>
    <mergeCell ref="H51:J51"/>
    <mergeCell ref="K51:M51"/>
    <mergeCell ref="N51:P51"/>
    <mergeCell ref="Q51:S51"/>
    <mergeCell ref="E49:G49"/>
    <mergeCell ref="H49:J49"/>
    <mergeCell ref="K49:M49"/>
    <mergeCell ref="N49:P49"/>
    <mergeCell ref="Q49:S49"/>
    <mergeCell ref="E50:G50"/>
    <mergeCell ref="H50:J50"/>
    <mergeCell ref="K50:M50"/>
    <mergeCell ref="N50:P50"/>
    <mergeCell ref="Q50:S50"/>
    <mergeCell ref="M36:M38"/>
    <mergeCell ref="S36:S38"/>
    <mergeCell ref="E48:G48"/>
    <mergeCell ref="V39:V41"/>
    <mergeCell ref="E22:G22"/>
    <mergeCell ref="H22:J22"/>
    <mergeCell ref="K22:M22"/>
    <mergeCell ref="N22:P22"/>
    <mergeCell ref="Q22:S22"/>
    <mergeCell ref="Q46:S46"/>
    <mergeCell ref="Q23:S23"/>
    <mergeCell ref="E57:G57"/>
    <mergeCell ref="H57:J57"/>
    <mergeCell ref="K57:M57"/>
    <mergeCell ref="N57:P57"/>
    <mergeCell ref="N23:P23"/>
    <mergeCell ref="E46:G46"/>
    <mergeCell ref="H46:J46"/>
    <mergeCell ref="K46:M46"/>
    <mergeCell ref="N46:P46"/>
    <mergeCell ref="G59:G61"/>
    <mergeCell ref="J59:J61"/>
    <mergeCell ref="M59:M61"/>
    <mergeCell ref="P59:P61"/>
    <mergeCell ref="S59:S61"/>
    <mergeCell ref="N100:P100"/>
    <mergeCell ref="Q100:S100"/>
    <mergeCell ref="E101:G101"/>
    <mergeCell ref="H101:J101"/>
    <mergeCell ref="K101:M101"/>
    <mergeCell ref="N101:P101"/>
    <mergeCell ref="Q101:S101"/>
    <mergeCell ref="N77:P77"/>
    <mergeCell ref="Q77:S77"/>
    <mergeCell ref="J91:J93"/>
    <mergeCell ref="M91:M93"/>
    <mergeCell ref="P91:P93"/>
    <mergeCell ref="S91:S93"/>
    <mergeCell ref="E76:G76"/>
    <mergeCell ref="H76:J76"/>
    <mergeCell ref="K76:M76"/>
    <mergeCell ref="N76:P76"/>
    <mergeCell ref="Q76:S76"/>
    <mergeCell ref="T109:V109"/>
    <mergeCell ref="E123:G123"/>
    <mergeCell ref="H123:J123"/>
    <mergeCell ref="K123:M123"/>
    <mergeCell ref="N123:P123"/>
    <mergeCell ref="Q123:S123"/>
    <mergeCell ref="G111:G113"/>
    <mergeCell ref="J111:J113"/>
    <mergeCell ref="M111:M113"/>
    <mergeCell ref="P111:P113"/>
    <mergeCell ref="E109:G109"/>
    <mergeCell ref="Q153:S153"/>
    <mergeCell ref="E149:G149"/>
    <mergeCell ref="H149:J149"/>
    <mergeCell ref="K149:M149"/>
    <mergeCell ref="N149:P149"/>
    <mergeCell ref="E135:G135"/>
    <mergeCell ref="H135:J135"/>
    <mergeCell ref="K135:M135"/>
    <mergeCell ref="N135:P135"/>
    <mergeCell ref="Q135:S135"/>
    <mergeCell ref="M140:M142"/>
    <mergeCell ref="P140:P142"/>
    <mergeCell ref="S140:S142"/>
    <mergeCell ref="Q150:S150"/>
    <mergeCell ref="E150:G150"/>
    <mergeCell ref="H150:J150"/>
    <mergeCell ref="K150:M150"/>
    <mergeCell ref="N150:P150"/>
    <mergeCell ref="Q149:S149"/>
    <mergeCell ref="J137:J139"/>
    <mergeCell ref="J143:J145"/>
    <mergeCell ref="V140:V142"/>
    <mergeCell ref="E152:G152"/>
    <mergeCell ref="H152:J152"/>
    <mergeCell ref="K152:M152"/>
    <mergeCell ref="N152:P152"/>
    <mergeCell ref="Q152:S152"/>
    <mergeCell ref="G7:G9"/>
    <mergeCell ref="J7:J9"/>
    <mergeCell ref="M7:M9"/>
    <mergeCell ref="P7:P9"/>
    <mergeCell ref="S7:S9"/>
    <mergeCell ref="N129:P129"/>
    <mergeCell ref="Q129:S129"/>
    <mergeCell ref="E128:G128"/>
    <mergeCell ref="H128:J128"/>
    <mergeCell ref="K128:M128"/>
    <mergeCell ref="N128:P128"/>
    <mergeCell ref="Q128:S128"/>
    <mergeCell ref="E127:G127"/>
    <mergeCell ref="H127:J127"/>
    <mergeCell ref="K127:M127"/>
    <mergeCell ref="N127:P127"/>
    <mergeCell ref="Q127:S127"/>
    <mergeCell ref="Q103:S103"/>
    <mergeCell ref="Q155:S155"/>
    <mergeCell ref="E154:G154"/>
    <mergeCell ref="H154:J154"/>
    <mergeCell ref="K154:M154"/>
    <mergeCell ref="N154:P154"/>
    <mergeCell ref="Q154:S154"/>
    <mergeCell ref="B23:D23"/>
    <mergeCell ref="B24:D24"/>
    <mergeCell ref="B25:D25"/>
    <mergeCell ref="B29:G29"/>
    <mergeCell ref="E51:G51"/>
    <mergeCell ref="E23:G23"/>
    <mergeCell ref="G27:R27"/>
    <mergeCell ref="G28:O28"/>
    <mergeCell ref="Q28:R28"/>
    <mergeCell ref="E25:G25"/>
    <mergeCell ref="H25:J25"/>
    <mergeCell ref="K25:M25"/>
    <mergeCell ref="H23:J23"/>
    <mergeCell ref="K23:M23"/>
    <mergeCell ref="H48:J48"/>
    <mergeCell ref="K48:M48"/>
    <mergeCell ref="N48:P48"/>
    <mergeCell ref="Q48:S48"/>
    <mergeCell ref="N5:P5"/>
    <mergeCell ref="Q5:S5"/>
    <mergeCell ref="G53:R53"/>
    <mergeCell ref="G54:O54"/>
    <mergeCell ref="Q54:R54"/>
    <mergeCell ref="B55:G55"/>
    <mergeCell ref="G79:R79"/>
    <mergeCell ref="G80:O80"/>
    <mergeCell ref="Q80:R80"/>
    <mergeCell ref="E77:G77"/>
    <mergeCell ref="H77:J77"/>
    <mergeCell ref="K77:M77"/>
    <mergeCell ref="E75:G75"/>
    <mergeCell ref="H75:J75"/>
    <mergeCell ref="K75:M75"/>
    <mergeCell ref="N75:P75"/>
    <mergeCell ref="Q75:S75"/>
    <mergeCell ref="Q57:S57"/>
    <mergeCell ref="B48:D48"/>
    <mergeCell ref="B49:D49"/>
    <mergeCell ref="B50:D50"/>
    <mergeCell ref="B51:D51"/>
    <mergeCell ref="B22:D22"/>
    <mergeCell ref="P13:P15"/>
    <mergeCell ref="Q106:R106"/>
    <mergeCell ref="B107:G107"/>
    <mergeCell ref="G131:R131"/>
    <mergeCell ref="G132:O132"/>
    <mergeCell ref="Q132:R132"/>
    <mergeCell ref="E129:G129"/>
    <mergeCell ref="H129:J129"/>
    <mergeCell ref="K129:M129"/>
    <mergeCell ref="H109:J109"/>
    <mergeCell ref="K109:M109"/>
    <mergeCell ref="N109:P109"/>
    <mergeCell ref="Q109:S109"/>
    <mergeCell ref="S111:S113"/>
    <mergeCell ref="M117:M119"/>
    <mergeCell ref="P117:P119"/>
    <mergeCell ref="S117:S119"/>
    <mergeCell ref="E126:G126"/>
    <mergeCell ref="H126:J126"/>
    <mergeCell ref="K126:M126"/>
    <mergeCell ref="N126:P126"/>
    <mergeCell ref="Q126:S126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</mergeCells>
  <conditionalFormatting sqref="D7:D15">
    <cfRule type="cellIs" dxfId="190" priority="72" stopIfTrue="1" operator="equal">
      <formula>0</formula>
    </cfRule>
  </conditionalFormatting>
  <conditionalFormatting sqref="D33:D41">
    <cfRule type="cellIs" dxfId="189" priority="63" stopIfTrue="1" operator="equal">
      <formula>0</formula>
    </cfRule>
  </conditionalFormatting>
  <conditionalFormatting sqref="D59:D67">
    <cfRule type="cellIs" dxfId="188" priority="54" stopIfTrue="1" operator="equal">
      <formula>0</formula>
    </cfRule>
  </conditionalFormatting>
  <conditionalFormatting sqref="D85:D93">
    <cfRule type="cellIs" dxfId="187" priority="45" stopIfTrue="1" operator="equal">
      <formula>0</formula>
    </cfRule>
  </conditionalFormatting>
  <conditionalFormatting sqref="D111:D119">
    <cfRule type="cellIs" dxfId="186" priority="36" stopIfTrue="1" operator="equal">
      <formula>0</formula>
    </cfRule>
  </conditionalFormatting>
  <conditionalFormatting sqref="D137:D145">
    <cfRule type="cellIs" dxfId="185" priority="27" stopIfTrue="1" operator="equal">
      <formula>0</formula>
    </cfRule>
  </conditionalFormatting>
  <conditionalFormatting sqref="D163:D171">
    <cfRule type="cellIs" dxfId="184" priority="18" stopIfTrue="1" operator="equal">
      <formula>0</formula>
    </cfRule>
  </conditionalFormatting>
  <conditionalFormatting sqref="D189:D197">
    <cfRule type="cellIs" dxfId="183" priority="9" stopIfTrue="1" operator="equal">
      <formula>0</formula>
    </cfRule>
  </conditionalFormatting>
  <conditionalFormatting sqref="F7:F15">
    <cfRule type="cellIs" dxfId="182" priority="71" stopIfTrue="1" operator="equal">
      <formula>0</formula>
    </cfRule>
  </conditionalFormatting>
  <conditionalFormatting sqref="F33:F41">
    <cfRule type="cellIs" dxfId="181" priority="62" stopIfTrue="1" operator="equal">
      <formula>0</formula>
    </cfRule>
  </conditionalFormatting>
  <conditionalFormatting sqref="F59:F67">
    <cfRule type="cellIs" dxfId="180" priority="53" stopIfTrue="1" operator="equal">
      <formula>0</formula>
    </cfRule>
  </conditionalFormatting>
  <conditionalFormatting sqref="F85:F93">
    <cfRule type="cellIs" dxfId="179" priority="44" stopIfTrue="1" operator="equal">
      <formula>0</formula>
    </cfRule>
  </conditionalFormatting>
  <conditionalFormatting sqref="F111:F119">
    <cfRule type="cellIs" dxfId="178" priority="35" stopIfTrue="1" operator="equal">
      <formula>0</formula>
    </cfRule>
  </conditionalFormatting>
  <conditionalFormatting sqref="F137:F145">
    <cfRule type="cellIs" dxfId="177" priority="26" stopIfTrue="1" operator="equal">
      <formula>0</formula>
    </cfRule>
  </conditionalFormatting>
  <conditionalFormatting sqref="F163:F171">
    <cfRule type="cellIs" dxfId="176" priority="17" stopIfTrue="1" operator="equal">
      <formula>0</formula>
    </cfRule>
  </conditionalFormatting>
  <conditionalFormatting sqref="F189:F197">
    <cfRule type="cellIs" dxfId="175" priority="8" stopIfTrue="1" operator="equal">
      <formula>0</formula>
    </cfRule>
  </conditionalFormatting>
  <conditionalFormatting sqref="I7:I15">
    <cfRule type="cellIs" dxfId="174" priority="70" stopIfTrue="1" operator="equal">
      <formula>0</formula>
    </cfRule>
  </conditionalFormatting>
  <conditionalFormatting sqref="I33:I41">
    <cfRule type="cellIs" dxfId="173" priority="61" stopIfTrue="1" operator="equal">
      <formula>0</formula>
    </cfRule>
  </conditionalFormatting>
  <conditionalFormatting sqref="I59:I67">
    <cfRule type="cellIs" dxfId="172" priority="52" stopIfTrue="1" operator="equal">
      <formula>0</formula>
    </cfRule>
  </conditionalFormatting>
  <conditionalFormatting sqref="I85:I93">
    <cfRule type="cellIs" dxfId="171" priority="43" stopIfTrue="1" operator="equal">
      <formula>0</formula>
    </cfRule>
  </conditionalFormatting>
  <conditionalFormatting sqref="I111:I119">
    <cfRule type="cellIs" dxfId="170" priority="34" stopIfTrue="1" operator="equal">
      <formula>0</formula>
    </cfRule>
  </conditionalFormatting>
  <conditionalFormatting sqref="I137:I145">
    <cfRule type="cellIs" dxfId="169" priority="25" stopIfTrue="1" operator="equal">
      <formula>0</formula>
    </cfRule>
  </conditionalFormatting>
  <conditionalFormatting sqref="I163:I171">
    <cfRule type="cellIs" dxfId="168" priority="16" stopIfTrue="1" operator="equal">
      <formula>0</formula>
    </cfRule>
  </conditionalFormatting>
  <conditionalFormatting sqref="I189:I197">
    <cfRule type="cellIs" dxfId="167" priority="7" stopIfTrue="1" operator="equal">
      <formula>0</formula>
    </cfRule>
  </conditionalFormatting>
  <conditionalFormatting sqref="L7:L15">
    <cfRule type="cellIs" dxfId="166" priority="69" stopIfTrue="1" operator="equal">
      <formula>0</formula>
    </cfRule>
  </conditionalFormatting>
  <conditionalFormatting sqref="L33:L41">
    <cfRule type="cellIs" dxfId="165" priority="60" stopIfTrue="1" operator="equal">
      <formula>0</formula>
    </cfRule>
  </conditionalFormatting>
  <conditionalFormatting sqref="L59:L67">
    <cfRule type="cellIs" dxfId="164" priority="51" stopIfTrue="1" operator="equal">
      <formula>0</formula>
    </cfRule>
  </conditionalFormatting>
  <conditionalFormatting sqref="L85:L93">
    <cfRule type="cellIs" dxfId="163" priority="42" stopIfTrue="1" operator="equal">
      <formula>0</formula>
    </cfRule>
  </conditionalFormatting>
  <conditionalFormatting sqref="L111:L119">
    <cfRule type="cellIs" dxfId="162" priority="33" stopIfTrue="1" operator="equal">
      <formula>0</formula>
    </cfRule>
  </conditionalFormatting>
  <conditionalFormatting sqref="L137:L145">
    <cfRule type="cellIs" dxfId="161" priority="24" stopIfTrue="1" operator="equal">
      <formula>0</formula>
    </cfRule>
  </conditionalFormatting>
  <conditionalFormatting sqref="L163:L171">
    <cfRule type="cellIs" dxfId="160" priority="15" stopIfTrue="1" operator="equal">
      <formula>0</formula>
    </cfRule>
  </conditionalFormatting>
  <conditionalFormatting sqref="L189:L197">
    <cfRule type="cellIs" dxfId="159" priority="6" stopIfTrue="1" operator="equal">
      <formula>0</formula>
    </cfRule>
  </conditionalFormatting>
  <conditionalFormatting sqref="O7:O15">
    <cfRule type="cellIs" dxfId="158" priority="68" stopIfTrue="1" operator="equal">
      <formula>0</formula>
    </cfRule>
  </conditionalFormatting>
  <conditionalFormatting sqref="O33:O41">
    <cfRule type="cellIs" dxfId="157" priority="59" stopIfTrue="1" operator="equal">
      <formula>0</formula>
    </cfRule>
  </conditionalFormatting>
  <conditionalFormatting sqref="O59:O67">
    <cfRule type="cellIs" dxfId="156" priority="50" stopIfTrue="1" operator="equal">
      <formula>0</formula>
    </cfRule>
  </conditionalFormatting>
  <conditionalFormatting sqref="O85:O93">
    <cfRule type="cellIs" dxfId="155" priority="41" stopIfTrue="1" operator="equal">
      <formula>0</formula>
    </cfRule>
  </conditionalFormatting>
  <conditionalFormatting sqref="O111:O119">
    <cfRule type="cellIs" dxfId="154" priority="32" stopIfTrue="1" operator="equal">
      <formula>0</formula>
    </cfRule>
  </conditionalFormatting>
  <conditionalFormatting sqref="O137:O145">
    <cfRule type="cellIs" dxfId="153" priority="23" stopIfTrue="1" operator="equal">
      <formula>0</formula>
    </cfRule>
  </conditionalFormatting>
  <conditionalFormatting sqref="O163:O171">
    <cfRule type="cellIs" dxfId="152" priority="14" stopIfTrue="1" operator="equal">
      <formula>0</formula>
    </cfRule>
  </conditionalFormatting>
  <conditionalFormatting sqref="O189:O197">
    <cfRule type="cellIs" dxfId="151" priority="5" stopIfTrue="1" operator="equal">
      <formula>0</formula>
    </cfRule>
  </conditionalFormatting>
  <conditionalFormatting sqref="R7:R15">
    <cfRule type="cellIs" dxfId="150" priority="67" stopIfTrue="1" operator="equal">
      <formula>0</formula>
    </cfRule>
  </conditionalFormatting>
  <conditionalFormatting sqref="R33:R41">
    <cfRule type="cellIs" dxfId="149" priority="58" stopIfTrue="1" operator="equal">
      <formula>0</formula>
    </cfRule>
  </conditionalFormatting>
  <conditionalFormatting sqref="R59:R67">
    <cfRule type="cellIs" dxfId="148" priority="49" stopIfTrue="1" operator="equal">
      <formula>0</formula>
    </cfRule>
  </conditionalFormatting>
  <conditionalFormatting sqref="R85:R93">
    <cfRule type="cellIs" dxfId="147" priority="40" stopIfTrue="1" operator="equal">
      <formula>0</formula>
    </cfRule>
  </conditionalFormatting>
  <conditionalFormatting sqref="R111:R119">
    <cfRule type="cellIs" dxfId="146" priority="31" stopIfTrue="1" operator="equal">
      <formula>0</formula>
    </cfRule>
  </conditionalFormatting>
  <conditionalFormatting sqref="R137:R145">
    <cfRule type="cellIs" dxfId="145" priority="22" stopIfTrue="1" operator="equal">
      <formula>0</formula>
    </cfRule>
  </conditionalFormatting>
  <conditionalFormatting sqref="R163:R171">
    <cfRule type="cellIs" dxfId="144" priority="13" stopIfTrue="1" operator="equal">
      <formula>0</formula>
    </cfRule>
  </conditionalFormatting>
  <conditionalFormatting sqref="R189:R197">
    <cfRule type="cellIs" dxfId="143" priority="4" stopIfTrue="1" operator="equal">
      <formula>0</formula>
    </cfRule>
  </conditionalFormatting>
  <conditionalFormatting sqref="U7:U15">
    <cfRule type="cellIs" dxfId="142" priority="64" stopIfTrue="1" operator="equal">
      <formula>0</formula>
    </cfRule>
  </conditionalFormatting>
  <conditionalFormatting sqref="U33:U41">
    <cfRule type="cellIs" dxfId="141" priority="55" stopIfTrue="1" operator="equal">
      <formula>0</formula>
    </cfRule>
  </conditionalFormatting>
  <conditionalFormatting sqref="U59:U67">
    <cfRule type="cellIs" dxfId="140" priority="46" stopIfTrue="1" operator="equal">
      <formula>0</formula>
    </cfRule>
  </conditionalFormatting>
  <conditionalFormatting sqref="U85:U93">
    <cfRule type="cellIs" dxfId="139" priority="37" stopIfTrue="1" operator="equal">
      <formula>0</formula>
    </cfRule>
  </conditionalFormatting>
  <conditionalFormatting sqref="U111:U119">
    <cfRule type="cellIs" dxfId="138" priority="28" stopIfTrue="1" operator="equal">
      <formula>0</formula>
    </cfRule>
  </conditionalFormatting>
  <conditionalFormatting sqref="U137:U145">
    <cfRule type="cellIs" dxfId="137" priority="19" stopIfTrue="1" operator="equal">
      <formula>0</formula>
    </cfRule>
  </conditionalFormatting>
  <conditionalFormatting sqref="U163:U171">
    <cfRule type="cellIs" dxfId="136" priority="10" stopIfTrue="1" operator="equal">
      <formula>0</formula>
    </cfRule>
  </conditionalFormatting>
  <conditionalFormatting sqref="U189:U197">
    <cfRule type="cellIs" dxfId="135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S39 S33 Q33:R41 S13 S7 M65 M59 Q59:R67 P65 P59 S91 S85 Q85:R93 S65 S59 P10 E7:F15 Q137:R145 S117 S111 H7:I15 G13 G7 G10 K7:L15 J13 J7 J10 N7:O15 M10 S10 E33:F41 J39 J33 J36 H33:I41 M39 M33 M36 K33:L41 P39 P33 P36 N33:O41 S36 P62 E59:F67 G39 G33 G36 H59:I67 G65 G59 G62 K59:L67 J65 J59 J62 N59:O67 M62 S62 E85:F93 J91 J85 J88 H85:I93 M91 M85 M88 K85:L93 P91 P85 P88 N85:O93 S88 P114 E111:F119 G91 G85 G88 H111:I119 G117 G111 G114 K111:L119 J117 J111 J114 N111:O119 M114 S114 E137:F145 J143 J137 J140 H137:I145 M143 M137 M140 K137:L145 P143 P137 P140 N137:O145 S143 S137 S140 G143 G137 G140 Q163:R171 E163:F171 J169 J163 J166 H163:I171 M169 M163 M166 K163:L171 P169 P163 P166 N163:O171 S169 S163 S166 G169 G163 G166 Q189:R197 E189:F197 J195 J189 J192 H189:I197 M195 M189 M192 K189:L197 P195 P189 P192 N189:O197 S195 S189 S192 G195 G189 G192" xr:uid="{00000000-0002-0000-20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pageSetUpPr fitToPage="1"/>
  </sheetPr>
  <dimension ref="A1:AE24"/>
  <sheetViews>
    <sheetView workbookViewId="0">
      <selection activeCell="P8" sqref="P8"/>
    </sheetView>
  </sheetViews>
  <sheetFormatPr baseColWidth="10" defaultRowHeight="13.2"/>
  <cols>
    <col min="1" max="1" width="4.2187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44140625" customWidth="1"/>
    <col min="14" max="14" width="7.6640625" customWidth="1"/>
    <col min="16" max="16" width="4.44140625" customWidth="1"/>
    <col min="17" max="17" width="11.44140625" customWidth="1"/>
    <col min="18" max="18" width="14.33203125" customWidth="1"/>
    <col min="19" max="26" width="11.44140625" customWidth="1"/>
    <col min="27" max="27" width="14.6640625" style="169" hidden="1" customWidth="1"/>
    <col min="28" max="28" width="6.44140625" style="169" hidden="1" customWidth="1"/>
    <col min="29" max="29" width="5" style="169" hidden="1" customWidth="1"/>
    <col min="30" max="30" width="5.21875" style="169" hidden="1" customWidth="1"/>
    <col min="31" max="31" width="6" style="169" hidden="1" customWidth="1"/>
    <col min="32" max="50" width="11.44140625" customWidth="1"/>
  </cols>
  <sheetData>
    <row r="1" spans="1:31" ht="28.5" customHeight="1">
      <c r="A1" s="449" t="str">
        <f>Schlüssel!$C$1</f>
        <v>Landesliga Jugend</v>
      </c>
      <c r="B1" s="449"/>
      <c r="C1" s="449" t="s">
        <v>1786</v>
      </c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>
        <f>+Erfassung5!S1</f>
        <v>45794</v>
      </c>
      <c r="O1" s="449"/>
      <c r="P1" s="55"/>
      <c r="Q1" s="55"/>
      <c r="AA1" s="169" t="s">
        <v>2091</v>
      </c>
    </row>
    <row r="2" spans="1:31" ht="28.5" customHeight="1">
      <c r="A2" s="450" t="str">
        <f>"Saison "&amp;Spielorte!C18&amp;"     -     Spieltag "&amp;Erfassung5!S2&amp;"     -     "&amp;TEXT(Erfassung5!S1,"T. MMMM JJJJ")</f>
        <v>Saison 2024/2025     -     Spieltag 5     -     17. Mai 2025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55"/>
      <c r="Q2" s="55"/>
    </row>
    <row r="3" spans="1:31" ht="28.5" customHeight="1">
      <c r="A3" s="450" t="str">
        <f>+Erfassung5!G2</f>
        <v>Olching 5005 Bowling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55"/>
      <c r="Q3" s="55"/>
    </row>
    <row r="4" spans="1:31" ht="13.8" thickBot="1"/>
    <row r="5" spans="1:31">
      <c r="A5" s="451" t="s">
        <v>1804</v>
      </c>
      <c r="B5" s="447" t="s">
        <v>1805</v>
      </c>
      <c r="C5" s="443" t="s">
        <v>1793</v>
      </c>
      <c r="D5" s="444"/>
      <c r="E5" s="443" t="s">
        <v>1794</v>
      </c>
      <c r="F5" s="444"/>
      <c r="G5" s="443" t="s">
        <v>1795</v>
      </c>
      <c r="H5" s="444"/>
      <c r="I5" s="443" t="s">
        <v>1796</v>
      </c>
      <c r="J5" s="444"/>
      <c r="K5" s="443" t="s">
        <v>1797</v>
      </c>
      <c r="L5" s="444"/>
      <c r="M5" s="443" t="s">
        <v>1792</v>
      </c>
      <c r="N5" s="444"/>
      <c r="O5" s="445" t="s">
        <v>1806</v>
      </c>
      <c r="P5" s="55"/>
      <c r="Q5" s="55"/>
    </row>
    <row r="6" spans="1:31" ht="13.8" thickBot="1">
      <c r="A6" s="452"/>
      <c r="B6" s="448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6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>
      <c r="A7" s="163">
        <v>1</v>
      </c>
      <c r="B7" s="104" t="str">
        <f>INDEX(Erfassung5!$B:$B,MATCH($A7,Erfassung5!$BE:$BE,0)-14)</f>
        <v>BK München 1</v>
      </c>
      <c r="C7" s="82">
        <f>INDEX(Erfassung5!F:F,MATCH($A7,Erfassung5!$BE:$BE,0)-1)</f>
        <v>571</v>
      </c>
      <c r="D7" s="83">
        <f>INDEX(Erfassung5!G:G,MATCH($A7,Erfassung5!$BE:$BE,0))</f>
        <v>5</v>
      </c>
      <c r="E7" s="82">
        <f>INDEX(Erfassung5!I:I,MATCH($A7,Erfassung5!$BE:$BE,0)-1)</f>
        <v>618</v>
      </c>
      <c r="F7" s="83">
        <f>INDEX(Erfassung5!J:J,MATCH($A7,Erfassung5!$BE:$BE,0))</f>
        <v>5</v>
      </c>
      <c r="G7" s="82">
        <f>INDEX(Erfassung5!L:L,MATCH($A7,Erfassung5!$BE:$BE,0)-1)</f>
        <v>675</v>
      </c>
      <c r="H7" s="83">
        <f>INDEX(Erfassung5!M:M,MATCH($A7,Erfassung5!$BE:$BE,0))</f>
        <v>5</v>
      </c>
      <c r="I7" s="82">
        <f>INDEX(Erfassung5!O:O,MATCH($A7,Erfassung5!$BE:$BE,0)-1)</f>
        <v>580</v>
      </c>
      <c r="J7" s="83">
        <f>INDEX(Erfassung5!P:P,MATCH($A7,Erfassung5!$BE:$BE,0))</f>
        <v>5</v>
      </c>
      <c r="K7" s="82">
        <f>INDEX(Erfassung5!R:R,MATCH($A7,Erfassung5!$BE:$BE,0)-1)</f>
        <v>604</v>
      </c>
      <c r="L7" s="83">
        <f>INDEX(Erfassung5!S:S,MATCH($A7,Erfassung5!$BE:$BE,0))</f>
        <v>4</v>
      </c>
      <c r="M7" s="84">
        <f t="shared" ref="M7:N12" si="0">SUM(C7+E7+G7+I7+K7)</f>
        <v>3048</v>
      </c>
      <c r="N7" s="85">
        <f t="shared" si="0"/>
        <v>24</v>
      </c>
      <c r="O7" s="65">
        <f>IFERROR(M7/INDEX(Erfassung5!AW:AW,MATCH(A7,Erfassung5!BE:BE,0)),0)</f>
        <v>203.2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INDEX(Tabelle4!AA:AA,MATCH(B7,Tabelle4!B:B,0))+M7</f>
        <v>14450</v>
      </c>
      <c r="AB7" s="167">
        <f>INDEX(Tabelle4!AB:AB,MATCH(B7,Tabelle4!B:B,0))+N7</f>
        <v>109</v>
      </c>
      <c r="AC7" s="169">
        <f>+AB7+AA7/1000000000</f>
        <v>109.00001444999999</v>
      </c>
      <c r="AD7" s="169">
        <f>RANK(AC7,AC:AC)</f>
        <v>1</v>
      </c>
      <c r="AE7" s="169">
        <f>INDEX(Tabelle4!AE:AE,MATCH(B7,Tabelle4!B:B,0))+SUMIF(Erfassung5!BH:BH,B7,Erfassung5!AW:AW)</f>
        <v>75</v>
      </c>
    </row>
    <row r="8" spans="1:31" ht="42" customHeight="1" thickBot="1">
      <c r="A8" s="163">
        <v>2</v>
      </c>
      <c r="B8" s="104" t="str">
        <f>INDEX(Erfassung5!$B:$B,MATCH($A8,Erfassung5!$BE:$BE,0)-14)</f>
        <v>Highroller Rosenheim 2</v>
      </c>
      <c r="C8" s="82">
        <f>INDEX(Erfassung5!F:F,MATCH($A8,Erfassung5!$BE:$BE,0)-1)</f>
        <v>442</v>
      </c>
      <c r="D8" s="83">
        <f>INDEX(Erfassung5!G:G,MATCH($A8,Erfassung5!$BE:$BE,0))</f>
        <v>5</v>
      </c>
      <c r="E8" s="82">
        <f>INDEX(Erfassung5!I:I,MATCH($A8,Erfassung5!$BE:$BE,0)-1)</f>
        <v>500</v>
      </c>
      <c r="F8" s="83">
        <f>INDEX(Erfassung5!J:J,MATCH($A8,Erfassung5!$BE:$BE,0))</f>
        <v>5</v>
      </c>
      <c r="G8" s="82">
        <f>INDEX(Erfassung5!L:L,MATCH($A8,Erfassung5!$BE:$BE,0)-1)</f>
        <v>476</v>
      </c>
      <c r="H8" s="83">
        <f>INDEX(Erfassung5!M:M,MATCH($A8,Erfassung5!$BE:$BE,0))</f>
        <v>1</v>
      </c>
      <c r="I8" s="82">
        <f>INDEX(Erfassung5!O:O,MATCH($A8,Erfassung5!$BE:$BE,0)-1)</f>
        <v>481</v>
      </c>
      <c r="J8" s="83">
        <f>INDEX(Erfassung5!P:P,MATCH($A8,Erfassung5!$BE:$BE,0))</f>
        <v>4</v>
      </c>
      <c r="K8" s="82">
        <f>INDEX(Erfassung5!R:R,MATCH($A8,Erfassung5!$BE:$BE,0)-1)</f>
        <v>451</v>
      </c>
      <c r="L8" s="83">
        <f>INDEX(Erfassung5!S:S,MATCH($A8,Erfassung5!$BE:$BE,0))</f>
        <v>2</v>
      </c>
      <c r="M8" s="84">
        <f t="shared" si="0"/>
        <v>2350</v>
      </c>
      <c r="N8" s="85">
        <f t="shared" si="0"/>
        <v>17</v>
      </c>
      <c r="O8" s="65">
        <f>IFERROR(M8/INDEX(Erfassung5!AW:AW,MATCH(A8,Erfassung5!BE:BE,0)),0)</f>
        <v>156.66666666666666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>
        <f>INDEX(Tabelle4!AA:AA,MATCH(B8,Tabelle4!B:B,0))+M8</f>
        <v>11210</v>
      </c>
      <c r="AB8" s="167">
        <f>INDEX(Tabelle4!AB:AB,MATCH(B8,Tabelle4!B:B,0))+N8</f>
        <v>49</v>
      </c>
      <c r="AC8" s="169">
        <f>+AB8+AA8/1000000000</f>
        <v>49.000011209999997</v>
      </c>
      <c r="AD8" s="169">
        <f>RANK(AC8,AC:AC)</f>
        <v>8</v>
      </c>
      <c r="AE8" s="169">
        <f>INDEX(Tabelle4!AE:AE,MATCH(B8,Tabelle4!B:B,0))+SUMIF(Erfassung5!BH:BH,B8,Erfassung5!AW:AW)</f>
        <v>75</v>
      </c>
    </row>
    <row r="9" spans="1:31" ht="42" customHeight="1" thickBot="1">
      <c r="A9" s="163">
        <v>3</v>
      </c>
      <c r="B9" s="104" t="str">
        <f>INDEX(Erfassung5!$B:$B,MATCH($A9,Erfassung5!$BE:$BE,0)-14)</f>
        <v>Berchtesgaden 1</v>
      </c>
      <c r="C9" s="82">
        <f>INDEX(Erfassung5!F:F,MATCH($A9,Erfassung5!$BE:$BE,0)-1)</f>
        <v>405</v>
      </c>
      <c r="D9" s="83">
        <f>INDEX(Erfassung5!G:G,MATCH($A9,Erfassung5!$BE:$BE,0))</f>
        <v>0</v>
      </c>
      <c r="E9" s="82">
        <f>INDEX(Erfassung5!I:I,MATCH($A9,Erfassung5!$BE:$BE,0)-1)</f>
        <v>565</v>
      </c>
      <c r="F9" s="83">
        <f>INDEX(Erfassung5!J:J,MATCH($A9,Erfassung5!$BE:$BE,0))</f>
        <v>5</v>
      </c>
      <c r="G9" s="82">
        <f>INDEX(Erfassung5!L:L,MATCH($A9,Erfassung5!$BE:$BE,0)-1)</f>
        <v>473</v>
      </c>
      <c r="H9" s="83">
        <f>INDEX(Erfassung5!M:M,MATCH($A9,Erfassung5!$BE:$BE,0))</f>
        <v>3.5</v>
      </c>
      <c r="I9" s="82">
        <f>INDEX(Erfassung5!O:O,MATCH($A9,Erfassung5!$BE:$BE,0)-1)</f>
        <v>531</v>
      </c>
      <c r="J9" s="83">
        <f>INDEX(Erfassung5!P:P,MATCH($A9,Erfassung5!$BE:$BE,0))</f>
        <v>4</v>
      </c>
      <c r="K9" s="82">
        <f>INDEX(Erfassung5!R:R,MATCH($A9,Erfassung5!$BE:$BE,0)-1)</f>
        <v>451</v>
      </c>
      <c r="L9" s="83">
        <f>INDEX(Erfassung5!S:S,MATCH($A9,Erfassung5!$BE:$BE,0))</f>
        <v>3</v>
      </c>
      <c r="M9" s="84">
        <f t="shared" si="0"/>
        <v>2425</v>
      </c>
      <c r="N9" s="85">
        <f t="shared" si="0"/>
        <v>15.5</v>
      </c>
      <c r="O9" s="65">
        <f>IFERROR(M9/INDEX(Erfassung5!AW:AW,MATCH(A9,Erfassung5!BE:BE,0)),0)</f>
        <v>161.66666666666666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>
        <f>INDEX(Tabelle4!AA:AA,MATCH(B9,Tabelle4!B:B,0))+M9</f>
        <v>11667</v>
      </c>
      <c r="AB9" s="167">
        <f>INDEX(Tabelle4!AB:AB,MATCH(B9,Tabelle4!B:B,0))+N9</f>
        <v>67</v>
      </c>
      <c r="AC9" s="169">
        <f>+AB9+AA9/1000000000</f>
        <v>67.000011666999995</v>
      </c>
      <c r="AD9" s="169">
        <f>RANK(AC9,AC:AC)</f>
        <v>2</v>
      </c>
      <c r="AE9" s="169">
        <f>INDEX(Tabelle4!AE:AE,MATCH(B9,Tabelle4!B:B,0))+SUMIF(Erfassung5!BH:BH,B9,Erfassung5!AW:AW)</f>
        <v>75</v>
      </c>
    </row>
    <row r="10" spans="1:31" ht="42" customHeight="1" thickBot="1">
      <c r="A10" s="163">
        <v>4</v>
      </c>
      <c r="B10" s="104" t="str">
        <f>INDEX(Erfassung5!$B:$B,MATCH($A10,Erfassung5!$BE:$BE,0)-14)</f>
        <v>EMAX 1</v>
      </c>
      <c r="C10" s="82">
        <f>INDEX(Erfassung5!F:F,MATCH($A10,Erfassung5!$BE:$BE,0)-1)</f>
        <v>497</v>
      </c>
      <c r="D10" s="83">
        <f>INDEX(Erfassung5!G:G,MATCH($A10,Erfassung5!$BE:$BE,0))</f>
        <v>5</v>
      </c>
      <c r="E10" s="82">
        <f>INDEX(Erfassung5!I:I,MATCH($A10,Erfassung5!$BE:$BE,0)-1)</f>
        <v>456</v>
      </c>
      <c r="F10" s="83">
        <f>INDEX(Erfassung5!J:J,MATCH($A10,Erfassung5!$BE:$BE,0))</f>
        <v>1</v>
      </c>
      <c r="G10" s="82">
        <f>INDEX(Erfassung5!L:L,MATCH($A10,Erfassung5!$BE:$BE,0)-1)</f>
        <v>496</v>
      </c>
      <c r="H10" s="83">
        <f>INDEX(Erfassung5!M:M,MATCH($A10,Erfassung5!$BE:$BE,0))</f>
        <v>4</v>
      </c>
      <c r="I10" s="82">
        <f>INDEX(Erfassung5!O:O,MATCH($A10,Erfassung5!$BE:$BE,0)-1)</f>
        <v>494</v>
      </c>
      <c r="J10" s="83">
        <f>INDEX(Erfassung5!P:P,MATCH($A10,Erfassung5!$BE:$BE,0))</f>
        <v>1</v>
      </c>
      <c r="K10" s="82">
        <f>INDEX(Erfassung5!R:R,MATCH($A10,Erfassung5!$BE:$BE,0)-1)</f>
        <v>501</v>
      </c>
      <c r="L10" s="83">
        <f>INDEX(Erfassung5!S:S,MATCH($A10,Erfassung5!$BE:$BE,0))</f>
        <v>1.5</v>
      </c>
      <c r="M10" s="84">
        <f t="shared" si="0"/>
        <v>2444</v>
      </c>
      <c r="N10" s="85">
        <f t="shared" si="0"/>
        <v>12.5</v>
      </c>
      <c r="O10" s="65">
        <f>IFERROR(M10/INDEX(Erfassung5!AW:AW,MATCH(A10,Erfassung5!BE:BE,0)),0)</f>
        <v>162.93333333333334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>
        <f>INDEX(Tabelle4!AA:AA,MATCH(B10,Tabelle4!B:B,0))+M10</f>
        <v>11644</v>
      </c>
      <c r="AB10" s="167">
        <f>INDEX(Tabelle4!AB:AB,MATCH(B10,Tabelle4!B:B,0))+N10</f>
        <v>62</v>
      </c>
      <c r="AC10" s="169">
        <f>+AB10+AA10/1000000000</f>
        <v>62.000011643999997</v>
      </c>
      <c r="AD10" s="169">
        <f>RANK(AC10,AC:AC)</f>
        <v>4</v>
      </c>
      <c r="AE10" s="169">
        <f>INDEX(Tabelle4!AE:AE,MATCH(B10,Tabelle4!B:B,0))+SUMIF(Erfassung5!BH:BH,B10,Erfassung5!AW:AW)</f>
        <v>75</v>
      </c>
    </row>
    <row r="11" spans="1:31" ht="42" customHeight="1" thickBot="1">
      <c r="A11" s="163">
        <v>5</v>
      </c>
      <c r="B11" s="104" t="str">
        <f>INDEX(Erfassung5!$B:$B,MATCH($A11,Erfassung5!$BE:$BE,0)-14)</f>
        <v>Highroller Rosenheim 3</v>
      </c>
      <c r="C11" s="82">
        <f>INDEX(Erfassung5!F:F,MATCH($A11,Erfassung5!$BE:$BE,0)-1)</f>
        <v>449</v>
      </c>
      <c r="D11" s="83">
        <f>INDEX(Erfassung5!G:G,MATCH($A11,Erfassung5!$BE:$BE,0))</f>
        <v>1</v>
      </c>
      <c r="E11" s="82">
        <f>INDEX(Erfassung5!I:I,MATCH($A11,Erfassung5!$BE:$BE,0)-1)</f>
        <v>468</v>
      </c>
      <c r="F11" s="83">
        <f>INDEX(Erfassung5!J:J,MATCH($A11,Erfassung5!$BE:$BE,0))</f>
        <v>4</v>
      </c>
      <c r="G11" s="82">
        <f>INDEX(Erfassung5!L:L,MATCH($A11,Erfassung5!$BE:$BE,0)-1)</f>
        <v>457</v>
      </c>
      <c r="H11" s="83">
        <f>INDEX(Erfassung5!M:M,MATCH($A11,Erfassung5!$BE:$BE,0))</f>
        <v>2</v>
      </c>
      <c r="I11" s="82">
        <f>INDEX(Erfassung5!O:O,MATCH($A11,Erfassung5!$BE:$BE,0)-1)</f>
        <v>464</v>
      </c>
      <c r="J11" s="83">
        <f>INDEX(Erfassung5!P:P,MATCH($A11,Erfassung5!$BE:$BE,0))</f>
        <v>4</v>
      </c>
      <c r="K11" s="82">
        <f>INDEX(Erfassung5!R:R,MATCH($A11,Erfassung5!$BE:$BE,0)-1)</f>
        <v>487</v>
      </c>
      <c r="L11" s="83">
        <f>INDEX(Erfassung5!S:S,MATCH($A11,Erfassung5!$BE:$BE,0))</f>
        <v>1</v>
      </c>
      <c r="M11" s="84">
        <f t="shared" si="0"/>
        <v>2325</v>
      </c>
      <c r="N11" s="85">
        <f t="shared" si="0"/>
        <v>12</v>
      </c>
      <c r="O11" s="65">
        <f>IFERROR(M11/INDEX(Erfassung5!AW:AW,MATCH(A11,Erfassung5!BE:BE,0)),0)</f>
        <v>155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>
        <f>INDEX(Tabelle4!AA:AA,MATCH(B11,Tabelle4!B:B,0))+M11</f>
        <v>11461</v>
      </c>
      <c r="AB11" s="167">
        <f>INDEX(Tabelle4!AB:AB,MATCH(B11,Tabelle4!B:B,0))+N11</f>
        <v>50</v>
      </c>
      <c r="AC11" s="169">
        <f>+AB11+AA11/1000000000</f>
        <v>50.000011461</v>
      </c>
      <c r="AD11" s="169">
        <f>RANK(AC11,AC:AC)</f>
        <v>6</v>
      </c>
      <c r="AE11" s="169">
        <f>INDEX(Tabelle4!AE:AE,MATCH(B11,Tabelle4!B:B,0))+SUMIF(Erfassung5!BH:BH,B11,Erfassung5!AW:AW)</f>
        <v>75</v>
      </c>
    </row>
    <row r="12" spans="1:31" ht="42" customHeight="1" thickBot="1">
      <c r="A12" s="163">
        <v>6</v>
      </c>
      <c r="B12" s="104" t="str">
        <f>INDEX(Erfassung5!$B:$B,MATCH($A12,Erfassung5!$BE:$BE,0)-14)</f>
        <v>Highroller Rosenheim 1</v>
      </c>
      <c r="C12" s="82">
        <f>INDEX(Erfassung5!F:F,MATCH($A12,Erfassung5!$BE:$BE,0)-1)</f>
        <v>460</v>
      </c>
      <c r="D12" s="83">
        <f>INDEX(Erfassung5!G:G,MATCH($A12,Erfassung5!$BE:$BE,0))</f>
        <v>4</v>
      </c>
      <c r="E12" s="82">
        <f>INDEX(Erfassung5!I:I,MATCH($A12,Erfassung5!$BE:$BE,0)-1)</f>
        <v>527</v>
      </c>
      <c r="F12" s="83">
        <f>INDEX(Erfassung5!J:J,MATCH($A12,Erfassung5!$BE:$BE,0))</f>
        <v>0</v>
      </c>
      <c r="G12" s="82">
        <f>INDEX(Erfassung5!L:L,MATCH($A12,Erfassung5!$BE:$BE,0)-1)</f>
        <v>465</v>
      </c>
      <c r="H12" s="83">
        <f>INDEX(Erfassung5!M:M,MATCH($A12,Erfassung5!$BE:$BE,0))</f>
        <v>1.5</v>
      </c>
      <c r="I12" s="82">
        <f>INDEX(Erfassung5!O:O,MATCH($A12,Erfassung5!$BE:$BE,0)-1)</f>
        <v>466</v>
      </c>
      <c r="J12" s="83">
        <f>INDEX(Erfassung5!P:P,MATCH($A12,Erfassung5!$BE:$BE,0))</f>
        <v>1</v>
      </c>
      <c r="K12" s="82">
        <f>INDEX(Erfassung5!R:R,MATCH($A12,Erfassung5!$BE:$BE,0)-1)</f>
        <v>525</v>
      </c>
      <c r="L12" s="83">
        <f>INDEX(Erfassung5!S:S,MATCH($A12,Erfassung5!$BE:$BE,0))</f>
        <v>3.5</v>
      </c>
      <c r="M12" s="84">
        <f t="shared" si="0"/>
        <v>2443</v>
      </c>
      <c r="N12" s="85">
        <f t="shared" si="0"/>
        <v>10</v>
      </c>
      <c r="O12" s="65">
        <f>IFERROR(M12/INDEX(Erfassung5!AW:AW,MATCH(A12,Erfassung5!BE:BE,0)),0)</f>
        <v>162.86666666666667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>
        <f>INDEX(Tabelle4!AA:AA,MATCH(B12,Tabelle4!B:B,0))+M12</f>
        <v>11586</v>
      </c>
      <c r="AB12" s="167">
        <f>INDEX(Tabelle4!AB:AB,MATCH(B12,Tabelle4!B:B,0))+N12</f>
        <v>49</v>
      </c>
      <c r="AC12" s="169">
        <f t="shared" ref="AC12:AC14" si="1">+AB12+AA12/1000000000</f>
        <v>49.000011585999999</v>
      </c>
      <c r="AD12" s="169">
        <f t="shared" ref="AD12:AD14" si="2">RANK(AC12,AC:AC)</f>
        <v>7</v>
      </c>
      <c r="AE12" s="169">
        <f>INDEX(Tabelle4!AE:AE,MATCH(B12,Tabelle4!B:B,0))+SUMIF(Erfassung5!BH:BH,B12,Erfassung5!AW:AW)</f>
        <v>75</v>
      </c>
    </row>
    <row r="13" spans="1:31" ht="42" customHeight="1" thickBot="1">
      <c r="A13" s="163">
        <v>7</v>
      </c>
      <c r="B13" s="104" t="str">
        <f>INDEX(Erfassung5!$B:$B,MATCH($A13,Erfassung5!$BE:$BE,0)-14)</f>
        <v>Bad Tölz 1</v>
      </c>
      <c r="C13" s="82">
        <f>INDEX(Erfassung5!F:F,MATCH($A13,Erfassung5!$BE:$BE,0)-1)</f>
        <v>375</v>
      </c>
      <c r="D13" s="83">
        <f>INDEX(Erfassung5!G:G,MATCH($A13,Erfassung5!$BE:$BE,0))</f>
        <v>0</v>
      </c>
      <c r="E13" s="82">
        <f>INDEX(Erfassung5!I:I,MATCH($A13,Erfassung5!$BE:$BE,0)-1)</f>
        <v>428</v>
      </c>
      <c r="F13" s="83">
        <f>INDEX(Erfassung5!J:J,MATCH($A13,Erfassung5!$BE:$BE,0))</f>
        <v>0</v>
      </c>
      <c r="G13" s="82">
        <f>INDEX(Erfassung5!L:L,MATCH($A13,Erfassung5!$BE:$BE,0)-1)</f>
        <v>515</v>
      </c>
      <c r="H13" s="83">
        <f>INDEX(Erfassung5!M:M,MATCH($A13,Erfassung5!$BE:$BE,0))</f>
        <v>0</v>
      </c>
      <c r="I13" s="82">
        <f>INDEX(Erfassung5!O:O,MATCH($A13,Erfassung5!$BE:$BE,0)-1)</f>
        <v>407</v>
      </c>
      <c r="J13" s="83">
        <f>INDEX(Erfassung5!P:P,MATCH($A13,Erfassung5!$BE:$BE,0))</f>
        <v>1</v>
      </c>
      <c r="K13" s="82">
        <f>INDEX(Erfassung5!R:R,MATCH($A13,Erfassung5!$BE:$BE,0)-1)</f>
        <v>499</v>
      </c>
      <c r="L13" s="83">
        <f>INDEX(Erfassung5!S:S,MATCH($A13,Erfassung5!$BE:$BE,0))</f>
        <v>5</v>
      </c>
      <c r="M13" s="84">
        <f t="shared" ref="M13:M14" si="3">SUM(C13+E13+G13+I13+K13)</f>
        <v>2224</v>
      </c>
      <c r="N13" s="85">
        <f t="shared" ref="N13:N14" si="4">SUM(D13+F13+H13+J13+L13)</f>
        <v>6</v>
      </c>
      <c r="O13" s="65">
        <f>IFERROR(M13/INDEX(Erfassung5!AW:AW,MATCH(A13,Erfassung5!BE:BE,0)),0)</f>
        <v>148.26666666666668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>
        <f>INDEX(Tabelle4!AA:AA,MATCH(B13,Tabelle4!B:B,0))+M13</f>
        <v>11601</v>
      </c>
      <c r="AB13" s="167">
        <f>INDEX(Tabelle4!AB:AB,MATCH(B13,Tabelle4!B:B,0))+N13</f>
        <v>63.5</v>
      </c>
      <c r="AC13" s="169">
        <f t="shared" si="1"/>
        <v>63.500011600999997</v>
      </c>
      <c r="AD13" s="169">
        <f t="shared" si="2"/>
        <v>3</v>
      </c>
      <c r="AE13" s="169">
        <f>INDEX(Tabelle4!AE:AE,MATCH(B13,Tabelle4!B:B,0))+SUMIF(Erfassung5!BH:BH,B13,Erfassung5!AW:AW)</f>
        <v>70</v>
      </c>
    </row>
    <row r="14" spans="1:31" ht="42" customHeight="1" thickBot="1">
      <c r="A14" s="163">
        <v>8</v>
      </c>
      <c r="B14" s="104" t="str">
        <f>INDEX(Erfassung5!$B:$B,MATCH($A14,Erfassung5!$BE:$BE,0)-14)</f>
        <v>Bowling Jugend Bayern 1</v>
      </c>
      <c r="C14" s="82">
        <f>INDEX(Erfassung5!F:F,MATCH($A14,Erfassung5!$BE:$BE,0)-1)</f>
        <v>401</v>
      </c>
      <c r="D14" s="83">
        <f>INDEX(Erfassung5!G:G,MATCH($A14,Erfassung5!$BE:$BE,0))</f>
        <v>0</v>
      </c>
      <c r="E14" s="82">
        <f>INDEX(Erfassung5!I:I,MATCH($A14,Erfassung5!$BE:$BE,0)-1)</f>
        <v>419</v>
      </c>
      <c r="F14" s="83">
        <f>INDEX(Erfassung5!J:J,MATCH($A14,Erfassung5!$BE:$BE,0))</f>
        <v>0</v>
      </c>
      <c r="G14" s="82">
        <f>INDEX(Erfassung5!L:L,MATCH($A14,Erfassung5!$BE:$BE,0)-1)</f>
        <v>478</v>
      </c>
      <c r="H14" s="83">
        <f>INDEX(Erfassung5!M:M,MATCH($A14,Erfassung5!$BE:$BE,0))</f>
        <v>3</v>
      </c>
      <c r="I14" s="82">
        <f>INDEX(Erfassung5!O:O,MATCH($A14,Erfassung5!$BE:$BE,0)-1)</f>
        <v>463</v>
      </c>
      <c r="J14" s="83">
        <f>INDEX(Erfassung5!P:P,MATCH($A14,Erfassung5!$BE:$BE,0))</f>
        <v>0</v>
      </c>
      <c r="K14" s="82">
        <f>INDEX(Erfassung5!R:R,MATCH($A14,Erfassung5!$BE:$BE,0)-1)</f>
        <v>431</v>
      </c>
      <c r="L14" s="83">
        <f>INDEX(Erfassung5!S:S,MATCH($A14,Erfassung5!$BE:$BE,0))</f>
        <v>0</v>
      </c>
      <c r="M14" s="84">
        <f t="shared" si="3"/>
        <v>2192</v>
      </c>
      <c r="N14" s="85">
        <f t="shared" si="4"/>
        <v>3</v>
      </c>
      <c r="O14" s="65">
        <f>IFERROR(M14/INDEX(Erfassung5!AW:AW,MATCH(A14,Erfassung5!BE:BE,0)),0)</f>
        <v>146.13333333333333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>
        <f>INDEX(Tabelle4!AA:AA,MATCH(B14,Tabelle4!B:B,0))+M14</f>
        <v>11670</v>
      </c>
      <c r="AB14" s="167">
        <f>INDEX(Tabelle4!AB:AB,MATCH(B14,Tabelle4!B:B,0))+N14</f>
        <v>50.5</v>
      </c>
      <c r="AC14" s="169">
        <f t="shared" si="1"/>
        <v>50.500011669999999</v>
      </c>
      <c r="AD14" s="169">
        <f t="shared" si="2"/>
        <v>5</v>
      </c>
      <c r="AE14" s="169">
        <f>INDEX(Tabelle4!AE:AE,MATCH(B14,Tabelle4!B:B,0))+SUMIF(Erfassung5!BH:BH,B14,Erfassung5!AW:AW)</f>
        <v>75</v>
      </c>
    </row>
    <row r="17" spans="2:18" ht="15.6">
      <c r="B17" s="442" t="s">
        <v>2379</v>
      </c>
      <c r="C17" s="442"/>
      <c r="D17" s="442"/>
      <c r="E17" s="442"/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89"/>
      <c r="Q17" s="89"/>
      <c r="R17" s="89"/>
    </row>
    <row r="18" spans="2:18">
      <c r="C18" s="453"/>
      <c r="D18" s="453"/>
      <c r="E18" s="453"/>
      <c r="F18" s="453"/>
      <c r="G18" s="453"/>
      <c r="H18" s="453"/>
    </row>
    <row r="19" spans="2:18">
      <c r="B19" s="89" t="s">
        <v>1817</v>
      </c>
      <c r="C19" t="str">
        <f>IFERROR(INDEX(Erfassung5!B:B,MATCH(1,Erfassung5!BI:BI,0)),"")</f>
        <v>Gründl, Alexander</v>
      </c>
      <c r="H19" t="str">
        <f>INDEX(Erfassung5!BH:BH,MATCH(C19,Erfassung5!B:B,0))</f>
        <v>BK München 1</v>
      </c>
      <c r="N19" s="87">
        <f>IFERROR(ROUND(INDEX(Erfassung5!BG:BG,MATCH(1,Erfassung5!BI:BI,0)),0),"")</f>
        <v>257</v>
      </c>
    </row>
    <row r="20" spans="2:18">
      <c r="B20" s="89"/>
      <c r="C20" t="str">
        <f>IF(N20="","",IFERROR(INDEX(Erfassung5!B:B,MATCH(2,Erfassung5!BI:BI,0)),""))</f>
        <v/>
      </c>
      <c r="H20" t="str">
        <f>IF(C20="","",INDEX(Erfassung5!BH:BH,MATCH(C20,Erfassung5!B:B,0)))</f>
        <v/>
      </c>
      <c r="N20" s="88" t="str">
        <f>IF(IFERROR(ROUND(INDEX(Erfassung5!BG:BG,MATCH(2,Erfassung5!BI:BI,0)),0),0)=0,"",IFERROR(ROUND(INDEX(Erfassung5!BG:BG,MATCH(2,Erfassung5!BI:BI,0)),0),0))</f>
        <v/>
      </c>
    </row>
    <row r="21" spans="2:18">
      <c r="B21" s="89"/>
      <c r="C21" t="str">
        <f>IF(N21="","",IFERROR(INDEX(Erfassung5!B:B,MATCH(3,Erfassung5!BI:BI,0)),""))</f>
        <v/>
      </c>
      <c r="H21" t="str">
        <f>IF(C21="","",INDEX(Erfassung5!BH:BH,MATCH(C21,Erfassung5!B:B,0)))</f>
        <v/>
      </c>
      <c r="N21" s="88" t="str">
        <f>IF(IFERROR(ROUND(INDEX(Erfassung5!BG:BG,MATCH(3,Erfassung5!BI:BI,0)),0),0)=0,"",IFERROR(ROUND(INDEX(Erfassung5!BG:BG,MATCH(3,Erfassung5!BI:BI,0)),0),""))</f>
        <v/>
      </c>
    </row>
    <row r="22" spans="2:18">
      <c r="B22" s="89" t="s">
        <v>1818</v>
      </c>
      <c r="C22" t="str">
        <f>IFERROR(INDEX(Erfassung5!B:B,MATCH(1,Erfassung5!BM:BM,0)),"")</f>
        <v>Gründl, Alexander</v>
      </c>
      <c r="H22" t="str">
        <f>INDEX(Erfassung5!BH:BH,MATCH(C22,Erfassung5!B:B,0))</f>
        <v>BK München 1</v>
      </c>
      <c r="N22" s="441" t="str">
        <f>IFERROR(ROUND(INDEX(Erfassung5!BJ:BJ,MATCH(1,Erfassung5!BM:BM,0)),0),"")&amp;"  /  "&amp;ROUND(IFERROR(ROUND(INDEX(Erfassung5!BJ:BJ,MATCH(1,Erfassung5!BM:BM,0)),0),"")/5,2)</f>
        <v>1061  /  212,2</v>
      </c>
      <c r="O22" s="441"/>
      <c r="P22" s="78"/>
    </row>
    <row r="23" spans="2:18">
      <c r="C23" t="str">
        <f>IF(N23="","",IFERROR(INDEX(Erfassung5!B:B,MATCH(2,Erfassung5!BM:BM,0)),""))</f>
        <v/>
      </c>
      <c r="E23" s="6"/>
      <c r="H23" t="str">
        <f>IF(C23="","",INDEX(Erfassung5!BH:BH,MATCH(C23,Erfassung5!B:B,0)))</f>
        <v/>
      </c>
      <c r="N23" s="88" t="str">
        <f>IF(IFERROR(ROUND(INDEX(Erfassung5!BJ:BJ,MATCH(2,Erfassung5!BM:BM,0)),0),0)=0,"",IFERROR(ROUND(INDEX(Erfassung5!BJ:BJ,MATCH(2,Erfassung5!BM:BM,0)),0),0))</f>
        <v/>
      </c>
    </row>
    <row r="24" spans="2:18">
      <c r="C24" t="str">
        <f>IF(N24="","",IFERROR(INDEX(Erfassung5!B:B,MATCH(3,Erfassung5!BM:BM,0)),""))</f>
        <v/>
      </c>
      <c r="E24" s="6"/>
      <c r="H24" t="str">
        <f>IF(C24="","",INDEX(Erfassung5!BH:BH,MATCH(C24,Erfassung5!B:B,0)))</f>
        <v/>
      </c>
      <c r="N24" s="88" t="str">
        <f>IF(IFERROR(ROUND(INDEX(Erfassung5!BJ:BJ,MATCH(3,Erfassung5!BM:BM,0)),0),0)=0,"",IFERROR(ROUND(INDEX(Erfassung5!BJ:BJ,MATCH(3,Erfassung5!BM:BM,0)),0),0))</f>
        <v/>
      </c>
    </row>
  </sheetData>
  <sheetProtection algorithmName="SHA-512" hashValue="2+lAGPQeUR3XUVl6VP2fQFJ2Z3tVEcPXu4g97gVktgVReS4HOthq+iLUoSASA7rHNXMKP4jTD5qEUYgcGWEOdw==" saltValue="RksHzjmscfNPleyWwb6aZQ==" spinCount="100000" sheet="1" objects="1" scenarios="1" formatCells="0" formatColumns="0" formatRows="0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B17:O17"/>
    <mergeCell ref="C18:H18"/>
    <mergeCell ref="N22:O22"/>
    <mergeCell ref="M5:N5"/>
    <mergeCell ref="O5:O6"/>
    <mergeCell ref="K5:L5"/>
  </mergeCells>
  <conditionalFormatting sqref="C7:L14">
    <cfRule type="top10" dxfId="134" priority="1" rank="1"/>
  </conditionalFormatting>
  <conditionalFormatting sqref="M7:M14">
    <cfRule type="top10" dxfId="133" priority="6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6" fitToWidth="0" orientation="landscape" r:id="rId1"/>
  <headerFooter alignWithMargins="0">
    <oddHeader>&amp;R&amp;G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P14"/>
  <sheetViews>
    <sheetView topLeftCell="A5" workbookViewId="0">
      <selection activeCell="O7" sqref="O7"/>
    </sheetView>
  </sheetViews>
  <sheetFormatPr baseColWidth="10" defaultRowHeight="13.2"/>
  <cols>
    <col min="1" max="1" width="4.21875" customWidth="1"/>
    <col min="2" max="2" width="18.44140625" customWidth="1"/>
    <col min="3" max="12" width="8.6640625" customWidth="1"/>
    <col min="13" max="13" width="13.44140625" customWidth="1"/>
    <col min="14" max="14" width="9.44140625" customWidth="1"/>
    <col min="16" max="16" width="6.44140625" customWidth="1"/>
  </cols>
  <sheetData>
    <row r="1" spans="1:16" ht="28.5" customHeight="1">
      <c r="A1" s="468" t="str">
        <f>Schlüssel!$C$1</f>
        <v>Landesliga Jugend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</row>
    <row r="2" spans="1:16" ht="28.5" customHeight="1">
      <c r="A2" s="450" t="str">
        <f>"Saison "&amp;Spielorte!C18&amp;"     -     Spieltag "&amp;Erfassung5!S2&amp;"     -     "&amp;TEXT(Erfassung5!S1,"T. MMMM JJJJ")</f>
        <v>Saison 2024/2025     -     Spieltag 5     -     17. Mai 2025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</row>
    <row r="3" spans="1:16" ht="28.5" customHeight="1">
      <c r="A3" s="449" t="s">
        <v>1863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</row>
    <row r="4" spans="1:16" ht="28.5" customHeight="1" thickBot="1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74"/>
      <c r="O4" s="147"/>
    </row>
    <row r="5" spans="1:16">
      <c r="A5" s="451" t="s">
        <v>1804</v>
      </c>
      <c r="B5" s="447" t="s">
        <v>1805</v>
      </c>
      <c r="C5" s="443" t="s">
        <v>1808</v>
      </c>
      <c r="D5" s="444"/>
      <c r="E5" s="443" t="s">
        <v>1809</v>
      </c>
      <c r="F5" s="444"/>
      <c r="G5" s="443" t="s">
        <v>1810</v>
      </c>
      <c r="H5" s="444"/>
      <c r="I5" s="467" t="s">
        <v>1811</v>
      </c>
      <c r="J5" s="444"/>
      <c r="K5" s="467" t="s">
        <v>1812</v>
      </c>
      <c r="L5" s="444"/>
      <c r="M5" s="443" t="s">
        <v>1792</v>
      </c>
      <c r="N5" s="444"/>
      <c r="O5" s="445" t="s">
        <v>1806</v>
      </c>
    </row>
    <row r="6" spans="1:16" ht="13.8" thickBot="1">
      <c r="A6" s="452"/>
      <c r="B6" s="448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63" t="s">
        <v>1800</v>
      </c>
      <c r="N6" s="64" t="s">
        <v>1801</v>
      </c>
      <c r="O6" s="446"/>
    </row>
    <row r="7" spans="1:16" ht="42" customHeight="1" thickBot="1">
      <c r="A7" s="172">
        <v>1</v>
      </c>
      <c r="B7" s="104" t="str">
        <f>INDEX(Tabelle5!B:B,MATCH(A7,Tabelle5!AD:AD,0))</f>
        <v>BK München 1</v>
      </c>
      <c r="C7" s="148">
        <f>INDEX(Tabelle1!M:M,MATCH(B7,Tabelle1!B:B,0))</f>
        <v>2969</v>
      </c>
      <c r="D7" s="149">
        <f>INDEX(Tabelle1!N:N,MATCH(B7,Tabelle1!B:B,0))</f>
        <v>23</v>
      </c>
      <c r="E7" s="148">
        <f>INDEX(Tabelle2!M:M,MATCH(B7,Tabelle2!B:B,0))</f>
        <v>3146</v>
      </c>
      <c r="F7" s="149">
        <f>INDEX(Tabelle2!N:N,MATCH(B7,Tabelle2!B:B,0))</f>
        <v>22</v>
      </c>
      <c r="G7" s="148">
        <f>INDEX(Tabelle3!M:M,MATCH(B7,Tabelle3!B:B,0))</f>
        <v>2936</v>
      </c>
      <c r="H7" s="150">
        <f>INDEX(Tabelle3!N:N,MATCH(B7,Tabelle3!B:B,0))</f>
        <v>21</v>
      </c>
      <c r="I7" s="148">
        <f>INDEX(Tabelle4!M:M,MATCH(B7,Tabelle4!B:B,0))</f>
        <v>2351</v>
      </c>
      <c r="J7" s="150">
        <f>INDEX(Tabelle4!N:N,MATCH(B7,Tabelle4!B:B,0))</f>
        <v>19</v>
      </c>
      <c r="K7" s="148">
        <f>INDEX(Tabelle5!M:M,MATCH(B7,Tabelle5!B:B,0))</f>
        <v>3048</v>
      </c>
      <c r="L7" s="150">
        <f>INDEX(Tabelle5!N:N,MATCH(B7,Tabelle5!B:B,0))</f>
        <v>24</v>
      </c>
      <c r="M7" s="173">
        <f t="shared" ref="M7:N12" si="0">SUM(C7+E7+G7+I7+K7)</f>
        <v>14450</v>
      </c>
      <c r="N7" s="174">
        <f t="shared" si="0"/>
        <v>109</v>
      </c>
      <c r="O7" s="175">
        <f>M7/INDEX(Tabelle5!$AE:$AE,MATCH($B7,Tabelle5!$B:$B,0))</f>
        <v>192.66666666666666</v>
      </c>
      <c r="P7" s="70"/>
    </row>
    <row r="8" spans="1:16" ht="42" customHeight="1" thickBot="1">
      <c r="A8" s="172">
        <v>2</v>
      </c>
      <c r="B8" s="104" t="str">
        <f>INDEX(Tabelle5!B:B,MATCH(A8,Tabelle5!AD:AD,0))</f>
        <v>Berchtesgaden 1</v>
      </c>
      <c r="C8" s="148">
        <f>INDEX(Tabelle1!M:M,MATCH(B8,Tabelle1!B:B,0))</f>
        <v>2355</v>
      </c>
      <c r="D8" s="149">
        <f>INDEX(Tabelle1!N:N,MATCH(B8,Tabelle1!B:B,0))</f>
        <v>18</v>
      </c>
      <c r="E8" s="148">
        <f>INDEX(Tabelle2!M:M,MATCH(B8,Tabelle2!B:B,0))</f>
        <v>2389</v>
      </c>
      <c r="F8" s="149">
        <f>INDEX(Tabelle2!N:N,MATCH(B8,Tabelle2!B:B,0))</f>
        <v>7</v>
      </c>
      <c r="G8" s="148">
        <f>INDEX(Tabelle3!M:M,MATCH(B8,Tabelle3!B:B,0))</f>
        <v>2285</v>
      </c>
      <c r="H8" s="150">
        <f>INDEX(Tabelle3!N:N,MATCH(B8,Tabelle3!B:B,0))</f>
        <v>11.5</v>
      </c>
      <c r="I8" s="148">
        <f>INDEX(Tabelle4!M:M,MATCH(B8,Tabelle4!B:B,0))</f>
        <v>2213</v>
      </c>
      <c r="J8" s="150">
        <f>INDEX(Tabelle4!N:N,MATCH(B8,Tabelle4!B:B,0))</f>
        <v>15</v>
      </c>
      <c r="K8" s="148">
        <f>INDEX(Tabelle5!M:M,MATCH(B8,Tabelle5!B:B,0))</f>
        <v>2425</v>
      </c>
      <c r="L8" s="150">
        <f>INDEX(Tabelle5!N:N,MATCH(B8,Tabelle5!B:B,0))</f>
        <v>15.5</v>
      </c>
      <c r="M8" s="173">
        <f t="shared" si="0"/>
        <v>11667</v>
      </c>
      <c r="N8" s="174">
        <f t="shared" si="0"/>
        <v>67</v>
      </c>
      <c r="O8" s="175">
        <f>M8/INDEX(Tabelle5!$AE:$AE,MATCH($B8,Tabelle5!$B:$B,0))</f>
        <v>155.56</v>
      </c>
      <c r="P8" s="70"/>
    </row>
    <row r="9" spans="1:16" ht="42" customHeight="1" thickBot="1">
      <c r="A9" s="172">
        <v>3</v>
      </c>
      <c r="B9" s="104" t="str">
        <f>INDEX(Tabelle5!B:B,MATCH(A9,Tabelle5!AD:AD,0))</f>
        <v>Bad Tölz 1</v>
      </c>
      <c r="C9" s="148">
        <f>INDEX(Tabelle1!M:M,MATCH(B9,Tabelle1!B:B,0))</f>
        <v>1841</v>
      </c>
      <c r="D9" s="149">
        <f>INDEX(Tabelle1!N:N,MATCH(B9,Tabelle1!B:B,0))</f>
        <v>8</v>
      </c>
      <c r="E9" s="148">
        <f>INDEX(Tabelle2!M:M,MATCH(B9,Tabelle2!B:B,0))</f>
        <v>2616</v>
      </c>
      <c r="F9" s="149">
        <f>INDEX(Tabelle2!N:N,MATCH(B9,Tabelle2!B:B,0))</f>
        <v>17.5</v>
      </c>
      <c r="G9" s="148">
        <f>INDEX(Tabelle3!M:M,MATCH(B9,Tabelle3!B:B,0))</f>
        <v>2654</v>
      </c>
      <c r="H9" s="150">
        <f>INDEX(Tabelle3!N:N,MATCH(B9,Tabelle3!B:B,0))</f>
        <v>16</v>
      </c>
      <c r="I9" s="148">
        <f>INDEX(Tabelle4!M:M,MATCH(B9,Tabelle4!B:B,0))</f>
        <v>2266</v>
      </c>
      <c r="J9" s="150">
        <f>INDEX(Tabelle4!N:N,MATCH(B9,Tabelle4!B:B,0))</f>
        <v>16</v>
      </c>
      <c r="K9" s="148">
        <f>INDEX(Tabelle5!M:M,MATCH(B9,Tabelle5!B:B,0))</f>
        <v>2224</v>
      </c>
      <c r="L9" s="150">
        <f>INDEX(Tabelle5!N:N,MATCH(B9,Tabelle5!B:B,0))</f>
        <v>6</v>
      </c>
      <c r="M9" s="173">
        <f t="shared" si="0"/>
        <v>11601</v>
      </c>
      <c r="N9" s="174">
        <f t="shared" si="0"/>
        <v>63.5</v>
      </c>
      <c r="O9" s="175">
        <f>M9/INDEX(Tabelle5!$AE:$AE,MATCH($B9,Tabelle5!$B:$B,0))</f>
        <v>165.72857142857143</v>
      </c>
      <c r="P9" s="70"/>
    </row>
    <row r="10" spans="1:16" ht="42" customHeight="1" thickBot="1">
      <c r="A10" s="172">
        <v>4</v>
      </c>
      <c r="B10" s="104" t="str">
        <f>INDEX(Tabelle5!B:B,MATCH(A10,Tabelle5!AD:AD,0))</f>
        <v>EMAX 1</v>
      </c>
      <c r="C10" s="148">
        <f>INDEX(Tabelle1!M:M,MATCH(B10,Tabelle1!B:B,0))</f>
        <v>2281</v>
      </c>
      <c r="D10" s="149">
        <f>INDEX(Tabelle1!N:N,MATCH(B10,Tabelle1!B:B,0))</f>
        <v>14</v>
      </c>
      <c r="E10" s="148">
        <f>INDEX(Tabelle2!M:M,MATCH(B10,Tabelle2!B:B,0))</f>
        <v>2513</v>
      </c>
      <c r="F10" s="149">
        <f>INDEX(Tabelle2!N:N,MATCH(B10,Tabelle2!B:B,0))</f>
        <v>16</v>
      </c>
      <c r="G10" s="148">
        <f>INDEX(Tabelle3!M:M,MATCH(B10,Tabelle3!B:B,0))</f>
        <v>2250</v>
      </c>
      <c r="H10" s="150">
        <f>INDEX(Tabelle3!N:N,MATCH(B10,Tabelle3!B:B,0))</f>
        <v>8.5</v>
      </c>
      <c r="I10" s="148">
        <f>INDEX(Tabelle4!M:M,MATCH(B10,Tabelle4!B:B,0))</f>
        <v>2156</v>
      </c>
      <c r="J10" s="150">
        <f>INDEX(Tabelle4!N:N,MATCH(B10,Tabelle4!B:B,0))</f>
        <v>11</v>
      </c>
      <c r="K10" s="148">
        <f>INDEX(Tabelle5!M:M,MATCH(B10,Tabelle5!B:B,0))</f>
        <v>2444</v>
      </c>
      <c r="L10" s="150">
        <f>INDEX(Tabelle5!N:N,MATCH(B10,Tabelle5!B:B,0))</f>
        <v>12.5</v>
      </c>
      <c r="M10" s="173">
        <f t="shared" si="0"/>
        <v>11644</v>
      </c>
      <c r="N10" s="174">
        <f t="shared" si="0"/>
        <v>62</v>
      </c>
      <c r="O10" s="175">
        <f>M10/INDEX(Tabelle5!$AE:$AE,MATCH($B10,Tabelle5!$B:$B,0))</f>
        <v>155.25333333333333</v>
      </c>
      <c r="P10" s="70"/>
    </row>
    <row r="11" spans="1:16" ht="42" customHeight="1" thickBot="1">
      <c r="A11" s="172">
        <v>5</v>
      </c>
      <c r="B11" s="104" t="str">
        <f>INDEX(Tabelle5!B:B,MATCH(A11,Tabelle5!AD:AD,0))</f>
        <v>Bowling Jugend Bayern 1</v>
      </c>
      <c r="C11" s="148">
        <f>INDEX(Tabelle1!M:M,MATCH(B11,Tabelle1!B:B,0))</f>
        <v>2296</v>
      </c>
      <c r="D11" s="149">
        <f>INDEX(Tabelle1!N:N,MATCH(B11,Tabelle1!B:B,0))</f>
        <v>14</v>
      </c>
      <c r="E11" s="148">
        <f>INDEX(Tabelle2!M:M,MATCH(B11,Tabelle2!B:B,0))</f>
        <v>2557</v>
      </c>
      <c r="F11" s="149">
        <f>INDEX(Tabelle2!N:N,MATCH(B11,Tabelle2!B:B,0))</f>
        <v>14.5</v>
      </c>
      <c r="G11" s="148">
        <f>INDEX(Tabelle3!M:M,MATCH(B11,Tabelle3!B:B,0))</f>
        <v>2534</v>
      </c>
      <c r="H11" s="150">
        <f>INDEX(Tabelle3!N:N,MATCH(B11,Tabelle3!B:B,0))</f>
        <v>12</v>
      </c>
      <c r="I11" s="148">
        <f>INDEX(Tabelle4!M:M,MATCH(B11,Tabelle4!B:B,0))</f>
        <v>2091</v>
      </c>
      <c r="J11" s="150">
        <f>INDEX(Tabelle4!N:N,MATCH(B11,Tabelle4!B:B,0))</f>
        <v>7</v>
      </c>
      <c r="K11" s="148">
        <f>INDEX(Tabelle5!M:M,MATCH(B11,Tabelle5!B:B,0))</f>
        <v>2192</v>
      </c>
      <c r="L11" s="150">
        <f>INDEX(Tabelle5!N:N,MATCH(B11,Tabelle5!B:B,0))</f>
        <v>3</v>
      </c>
      <c r="M11" s="173">
        <f t="shared" si="0"/>
        <v>11670</v>
      </c>
      <c r="N11" s="174">
        <f t="shared" si="0"/>
        <v>50.5</v>
      </c>
      <c r="O11" s="175">
        <f>M11/INDEX(Tabelle5!$AE:$AE,MATCH($B11,Tabelle5!$B:$B,0))</f>
        <v>155.6</v>
      </c>
      <c r="P11" s="70"/>
    </row>
    <row r="12" spans="1:16" ht="42" customHeight="1" thickBot="1">
      <c r="A12" s="172">
        <v>6</v>
      </c>
      <c r="B12" s="104" t="str">
        <f>INDEX(Tabelle5!B:B,MATCH(A12,Tabelle5!AD:AD,0))</f>
        <v>Highroller Rosenheim 3</v>
      </c>
      <c r="C12" s="148">
        <f>INDEX(Tabelle1!M:M,MATCH(B12,Tabelle1!B:B,0))</f>
        <v>2197</v>
      </c>
      <c r="D12" s="149">
        <f>INDEX(Tabelle1!N:N,MATCH(B12,Tabelle1!B:B,0))</f>
        <v>4.5</v>
      </c>
      <c r="E12" s="148">
        <f>INDEX(Tabelle2!M:M,MATCH(B12,Tabelle2!B:B,0))</f>
        <v>2428</v>
      </c>
      <c r="F12" s="149">
        <f>INDEX(Tabelle2!N:N,MATCH(B12,Tabelle2!B:B,0))</f>
        <v>11.5</v>
      </c>
      <c r="G12" s="148">
        <f>INDEX(Tabelle3!M:M,MATCH(B12,Tabelle3!B:B,0))</f>
        <v>2306</v>
      </c>
      <c r="H12" s="150">
        <f>INDEX(Tabelle3!N:N,MATCH(B12,Tabelle3!B:B,0))</f>
        <v>6</v>
      </c>
      <c r="I12" s="148">
        <f>INDEX(Tabelle4!M:M,MATCH(B12,Tabelle4!B:B,0))</f>
        <v>2205</v>
      </c>
      <c r="J12" s="150">
        <f>INDEX(Tabelle4!N:N,MATCH(B12,Tabelle4!B:B,0))</f>
        <v>16</v>
      </c>
      <c r="K12" s="148">
        <f>INDEX(Tabelle5!M:M,MATCH(B12,Tabelle5!B:B,0))</f>
        <v>2325</v>
      </c>
      <c r="L12" s="150">
        <f>INDEX(Tabelle5!N:N,MATCH(B12,Tabelle5!B:B,0))</f>
        <v>12</v>
      </c>
      <c r="M12" s="173">
        <f t="shared" si="0"/>
        <v>11461</v>
      </c>
      <c r="N12" s="174">
        <f t="shared" si="0"/>
        <v>50</v>
      </c>
      <c r="O12" s="175">
        <f>IFERROR(M12/INDEX(Tabelle5!$AE:$AE,MATCH($B12,Tabelle5!$B:$B,0)),0)</f>
        <v>152.81333333333333</v>
      </c>
      <c r="P12" s="70"/>
    </row>
    <row r="13" spans="1:16" ht="42" customHeight="1" thickBot="1">
      <c r="A13" s="172">
        <v>7</v>
      </c>
      <c r="B13" s="104" t="str">
        <f>INDEX(Tabelle5!B:B,MATCH(A13,Tabelle5!AD:AD,0))</f>
        <v>Highroller Rosenheim 1</v>
      </c>
      <c r="C13" s="148">
        <f>INDEX(Tabelle1!M:M,MATCH(B13,Tabelle1!B:B,0))</f>
        <v>2241</v>
      </c>
      <c r="D13" s="149">
        <f>INDEX(Tabelle1!N:N,MATCH(B13,Tabelle1!B:B,0))</f>
        <v>10</v>
      </c>
      <c r="E13" s="148">
        <f>INDEX(Tabelle2!M:M,MATCH(B13,Tabelle2!B:B,0))</f>
        <v>2289</v>
      </c>
      <c r="F13" s="149">
        <f>INDEX(Tabelle2!N:N,MATCH(B13,Tabelle2!B:B,0))</f>
        <v>7</v>
      </c>
      <c r="G13" s="148">
        <f>INDEX(Tabelle3!M:M,MATCH(B13,Tabelle3!B:B,0))</f>
        <v>2587</v>
      </c>
      <c r="H13" s="150">
        <f>INDEX(Tabelle3!N:N,MATCH(B13,Tabelle3!B:B,0))</f>
        <v>19</v>
      </c>
      <c r="I13" s="148">
        <f>INDEX(Tabelle4!M:M,MATCH(B13,Tabelle4!B:B,0))</f>
        <v>2026</v>
      </c>
      <c r="J13" s="150">
        <f>INDEX(Tabelle4!N:N,MATCH(B13,Tabelle4!B:B,0))</f>
        <v>3</v>
      </c>
      <c r="K13" s="148">
        <f>INDEX(Tabelle5!M:M,MATCH(B13,Tabelle5!B:B,0))</f>
        <v>2443</v>
      </c>
      <c r="L13" s="150">
        <f>INDEX(Tabelle5!N:N,MATCH(B13,Tabelle5!B:B,0))</f>
        <v>10</v>
      </c>
      <c r="M13" s="173">
        <f t="shared" ref="M13:M14" si="1">SUM(C13+E13+G13+I13+K13)</f>
        <v>11586</v>
      </c>
      <c r="N13" s="174">
        <f t="shared" ref="N13:N14" si="2">SUM(D13+F13+H13+J13+L13)</f>
        <v>49</v>
      </c>
      <c r="O13" s="175">
        <f>IFERROR(M13/INDEX(Tabelle5!$AE:$AE,MATCH($B13,Tabelle5!$B:$B,0)),0)</f>
        <v>154.47999999999999</v>
      </c>
      <c r="P13" s="70"/>
    </row>
    <row r="14" spans="1:16" ht="42" customHeight="1" thickBot="1">
      <c r="A14" s="172">
        <v>8</v>
      </c>
      <c r="B14" s="104" t="str">
        <f>INDEX(Tabelle5!B:B,MATCH(A14,Tabelle5!AD:AD,0))</f>
        <v>Highroller Rosenheim 2</v>
      </c>
      <c r="C14" s="148">
        <f>INDEX(Tabelle1!M:M,MATCH(B14,Tabelle1!B:B,0))</f>
        <v>2177</v>
      </c>
      <c r="D14" s="149">
        <f>INDEX(Tabelle1!N:N,MATCH(B14,Tabelle1!B:B,0))</f>
        <v>8.5</v>
      </c>
      <c r="E14" s="148">
        <f>INDEX(Tabelle2!M:M,MATCH(B14,Tabelle2!B:B,0))</f>
        <v>2297</v>
      </c>
      <c r="F14" s="149">
        <f>INDEX(Tabelle2!N:N,MATCH(B14,Tabelle2!B:B,0))</f>
        <v>4.5</v>
      </c>
      <c r="G14" s="148">
        <f>INDEX(Tabelle3!M:M,MATCH(B14,Tabelle3!B:B,0))</f>
        <v>2206</v>
      </c>
      <c r="H14" s="150">
        <f>INDEX(Tabelle3!N:N,MATCH(B14,Tabelle3!B:B,0))</f>
        <v>6</v>
      </c>
      <c r="I14" s="148">
        <f>INDEX(Tabelle4!M:M,MATCH(B14,Tabelle4!B:B,0))</f>
        <v>2180</v>
      </c>
      <c r="J14" s="150">
        <f>INDEX(Tabelle4!N:N,MATCH(B14,Tabelle4!B:B,0))</f>
        <v>13</v>
      </c>
      <c r="K14" s="148">
        <f>INDEX(Tabelle5!M:M,MATCH(B14,Tabelle5!B:B,0))</f>
        <v>2350</v>
      </c>
      <c r="L14" s="150">
        <f>INDEX(Tabelle5!N:N,MATCH(B14,Tabelle5!B:B,0))</f>
        <v>17</v>
      </c>
      <c r="M14" s="173">
        <f t="shared" si="1"/>
        <v>11210</v>
      </c>
      <c r="N14" s="174">
        <f t="shared" si="2"/>
        <v>49</v>
      </c>
      <c r="O14" s="175">
        <f>IFERROR(M14/INDEX(Tabelle5!$AE:$AE,MATCH($B14,Tabelle5!$B:$B,0)),0)</f>
        <v>149.46666666666667</v>
      </c>
      <c r="P14" s="70"/>
    </row>
  </sheetData>
  <sheetProtection password="D19C" sheet="1" objects="1" scenarios="1" formatCells="0" formatColumns="0" formatRows="0"/>
  <mergeCells count="12">
    <mergeCell ref="G5:H5"/>
    <mergeCell ref="I5:J5"/>
    <mergeCell ref="A1:O1"/>
    <mergeCell ref="A2:O2"/>
    <mergeCell ref="A3:O3"/>
    <mergeCell ref="O5:O6"/>
    <mergeCell ref="K5:L5"/>
    <mergeCell ref="M5:N5"/>
    <mergeCell ref="A5:A6"/>
    <mergeCell ref="B5:B6"/>
    <mergeCell ref="C5:D5"/>
    <mergeCell ref="E5:F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 r:id="rId1"/>
  <headerFooter>
    <oddHeader>&amp;R&amp;G</oddHead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J44" sqref="J44"/>
    </sheetView>
  </sheetViews>
  <sheetFormatPr baseColWidth="10" defaultColWidth="11.44140625" defaultRowHeight="13.2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44140625" style="91"/>
    <col min="10" max="11" width="11.44140625" style="91" customWidth="1"/>
    <col min="12" max="16" width="11.44140625" style="91" hidden="1" customWidth="1"/>
    <col min="17" max="20" width="11.44140625" style="91" customWidth="1"/>
    <col min="21" max="16384" width="11.44140625" style="91"/>
  </cols>
  <sheetData>
    <row r="1" spans="1:16" ht="28.5" customHeight="1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>
      <c r="A2" s="96" t="s">
        <v>1785</v>
      </c>
      <c r="C2" s="97">
        <v>5</v>
      </c>
      <c r="D2" s="97" t="s">
        <v>1821</v>
      </c>
      <c r="E2" s="98"/>
      <c r="F2" s="99"/>
      <c r="L2" s="91">
        <f>INDEX(Starter!A:A,ROW()-1)</f>
        <v>38890</v>
      </c>
      <c r="M2" s="91">
        <f>SUMIF(Erfassung5!AU:AU,L2,Erfassung5!BJ:BJ)</f>
        <v>308</v>
      </c>
      <c r="N2" s="91">
        <f>SUMIF(Erfassung5!AU:AU,L2,Erfassung5!AX:AX)</f>
        <v>3</v>
      </c>
      <c r="O2" s="91">
        <f t="shared" ref="O2:O65" si="0">IF(N2=0,0,M2/N2-ROW()/1000000000)</f>
        <v>102.66666666466668</v>
      </c>
      <c r="P2" s="91">
        <f t="shared" ref="P2:P65" si="1">RANK(O2,O:O)</f>
        <v>28</v>
      </c>
    </row>
    <row r="3" spans="1:16">
      <c r="L3" s="91">
        <f>INDEX(Starter!A:A,ROW()-1)</f>
        <v>38785</v>
      </c>
      <c r="M3" s="91">
        <f>SUMIF(Erfassung5!AU:AU,L3,Erfassung5!BJ:BJ)</f>
        <v>0</v>
      </c>
      <c r="N3" s="91">
        <f>SUMIF(Erfassung5!AU:AU,L3,Erfassung5!AX:AX)</f>
        <v>0</v>
      </c>
      <c r="O3" s="91">
        <f t="shared" si="0"/>
        <v>0</v>
      </c>
      <c r="P3" s="91">
        <f t="shared" si="1"/>
        <v>31</v>
      </c>
    </row>
    <row r="4" spans="1:16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SUMIF(Erfassung5!AU:AU,L4,Erfassung5!BJ:BJ)</f>
        <v>664</v>
      </c>
      <c r="N4" s="91">
        <f>SUMIF(Erfassung5!AU:AU,L4,Erfassung5!AX:AX)</f>
        <v>4</v>
      </c>
      <c r="O4" s="91">
        <f t="shared" si="0"/>
        <v>165.99999999600001</v>
      </c>
      <c r="P4" s="91">
        <f t="shared" si="1"/>
        <v>6</v>
      </c>
    </row>
    <row r="5" spans="1:16">
      <c r="A5" s="91">
        <v>1</v>
      </c>
      <c r="B5" s="91">
        <f t="shared" ref="B5:B68" si="2">IFERROR(INDEX(L:L,MATCH(A5,P:P,0)),"")</f>
        <v>38708</v>
      </c>
      <c r="C5" s="91" t="str">
        <f>IFERROR(INDEX(Starter!B:B,MATCH(B5,Starter!A:A,0)),"")</f>
        <v>Gründl, Alexander</v>
      </c>
      <c r="D5" s="91" t="str">
        <f>IFERROR(INDEX(Starter!C:C,MATCH(B5,Starter!A:A,0)),"")</f>
        <v>BK München</v>
      </c>
      <c r="E5" s="100">
        <f t="shared" ref="E5:E68" si="3">IFERROR(INDEX(M:M,MATCH(A5,P:P,0)),"")</f>
        <v>1061</v>
      </c>
      <c r="F5" s="91">
        <f t="shared" ref="F5:F68" si="4">IFERROR(INDEX(N:N,MATCH(A5,P:P,0)),"")</f>
        <v>5</v>
      </c>
      <c r="G5" s="95">
        <f t="shared" ref="G5:G68" si="5">IFERROR(INDEX(O:O,MATCH(A5,P:P,0)),"")</f>
        <v>212.19999996499999</v>
      </c>
      <c r="L5" s="91">
        <f>INDEX(Starter!A:A,ROW()-1)</f>
        <v>38904</v>
      </c>
      <c r="M5" s="91">
        <f>SUMIF(Erfassung5!AU:AU,L5,Erfassung5!BJ:BJ)</f>
        <v>524</v>
      </c>
      <c r="N5" s="91">
        <f>SUMIF(Erfassung5!AU:AU,L5,Erfassung5!AX:AX)</f>
        <v>4</v>
      </c>
      <c r="O5" s="91">
        <f t="shared" si="0"/>
        <v>130.999999995</v>
      </c>
      <c r="P5" s="91">
        <f t="shared" si="1"/>
        <v>16</v>
      </c>
    </row>
    <row r="6" spans="1:16">
      <c r="A6" s="91">
        <f t="shared" ref="A6:A69" si="6">IFERROR(IF(A5+1&gt;MAX(P:P)-1,"",A5+1),"")</f>
        <v>2</v>
      </c>
      <c r="B6" s="91">
        <f t="shared" si="2"/>
        <v>38327</v>
      </c>
      <c r="C6" s="91" t="str">
        <f>IFERROR(INDEX(Starter!B:B,MATCH(B6,Starter!A:A,0)),"")</f>
        <v>Jakobi, Moritz</v>
      </c>
      <c r="D6" s="91" t="str">
        <f>IFERROR(INDEX(Starter!C:C,MATCH(B6,Starter!A:A,0)),"")</f>
        <v>BK München</v>
      </c>
      <c r="E6" s="100">
        <f t="shared" si="3"/>
        <v>1054</v>
      </c>
      <c r="F6" s="91">
        <f t="shared" si="4"/>
        <v>5</v>
      </c>
      <c r="G6" s="95">
        <f t="shared" si="5"/>
        <v>210.79999996400002</v>
      </c>
      <c r="L6" s="91">
        <f>INDEX(Starter!A:A,ROW()-1)</f>
        <v>38910</v>
      </c>
      <c r="M6" s="91">
        <f>SUMIF(Erfassung5!AU:AU,L6,Erfassung5!BJ:BJ)</f>
        <v>486</v>
      </c>
      <c r="N6" s="91">
        <f>SUMIF(Erfassung5!AU:AU,L6,Erfassung5!AX:AX)</f>
        <v>4</v>
      </c>
      <c r="O6" s="91">
        <f t="shared" si="0"/>
        <v>121.49999999400001</v>
      </c>
      <c r="P6" s="91">
        <f t="shared" si="1"/>
        <v>20</v>
      </c>
    </row>
    <row r="7" spans="1:16">
      <c r="A7" s="91">
        <f t="shared" si="6"/>
        <v>3</v>
      </c>
      <c r="B7" s="91">
        <f t="shared" si="2"/>
        <v>38334</v>
      </c>
      <c r="C7" s="91" t="str">
        <f>IFERROR(INDEX(Starter!B:B,MATCH(B7,Starter!A:A,0)),"")</f>
        <v>Lauchner, Julian</v>
      </c>
      <c r="D7" s="91" t="str">
        <f>IFERROR(INDEX(Starter!C:C,MATCH(B7,Starter!A:A,0)),"")</f>
        <v>BK München</v>
      </c>
      <c r="E7" s="100">
        <f t="shared" si="3"/>
        <v>933</v>
      </c>
      <c r="F7" s="91">
        <f t="shared" si="4"/>
        <v>5</v>
      </c>
      <c r="G7" s="95">
        <f t="shared" si="5"/>
        <v>186.59999995499999</v>
      </c>
      <c r="L7" s="91">
        <f>INDEX(Starter!A:A,ROW()-1)</f>
        <v>38861</v>
      </c>
      <c r="M7" s="91">
        <f>SUMIF(Erfassung5!AU:AU,L7,Erfassung5!BJ:BJ)</f>
        <v>0</v>
      </c>
      <c r="N7" s="91">
        <f>SUMIF(Erfassung5!AU:AU,L7,Erfassung5!AX:AX)</f>
        <v>0</v>
      </c>
      <c r="O7" s="91">
        <f t="shared" si="0"/>
        <v>0</v>
      </c>
      <c r="P7" s="91">
        <f t="shared" si="1"/>
        <v>31</v>
      </c>
    </row>
    <row r="8" spans="1:16">
      <c r="A8" s="91">
        <f t="shared" si="6"/>
        <v>4</v>
      </c>
      <c r="B8" s="91">
        <f t="shared" si="2"/>
        <v>38759</v>
      </c>
      <c r="C8" s="91" t="str">
        <f>IFERROR(INDEX(Starter!B:B,MATCH(B8,Starter!A:A,0)),"")</f>
        <v>Stölzel, Celia</v>
      </c>
      <c r="D8" s="91" t="str">
        <f>IFERROR(INDEX(Starter!C:C,MATCH(B8,Starter!A:A,0)),"")</f>
        <v>BSC Highroller Rosenheim</v>
      </c>
      <c r="E8" s="100">
        <f t="shared" si="3"/>
        <v>887</v>
      </c>
      <c r="F8" s="91">
        <f t="shared" si="4"/>
        <v>5</v>
      </c>
      <c r="G8" s="95">
        <f t="shared" si="5"/>
        <v>177.39999998600001</v>
      </c>
      <c r="L8" s="91">
        <f>INDEX(Starter!A:A,ROW()-1)</f>
        <v>38845</v>
      </c>
      <c r="M8" s="91">
        <f>SUMIF(Erfassung5!AU:AU,L8,Erfassung5!BJ:BJ)</f>
        <v>0</v>
      </c>
      <c r="N8" s="91">
        <f>SUMIF(Erfassung5!AU:AU,L8,Erfassung5!AX:AX)</f>
        <v>0</v>
      </c>
      <c r="O8" s="91">
        <f t="shared" si="0"/>
        <v>0</v>
      </c>
      <c r="P8" s="91">
        <f t="shared" si="1"/>
        <v>31</v>
      </c>
    </row>
    <row r="9" spans="1:16">
      <c r="A9" s="91">
        <f t="shared" si="6"/>
        <v>5</v>
      </c>
      <c r="B9" s="91">
        <f t="shared" si="2"/>
        <v>38714</v>
      </c>
      <c r="C9" s="91" t="str">
        <f>IFERROR(INDEX(Starter!B:B,MATCH(B9,Starter!A:A,0)),"")</f>
        <v>Wieser, Lukas</v>
      </c>
      <c r="D9" s="91" t="str">
        <f>IFERROR(INDEX(Starter!C:C,MATCH(B9,Starter!A:A,0)),"")</f>
        <v>BC Berchtesgaden</v>
      </c>
      <c r="E9" s="100">
        <f t="shared" si="3"/>
        <v>670</v>
      </c>
      <c r="F9" s="91">
        <f t="shared" si="4"/>
        <v>4</v>
      </c>
      <c r="G9" s="95">
        <f t="shared" si="5"/>
        <v>167.49999997099999</v>
      </c>
      <c r="L9" s="91">
        <f>INDEX(Starter!A:A,ROW()-1)</f>
        <v>38843</v>
      </c>
      <c r="M9" s="91">
        <f>SUMIF(Erfassung5!AU:AU,L9,Erfassung5!BJ:BJ)</f>
        <v>0</v>
      </c>
      <c r="N9" s="91">
        <f>SUMIF(Erfassung5!AU:AU,L9,Erfassung5!AX:AX)</f>
        <v>0</v>
      </c>
      <c r="O9" s="91">
        <f t="shared" si="0"/>
        <v>0</v>
      </c>
      <c r="P9" s="91">
        <f t="shared" si="1"/>
        <v>31</v>
      </c>
    </row>
    <row r="10" spans="1:16">
      <c r="A10" s="91">
        <f t="shared" si="6"/>
        <v>6</v>
      </c>
      <c r="B10" s="91">
        <f t="shared" si="2"/>
        <v>38706</v>
      </c>
      <c r="C10" s="91" t="str">
        <f>IFERROR(INDEX(Starter!B:B,MATCH(B10,Starter!A:A,0)),"")</f>
        <v>Böhm, Eric-Pascal</v>
      </c>
      <c r="D10" s="91" t="str">
        <f>IFERROR(INDEX(Starter!C:C,MATCH(B10,Starter!A:A,0)),"")</f>
        <v>BC EMAX</v>
      </c>
      <c r="E10" s="100">
        <f t="shared" si="3"/>
        <v>664</v>
      </c>
      <c r="F10" s="91">
        <f t="shared" si="4"/>
        <v>4</v>
      </c>
      <c r="G10" s="95">
        <f t="shared" si="5"/>
        <v>165.99999999600001</v>
      </c>
      <c r="L10" s="91">
        <f>INDEX(Starter!A:A,ROW()-1)</f>
        <v>38844</v>
      </c>
      <c r="M10" s="91">
        <f>SUMIF(Erfassung5!AU:AU,L10,Erfassung5!BJ:BJ)</f>
        <v>791</v>
      </c>
      <c r="N10" s="91">
        <f>SUMIF(Erfassung5!AU:AU,L10,Erfassung5!AX:AX)</f>
        <v>5</v>
      </c>
      <c r="O10" s="91">
        <f t="shared" si="0"/>
        <v>158.19999998999998</v>
      </c>
      <c r="P10" s="91">
        <f t="shared" si="1"/>
        <v>7</v>
      </c>
    </row>
    <row r="11" spans="1:16">
      <c r="A11" s="91">
        <f t="shared" si="6"/>
        <v>7</v>
      </c>
      <c r="B11" s="91">
        <f t="shared" si="2"/>
        <v>38844</v>
      </c>
      <c r="C11" s="91" t="str">
        <f>IFERROR(INDEX(Starter!B:B,MATCH(B11,Starter!A:A,0)),"")</f>
        <v>Mathe, Maximilian</v>
      </c>
      <c r="D11" s="91" t="str">
        <f>IFERROR(INDEX(Starter!C:C,MATCH(B11,Starter!A:A,0)),"")</f>
        <v>Absolut-Sports.com</v>
      </c>
      <c r="E11" s="100">
        <f t="shared" si="3"/>
        <v>791</v>
      </c>
      <c r="F11" s="91">
        <f t="shared" si="4"/>
        <v>5</v>
      </c>
      <c r="G11" s="95">
        <f t="shared" si="5"/>
        <v>158.19999998999998</v>
      </c>
      <c r="L11" s="91">
        <f>INDEX(Starter!A:A,ROW()-1)</f>
        <v>38772</v>
      </c>
      <c r="M11" s="91">
        <f>SUMIF(Erfassung5!AU:AU,L11,Erfassung5!BJ:BJ)</f>
        <v>611</v>
      </c>
      <c r="N11" s="91">
        <f>SUMIF(Erfassung5!AU:AU,L11,Erfassung5!AX:AX)</f>
        <v>5</v>
      </c>
      <c r="O11" s="91">
        <f t="shared" si="0"/>
        <v>122.19999998900001</v>
      </c>
      <c r="P11" s="91">
        <f t="shared" si="1"/>
        <v>19</v>
      </c>
    </row>
    <row r="12" spans="1:16">
      <c r="A12" s="91">
        <f t="shared" si="6"/>
        <v>8</v>
      </c>
      <c r="B12" s="91">
        <f t="shared" si="2"/>
        <v>38809</v>
      </c>
      <c r="C12" s="91" t="str">
        <f>IFERROR(INDEX(Starter!B:B,MATCH(B12,Starter!A:A,0)),"")</f>
        <v>Elze, Julian</v>
      </c>
      <c r="D12" s="91" t="str">
        <f>IFERROR(INDEX(Starter!C:C,MATCH(B12,Starter!A:A,0)),"")</f>
        <v>BSC Highroller Rosenheim</v>
      </c>
      <c r="E12" s="100">
        <f t="shared" si="3"/>
        <v>454</v>
      </c>
      <c r="F12" s="91">
        <f t="shared" si="4"/>
        <v>3</v>
      </c>
      <c r="G12" s="95">
        <f t="shared" si="5"/>
        <v>151.33333331633335</v>
      </c>
      <c r="L12" s="91">
        <f>INDEX(Starter!A:A,ROW()-1)</f>
        <v>38893</v>
      </c>
      <c r="M12" s="91">
        <f>SUMIF(Erfassung5!AU:AU,L12,Erfassung5!BJ:BJ)</f>
        <v>472</v>
      </c>
      <c r="N12" s="91">
        <f>SUMIF(Erfassung5!AU:AU,L12,Erfassung5!AX:AX)</f>
        <v>5</v>
      </c>
      <c r="O12" s="91">
        <f t="shared" si="0"/>
        <v>94.399999988000005</v>
      </c>
      <c r="P12" s="91">
        <f t="shared" si="1"/>
        <v>29</v>
      </c>
    </row>
    <row r="13" spans="1:16">
      <c r="A13" s="91">
        <f t="shared" si="6"/>
        <v>9</v>
      </c>
      <c r="B13" s="91">
        <f t="shared" si="2"/>
        <v>38942</v>
      </c>
      <c r="C13" s="91" t="str">
        <f>IFERROR(INDEX(Starter!B:B,MATCH(B13,Starter!A:A,0)),"")</f>
        <v>Klettenheimer, Julius</v>
      </c>
      <c r="D13" s="91" t="str">
        <f>IFERROR(INDEX(Starter!C:C,MATCH(B13,Starter!A:A,0)),"")</f>
        <v>Bowling Jugend Bayern</v>
      </c>
      <c r="E13" s="100">
        <f t="shared" si="3"/>
        <v>447</v>
      </c>
      <c r="F13" s="91">
        <f t="shared" si="4"/>
        <v>3</v>
      </c>
      <c r="G13" s="95">
        <f t="shared" si="5"/>
        <v>148.99999995600001</v>
      </c>
      <c r="L13" s="91">
        <f>INDEX(Starter!A:A,ROW()-1)</f>
        <v>38760</v>
      </c>
      <c r="M13" s="91">
        <f>SUMIF(Erfassung5!AU:AU,L13,Erfassung5!BJ:BJ)</f>
        <v>744</v>
      </c>
      <c r="N13" s="91">
        <f>SUMIF(Erfassung5!AU:AU,L13,Erfassung5!AX:AX)</f>
        <v>5</v>
      </c>
      <c r="O13" s="91">
        <f t="shared" si="0"/>
        <v>148.79999998700001</v>
      </c>
      <c r="P13" s="91">
        <f t="shared" si="1"/>
        <v>10</v>
      </c>
    </row>
    <row r="14" spans="1:16">
      <c r="A14" s="91">
        <f t="shared" si="6"/>
        <v>10</v>
      </c>
      <c r="B14" s="91">
        <f t="shared" si="2"/>
        <v>38760</v>
      </c>
      <c r="C14" s="91" t="str">
        <f>IFERROR(INDEX(Starter!B:B,MATCH(B14,Starter!A:A,0)),"")</f>
        <v>Achhammer, Klara</v>
      </c>
      <c r="D14" s="91" t="str">
        <f>IFERROR(INDEX(Starter!C:C,MATCH(B14,Starter!A:A,0)),"")</f>
        <v>BSC Highroller Rosenheim</v>
      </c>
      <c r="E14" s="100">
        <f t="shared" si="3"/>
        <v>744</v>
      </c>
      <c r="F14" s="91">
        <f t="shared" si="4"/>
        <v>5</v>
      </c>
      <c r="G14" s="95">
        <f t="shared" si="5"/>
        <v>148.79999998700001</v>
      </c>
      <c r="L14" s="91">
        <f>INDEX(Starter!A:A,ROW()-1)</f>
        <v>38759</v>
      </c>
      <c r="M14" s="91">
        <f>SUMIF(Erfassung5!AU:AU,L14,Erfassung5!BJ:BJ)</f>
        <v>887</v>
      </c>
      <c r="N14" s="91">
        <f>SUMIF(Erfassung5!AU:AU,L14,Erfassung5!AX:AX)</f>
        <v>5</v>
      </c>
      <c r="O14" s="91">
        <f t="shared" si="0"/>
        <v>177.39999998600001</v>
      </c>
      <c r="P14" s="91">
        <f t="shared" si="1"/>
        <v>4</v>
      </c>
    </row>
    <row r="15" spans="1:16">
      <c r="A15" s="91">
        <f t="shared" si="6"/>
        <v>11</v>
      </c>
      <c r="B15" s="91">
        <f t="shared" si="2"/>
        <v>38674</v>
      </c>
      <c r="C15" s="91" t="str">
        <f>IFERROR(INDEX(Starter!B:B,MATCH(B15,Starter!A:A,0)),"")</f>
        <v>Mäurer, Odin</v>
      </c>
      <c r="D15" s="91" t="str">
        <f>IFERROR(INDEX(Starter!C:C,MATCH(B15,Starter!A:A,0)),"")</f>
        <v>Bowling Jugend Bayern</v>
      </c>
      <c r="E15" s="100">
        <f t="shared" si="3"/>
        <v>717</v>
      </c>
      <c r="F15" s="91">
        <f t="shared" si="4"/>
        <v>5</v>
      </c>
      <c r="G15" s="95">
        <f t="shared" si="5"/>
        <v>143.39999996099999</v>
      </c>
      <c r="L15" s="91">
        <f>INDEX(Starter!A:A,ROW()-1)</f>
        <v>38831</v>
      </c>
      <c r="M15" s="91">
        <f>SUMIF(Erfassung5!AU:AU,L15,Erfassung5!BJ:BJ)</f>
        <v>0</v>
      </c>
      <c r="N15" s="91">
        <f>SUMIF(Erfassung5!AU:AU,L15,Erfassung5!AX:AX)</f>
        <v>0</v>
      </c>
      <c r="O15" s="91">
        <f t="shared" si="0"/>
        <v>0</v>
      </c>
      <c r="P15" s="91">
        <f t="shared" si="1"/>
        <v>31</v>
      </c>
    </row>
    <row r="16" spans="1:16">
      <c r="A16" s="91">
        <f t="shared" si="6"/>
        <v>12</v>
      </c>
      <c r="B16" s="91">
        <f t="shared" si="2"/>
        <v>38773</v>
      </c>
      <c r="C16" s="91" t="str">
        <f>IFERROR(INDEX(Starter!B:B,MATCH(B16,Starter!A:A,0)),"")</f>
        <v>Weiss, Luisa Samira</v>
      </c>
      <c r="D16" s="91" t="str">
        <f>IFERROR(INDEX(Starter!C:C,MATCH(B16,Starter!A:A,0)),"")</f>
        <v>BSC Highroller Rosenheim</v>
      </c>
      <c r="E16" s="100">
        <f t="shared" si="3"/>
        <v>707</v>
      </c>
      <c r="F16" s="91">
        <f t="shared" si="4"/>
        <v>5</v>
      </c>
      <c r="G16" s="95">
        <f t="shared" si="5"/>
        <v>141.399999984</v>
      </c>
      <c r="L16" s="91">
        <f>INDEX(Starter!A:A,ROW()-1)</f>
        <v>38773</v>
      </c>
      <c r="M16" s="91">
        <f>SUMIF(Erfassung5!AU:AU,L16,Erfassung5!BJ:BJ)</f>
        <v>707</v>
      </c>
      <c r="N16" s="91">
        <f>SUMIF(Erfassung5!AU:AU,L16,Erfassung5!AX:AX)</f>
        <v>5</v>
      </c>
      <c r="O16" s="91">
        <f t="shared" si="0"/>
        <v>141.399999984</v>
      </c>
      <c r="P16" s="91">
        <f t="shared" si="1"/>
        <v>12</v>
      </c>
    </row>
    <row r="17" spans="1:16">
      <c r="A17" s="91">
        <f t="shared" si="6"/>
        <v>13</v>
      </c>
      <c r="B17" s="91">
        <f t="shared" si="2"/>
        <v>38819</v>
      </c>
      <c r="C17" s="91" t="str">
        <f>IFERROR(INDEX(Starter!B:B,MATCH(B17,Starter!A:A,0)),"")</f>
        <v>Pittner, Gregor</v>
      </c>
      <c r="D17" s="91" t="str">
        <f>IFERROR(INDEX(Starter!C:C,MATCH(B17,Starter!A:A,0)),"")</f>
        <v>BC Berchtesgaden</v>
      </c>
      <c r="E17" s="100">
        <f t="shared" si="3"/>
        <v>539</v>
      </c>
      <c r="F17" s="91">
        <f t="shared" si="4"/>
        <v>4</v>
      </c>
      <c r="G17" s="95">
        <f t="shared" si="5"/>
        <v>134.74999997</v>
      </c>
      <c r="L17" s="91">
        <f>INDEX(Starter!A:A,ROW()-1)</f>
        <v>38809</v>
      </c>
      <c r="M17" s="91">
        <f>SUMIF(Erfassung5!AU:AU,L17,Erfassung5!BJ:BJ)</f>
        <v>454</v>
      </c>
      <c r="N17" s="91">
        <f>SUMIF(Erfassung5!AU:AU,L17,Erfassung5!AX:AX)</f>
        <v>3</v>
      </c>
      <c r="O17" s="91">
        <f t="shared" si="0"/>
        <v>151.33333331633335</v>
      </c>
      <c r="P17" s="91">
        <f t="shared" si="1"/>
        <v>8</v>
      </c>
    </row>
    <row r="18" spans="1:16">
      <c r="A18" s="91">
        <f t="shared" si="6"/>
        <v>14</v>
      </c>
      <c r="B18" s="91">
        <f t="shared" si="2"/>
        <v>38781</v>
      </c>
      <c r="C18" s="91" t="str">
        <f>IFERROR(INDEX(Starter!B:B,MATCH(B18,Starter!A:A,0)),"")</f>
        <v>Reichenauer, Leon</v>
      </c>
      <c r="D18" s="91" t="str">
        <f>IFERROR(INDEX(Starter!C:C,MATCH(B18,Starter!A:A,0)),"")</f>
        <v>Bowling Jugend Bayern</v>
      </c>
      <c r="E18" s="100">
        <f t="shared" si="3"/>
        <v>539</v>
      </c>
      <c r="F18" s="91">
        <f t="shared" si="4"/>
        <v>4</v>
      </c>
      <c r="G18" s="95">
        <f t="shared" si="5"/>
        <v>134.74999995799999</v>
      </c>
      <c r="L18" s="91">
        <f>INDEX(Starter!A:A,ROW()-1)</f>
        <v>38923</v>
      </c>
      <c r="M18" s="91">
        <f>SUMIF(Erfassung5!AU:AU,L18,Erfassung5!BJ:BJ)</f>
        <v>341</v>
      </c>
      <c r="N18" s="91">
        <f>SUMIF(Erfassung5!AU:AU,L18,Erfassung5!AX:AX)</f>
        <v>3</v>
      </c>
      <c r="O18" s="91">
        <f t="shared" si="0"/>
        <v>113.66666664866668</v>
      </c>
      <c r="P18" s="91">
        <f t="shared" si="1"/>
        <v>22</v>
      </c>
    </row>
    <row r="19" spans="1:16">
      <c r="A19" s="91">
        <f t="shared" si="6"/>
        <v>15</v>
      </c>
      <c r="B19" s="91">
        <f t="shared" si="2"/>
        <v>38808</v>
      </c>
      <c r="C19" s="91" t="str">
        <f>IFERROR(INDEX(Starter!B:B,MATCH(B19,Starter!A:A,0)),"")</f>
        <v>Reinhold, Moritz</v>
      </c>
      <c r="D19" s="91" t="str">
        <f>IFERROR(INDEX(Starter!C:C,MATCH(B19,Starter!A:A,0)),"")</f>
        <v>BSC Highroller Rosenheim</v>
      </c>
      <c r="E19" s="100">
        <f t="shared" si="3"/>
        <v>538</v>
      </c>
      <c r="F19" s="91">
        <f t="shared" si="4"/>
        <v>4</v>
      </c>
      <c r="G19" s="95">
        <f t="shared" si="5"/>
        <v>134.49999997800001</v>
      </c>
      <c r="L19" s="91">
        <f>INDEX(Starter!A:A,ROW()-1)</f>
        <v>38920</v>
      </c>
      <c r="M19" s="91">
        <f>SUMIF(Erfassung5!AU:AU,L19,Erfassung5!BJ:BJ)</f>
        <v>339</v>
      </c>
      <c r="N19" s="91">
        <f>SUMIF(Erfassung5!AU:AU,L19,Erfassung5!AX:AX)</f>
        <v>3</v>
      </c>
      <c r="O19" s="91">
        <f t="shared" si="0"/>
        <v>112.999999981</v>
      </c>
      <c r="P19" s="91">
        <f t="shared" si="1"/>
        <v>24</v>
      </c>
    </row>
    <row r="20" spans="1:16">
      <c r="A20" s="91">
        <f t="shared" si="6"/>
        <v>16</v>
      </c>
      <c r="B20" s="91">
        <f t="shared" si="2"/>
        <v>38904</v>
      </c>
      <c r="C20" s="91" t="str">
        <f>IFERROR(INDEX(Starter!B:B,MATCH(B20,Starter!A:A,0)),"")</f>
        <v>Vogt, Leonard</v>
      </c>
      <c r="D20" s="91" t="str">
        <f>IFERROR(INDEX(Starter!C:C,MATCH(B20,Starter!A:A,0)),"")</f>
        <v>BC EMAX</v>
      </c>
      <c r="E20" s="100">
        <f t="shared" si="3"/>
        <v>524</v>
      </c>
      <c r="F20" s="91">
        <f t="shared" si="4"/>
        <v>4</v>
      </c>
      <c r="G20" s="95">
        <f t="shared" si="5"/>
        <v>130.999999995</v>
      </c>
      <c r="L20" s="91">
        <f>INDEX(Starter!A:A,ROW()-1)</f>
        <v>38921</v>
      </c>
      <c r="M20" s="91">
        <f>SUMIF(Erfassung5!AU:AU,L20,Erfassung5!BJ:BJ)</f>
        <v>259</v>
      </c>
      <c r="N20" s="91">
        <f>SUMIF(Erfassung5!AU:AU,L20,Erfassung5!AX:AX)</f>
        <v>3</v>
      </c>
      <c r="O20" s="91">
        <f t="shared" si="0"/>
        <v>86.333333313333327</v>
      </c>
      <c r="P20" s="91">
        <f t="shared" si="1"/>
        <v>30</v>
      </c>
    </row>
    <row r="21" spans="1:16">
      <c r="A21" s="91">
        <f t="shared" si="6"/>
        <v>17</v>
      </c>
      <c r="B21" s="91">
        <f t="shared" si="2"/>
        <v>38937</v>
      </c>
      <c r="C21" s="91" t="str">
        <f>IFERROR(INDEX(Starter!B:B,MATCH(B21,Starter!A:A,0)),"")</f>
        <v>Ruppert, Raja</v>
      </c>
      <c r="D21" s="91" t="str">
        <f>IFERROR(INDEX(Starter!C:C,MATCH(B21,Starter!A:A,0)),"")</f>
        <v>LA Bowling</v>
      </c>
      <c r="E21" s="100">
        <f t="shared" si="3"/>
        <v>379</v>
      </c>
      <c r="F21" s="91">
        <f t="shared" si="4"/>
        <v>3</v>
      </c>
      <c r="G21" s="95">
        <f t="shared" si="5"/>
        <v>126.33333330033332</v>
      </c>
      <c r="L21" s="91">
        <f>INDEX(Starter!A:A,ROW()-1)</f>
        <v>38922</v>
      </c>
      <c r="M21" s="91">
        <f>SUMIF(Erfassung5!AU:AU,L21,Erfassung5!BJ:BJ)</f>
        <v>339</v>
      </c>
      <c r="N21" s="91">
        <f>SUMIF(Erfassung5!AU:AU,L21,Erfassung5!AX:AX)</f>
        <v>3</v>
      </c>
      <c r="O21" s="91">
        <f t="shared" si="0"/>
        <v>112.99999997899999</v>
      </c>
      <c r="P21" s="91">
        <f t="shared" si="1"/>
        <v>25</v>
      </c>
    </row>
    <row r="22" spans="1:16">
      <c r="A22" s="91">
        <f t="shared" si="6"/>
        <v>18</v>
      </c>
      <c r="B22" s="91">
        <f t="shared" si="2"/>
        <v>38849</v>
      </c>
      <c r="C22" s="91" t="str">
        <f>IFERROR(INDEX(Starter!B:B,MATCH(B22,Starter!A:A,0)),"")</f>
        <v>Marker, Lena</v>
      </c>
      <c r="D22" s="91" t="str">
        <f>IFERROR(INDEX(Starter!C:C,MATCH(B22,Starter!A:A,0)),"")</f>
        <v>BSC Highroller Rosenheim</v>
      </c>
      <c r="E22" s="100">
        <f t="shared" si="3"/>
        <v>367</v>
      </c>
      <c r="F22" s="91">
        <f t="shared" si="4"/>
        <v>3</v>
      </c>
      <c r="G22" s="95">
        <f t="shared" si="5"/>
        <v>122.33333330833332</v>
      </c>
      <c r="L22" s="91">
        <f>INDEX(Starter!A:A,ROW()-1)</f>
        <v>38808</v>
      </c>
      <c r="M22" s="91">
        <f>SUMIF(Erfassung5!AU:AU,L22,Erfassung5!BJ:BJ)</f>
        <v>538</v>
      </c>
      <c r="N22" s="91">
        <f>SUMIF(Erfassung5!AU:AU,L22,Erfassung5!AX:AX)</f>
        <v>4</v>
      </c>
      <c r="O22" s="91">
        <f t="shared" si="0"/>
        <v>134.49999997800001</v>
      </c>
      <c r="P22" s="91">
        <f t="shared" si="1"/>
        <v>15</v>
      </c>
    </row>
    <row r="23" spans="1:16">
      <c r="A23" s="91">
        <f t="shared" si="6"/>
        <v>19</v>
      </c>
      <c r="B23" s="91">
        <f t="shared" si="2"/>
        <v>38772</v>
      </c>
      <c r="C23" s="91" t="str">
        <f>IFERROR(INDEX(Starter!B:B,MATCH(B23,Starter!A:A,0)),"")</f>
        <v>Sturm, Sebastian</v>
      </c>
      <c r="D23" s="91" t="str">
        <f>IFERROR(INDEX(Starter!C:C,MATCH(B23,Starter!A:A,0)),"")</f>
        <v>Absolut-Sports.com</v>
      </c>
      <c r="E23" s="100">
        <f t="shared" si="3"/>
        <v>611</v>
      </c>
      <c r="F23" s="91">
        <f t="shared" si="4"/>
        <v>5</v>
      </c>
      <c r="G23" s="95">
        <f t="shared" si="5"/>
        <v>122.19999998900001</v>
      </c>
      <c r="L23" s="91">
        <f>INDEX(Starter!A:A,ROW()-1)</f>
        <v>38810</v>
      </c>
      <c r="M23" s="91">
        <f>SUMIF(Erfassung5!AU:AU,L23,Erfassung5!BJ:BJ)</f>
        <v>447</v>
      </c>
      <c r="N23" s="91">
        <f>SUMIF(Erfassung5!AU:AU,L23,Erfassung5!AX:AX)</f>
        <v>4</v>
      </c>
      <c r="O23" s="91">
        <f t="shared" si="0"/>
        <v>111.749999977</v>
      </c>
      <c r="P23" s="91">
        <f t="shared" si="1"/>
        <v>26</v>
      </c>
    </row>
    <row r="24" spans="1:16">
      <c r="A24" s="91">
        <f t="shared" si="6"/>
        <v>20</v>
      </c>
      <c r="B24" s="91">
        <f t="shared" si="2"/>
        <v>38910</v>
      </c>
      <c r="C24" s="91" t="str">
        <f>IFERROR(INDEX(Starter!B:B,MATCH(B24,Starter!A:A,0)),"")</f>
        <v>Heiming, Thalea</v>
      </c>
      <c r="D24" s="91" t="str">
        <f>IFERROR(INDEX(Starter!C:C,MATCH(B24,Starter!A:A,0)),"")</f>
        <v>BC EMAX</v>
      </c>
      <c r="E24" s="100">
        <f t="shared" si="3"/>
        <v>486</v>
      </c>
      <c r="F24" s="91">
        <f t="shared" si="4"/>
        <v>4</v>
      </c>
      <c r="G24" s="95">
        <f t="shared" si="5"/>
        <v>121.49999999400001</v>
      </c>
      <c r="L24" s="91">
        <f>INDEX(Starter!A:A,ROW()-1)</f>
        <v>38848</v>
      </c>
      <c r="M24" s="91">
        <f>SUMIF(Erfassung5!AU:AU,L24,Erfassung5!BJ:BJ)</f>
        <v>453</v>
      </c>
      <c r="N24" s="91">
        <f>SUMIF(Erfassung5!AU:AU,L24,Erfassung5!AX:AX)</f>
        <v>4</v>
      </c>
      <c r="O24" s="91">
        <f t="shared" si="0"/>
        <v>113.249999976</v>
      </c>
      <c r="P24" s="91">
        <f t="shared" si="1"/>
        <v>23</v>
      </c>
    </row>
    <row r="25" spans="1:16">
      <c r="A25" s="91">
        <f t="shared" si="6"/>
        <v>21</v>
      </c>
      <c r="B25" s="91">
        <f t="shared" si="2"/>
        <v>38865</v>
      </c>
      <c r="C25" s="91" t="str">
        <f>IFERROR(INDEX(Starter!B:B,MATCH(B25,Starter!A:A,0)),"")</f>
        <v>Labs, Leon</v>
      </c>
      <c r="D25" s="91" t="str">
        <f>IFERROR(INDEX(Starter!C:C,MATCH(B25,Starter!A:A,0)),"")</f>
        <v>BC Berchtesgaden</v>
      </c>
      <c r="E25" s="100">
        <f t="shared" si="3"/>
        <v>486</v>
      </c>
      <c r="F25" s="91">
        <f t="shared" si="4"/>
        <v>4</v>
      </c>
      <c r="G25" s="95">
        <f t="shared" si="5"/>
        <v>121.499999972</v>
      </c>
      <c r="L25" s="91">
        <f>INDEX(Starter!A:A,ROW()-1)</f>
        <v>38849</v>
      </c>
      <c r="M25" s="91">
        <f>SUMIF(Erfassung5!AU:AU,L25,Erfassung5!BJ:BJ)</f>
        <v>367</v>
      </c>
      <c r="N25" s="91">
        <f>SUMIF(Erfassung5!AU:AU,L25,Erfassung5!AX:AX)</f>
        <v>3</v>
      </c>
      <c r="O25" s="91">
        <f t="shared" si="0"/>
        <v>122.33333330833332</v>
      </c>
      <c r="P25" s="91">
        <f t="shared" si="1"/>
        <v>18</v>
      </c>
    </row>
    <row r="26" spans="1:16">
      <c r="A26" s="91">
        <f t="shared" si="6"/>
        <v>22</v>
      </c>
      <c r="B26" s="91">
        <f t="shared" si="2"/>
        <v>38923</v>
      </c>
      <c r="C26" s="91" t="str">
        <f>IFERROR(INDEX(Starter!B:B,MATCH(B26,Starter!A:A,0)),"")</f>
        <v>Weinrich, Lena</v>
      </c>
      <c r="D26" s="91" t="str">
        <f>IFERROR(INDEX(Starter!C:C,MATCH(B26,Starter!A:A,0)),"")</f>
        <v>BSC Highroller Rosenheim</v>
      </c>
      <c r="E26" s="100">
        <f t="shared" si="3"/>
        <v>341</v>
      </c>
      <c r="F26" s="91">
        <f t="shared" si="4"/>
        <v>3</v>
      </c>
      <c r="G26" s="95">
        <f t="shared" si="5"/>
        <v>113.66666664866668</v>
      </c>
      <c r="L26" s="91">
        <f>INDEX(Starter!A:A,ROW()-1)</f>
        <v>38925</v>
      </c>
      <c r="M26" s="91">
        <f>SUMIF(Erfassung5!AU:AU,L26,Erfassung5!BJ:BJ)</f>
        <v>0</v>
      </c>
      <c r="N26" s="91">
        <f>SUMIF(Erfassung5!AU:AU,L26,Erfassung5!AX:AX)</f>
        <v>0</v>
      </c>
      <c r="O26" s="91">
        <f t="shared" si="0"/>
        <v>0</v>
      </c>
      <c r="P26" s="91">
        <f t="shared" si="1"/>
        <v>31</v>
      </c>
    </row>
    <row r="27" spans="1:16">
      <c r="A27" s="91">
        <f t="shared" si="6"/>
        <v>23</v>
      </c>
      <c r="B27" s="91">
        <f t="shared" si="2"/>
        <v>38848</v>
      </c>
      <c r="C27" s="91" t="str">
        <f>IFERROR(INDEX(Starter!B:B,MATCH(B27,Starter!A:A,0)),"")</f>
        <v>Marker, Anna</v>
      </c>
      <c r="D27" s="91" t="str">
        <f>IFERROR(INDEX(Starter!C:C,MATCH(B27,Starter!A:A,0)),"")</f>
        <v>BSC Highroller Rosenheim</v>
      </c>
      <c r="E27" s="100">
        <f t="shared" si="3"/>
        <v>453</v>
      </c>
      <c r="F27" s="91">
        <f t="shared" si="4"/>
        <v>4</v>
      </c>
      <c r="G27" s="95">
        <f t="shared" si="5"/>
        <v>113.249999976</v>
      </c>
      <c r="L27" s="91">
        <f>INDEX(Starter!A:A,ROW()-1)</f>
        <v>38924</v>
      </c>
      <c r="M27" s="91">
        <f>SUMIF(Erfassung5!AU:AU,L27,Erfassung5!BJ:BJ)</f>
        <v>0</v>
      </c>
      <c r="N27" s="91">
        <f>SUMIF(Erfassung5!AU:AU,L27,Erfassung5!AX:AX)</f>
        <v>0</v>
      </c>
      <c r="O27" s="91">
        <f t="shared" si="0"/>
        <v>0</v>
      </c>
      <c r="P27" s="91">
        <f t="shared" si="1"/>
        <v>31</v>
      </c>
    </row>
    <row r="28" spans="1:16">
      <c r="A28" s="91">
        <f t="shared" si="6"/>
        <v>24</v>
      </c>
      <c r="B28" s="91">
        <f t="shared" si="2"/>
        <v>38920</v>
      </c>
      <c r="C28" s="91" t="str">
        <f>IFERROR(INDEX(Starter!B:B,MATCH(B28,Starter!A:A,0)),"")</f>
        <v>Schwarzfischer, Leon</v>
      </c>
      <c r="D28" s="91" t="str">
        <f>IFERROR(INDEX(Starter!C:C,MATCH(B28,Starter!A:A,0)),"")</f>
        <v>BSC Highroller Rosenheim</v>
      </c>
      <c r="E28" s="100">
        <f t="shared" si="3"/>
        <v>339</v>
      </c>
      <c r="F28" s="91">
        <f t="shared" si="4"/>
        <v>3</v>
      </c>
      <c r="G28" s="95">
        <f t="shared" si="5"/>
        <v>112.999999981</v>
      </c>
      <c r="L28" s="91">
        <f>INDEX(Starter!A:A,ROW()-1)</f>
        <v>38865</v>
      </c>
      <c r="M28" s="91">
        <f>SUMIF(Erfassung5!AU:AU,L28,Erfassung5!BJ:BJ)</f>
        <v>486</v>
      </c>
      <c r="N28" s="91">
        <f>SUMIF(Erfassung5!AU:AU,L28,Erfassung5!AX:AX)</f>
        <v>4</v>
      </c>
      <c r="O28" s="91">
        <f t="shared" si="0"/>
        <v>121.499999972</v>
      </c>
      <c r="P28" s="91">
        <f t="shared" si="1"/>
        <v>21</v>
      </c>
    </row>
    <row r="29" spans="1:16">
      <c r="A29" s="91">
        <f t="shared" si="6"/>
        <v>25</v>
      </c>
      <c r="B29" s="91">
        <f t="shared" si="2"/>
        <v>38922</v>
      </c>
      <c r="C29" s="91" t="str">
        <f>IFERROR(INDEX(Starter!B:B,MATCH(B29,Starter!A:A,0)),"")</f>
        <v>Schimanski, Theodor</v>
      </c>
      <c r="D29" s="91" t="str">
        <f>IFERROR(INDEX(Starter!C:C,MATCH(B29,Starter!A:A,0)),"")</f>
        <v>BSC Highroller Rosenheim</v>
      </c>
      <c r="E29" s="100">
        <f t="shared" si="3"/>
        <v>339</v>
      </c>
      <c r="F29" s="91">
        <f t="shared" si="4"/>
        <v>3</v>
      </c>
      <c r="G29" s="95">
        <f t="shared" si="5"/>
        <v>112.99999997899999</v>
      </c>
      <c r="L29" s="91">
        <f>INDEX(Starter!A:A,ROW()-1)</f>
        <v>38714</v>
      </c>
      <c r="M29" s="91">
        <f>SUMIF(Erfassung5!AU:AU,L29,Erfassung5!BJ:BJ)</f>
        <v>670</v>
      </c>
      <c r="N29" s="91">
        <f>SUMIF(Erfassung5!AU:AU,L29,Erfassung5!AX:AX)</f>
        <v>4</v>
      </c>
      <c r="O29" s="91">
        <f t="shared" si="0"/>
        <v>167.49999997099999</v>
      </c>
      <c r="P29" s="91">
        <f t="shared" si="1"/>
        <v>5</v>
      </c>
    </row>
    <row r="30" spans="1:16">
      <c r="A30" s="91">
        <f t="shared" si="6"/>
        <v>26</v>
      </c>
      <c r="B30" s="91">
        <f t="shared" si="2"/>
        <v>38810</v>
      </c>
      <c r="C30" s="91" t="str">
        <f>IFERROR(INDEX(Starter!B:B,MATCH(B30,Starter!A:A,0)),"")</f>
        <v>Vokshi, Finn</v>
      </c>
      <c r="D30" s="91" t="str">
        <f>IFERROR(INDEX(Starter!C:C,MATCH(B30,Starter!A:A,0)),"")</f>
        <v>BSC Highroller Rosenheim</v>
      </c>
      <c r="E30" s="100">
        <f t="shared" si="3"/>
        <v>447</v>
      </c>
      <c r="F30" s="91">
        <f t="shared" si="4"/>
        <v>4</v>
      </c>
      <c r="G30" s="95">
        <f t="shared" si="5"/>
        <v>111.749999977</v>
      </c>
      <c r="L30" s="91">
        <f>INDEX(Starter!A:A,ROW()-1)</f>
        <v>38819</v>
      </c>
      <c r="M30" s="91">
        <f>SUMIF(Erfassung5!AU:AU,L30,Erfassung5!BJ:BJ)</f>
        <v>539</v>
      </c>
      <c r="N30" s="91">
        <f>SUMIF(Erfassung5!AU:AU,L30,Erfassung5!AX:AX)</f>
        <v>4</v>
      </c>
      <c r="O30" s="91">
        <f t="shared" si="0"/>
        <v>134.74999997</v>
      </c>
      <c r="P30" s="91">
        <f t="shared" si="1"/>
        <v>13</v>
      </c>
    </row>
    <row r="31" spans="1:16">
      <c r="A31" s="91">
        <f t="shared" si="6"/>
        <v>27</v>
      </c>
      <c r="B31" s="91">
        <f t="shared" si="2"/>
        <v>38927</v>
      </c>
      <c r="C31" s="91" t="str">
        <f>IFERROR(INDEX(Starter!B:B,MATCH(B31,Starter!A:A,0)),"")</f>
        <v>Bonnaire, Ben</v>
      </c>
      <c r="D31" s="91" t="str">
        <f>IFERROR(INDEX(Starter!C:C,MATCH(B31,Starter!A:A,0)),"")</f>
        <v>Bowling Jugend Bayern</v>
      </c>
      <c r="E31" s="100">
        <f t="shared" si="3"/>
        <v>318</v>
      </c>
      <c r="F31" s="91">
        <f t="shared" si="4"/>
        <v>3</v>
      </c>
      <c r="G31" s="95">
        <f t="shared" si="5"/>
        <v>105.99999996299999</v>
      </c>
      <c r="L31" s="91">
        <f>INDEX(Starter!A:A,ROW()-1)</f>
        <v>38817</v>
      </c>
      <c r="M31" s="91">
        <f>SUMIF(Erfassung5!AU:AU,L31,Erfassung5!BJ:BJ)</f>
        <v>0</v>
      </c>
      <c r="N31" s="91">
        <f>SUMIF(Erfassung5!AU:AU,L31,Erfassung5!AX:AX)</f>
        <v>0</v>
      </c>
      <c r="O31" s="91">
        <f t="shared" si="0"/>
        <v>0</v>
      </c>
      <c r="P31" s="91">
        <f t="shared" si="1"/>
        <v>31</v>
      </c>
    </row>
    <row r="32" spans="1:16">
      <c r="A32" s="91">
        <f t="shared" si="6"/>
        <v>28</v>
      </c>
      <c r="B32" s="91">
        <f t="shared" si="2"/>
        <v>38890</v>
      </c>
      <c r="C32" s="91" t="str">
        <f>IFERROR(INDEX(Starter!B:B,MATCH(B32,Starter!A:A,0)),"")</f>
        <v>Hofer, Anja</v>
      </c>
      <c r="D32" s="91" t="str">
        <f>IFERROR(INDEX(Starter!C:C,MATCH(B32,Starter!A:A,0)),"")</f>
        <v>BC EMAX</v>
      </c>
      <c r="E32" s="100">
        <f t="shared" si="3"/>
        <v>308</v>
      </c>
      <c r="F32" s="91">
        <f t="shared" si="4"/>
        <v>3</v>
      </c>
      <c r="G32" s="95">
        <f t="shared" si="5"/>
        <v>102.66666666466668</v>
      </c>
      <c r="L32" s="91">
        <f>INDEX(Starter!A:A,ROW()-1)</f>
        <v>38905</v>
      </c>
      <c r="M32" s="91">
        <f>SUMIF(Erfassung5!AU:AU,L32,Erfassung5!BJ:BJ)</f>
        <v>0</v>
      </c>
      <c r="N32" s="91">
        <f>SUMIF(Erfassung5!AU:AU,L32,Erfassung5!AX:AX)</f>
        <v>0</v>
      </c>
      <c r="O32" s="91">
        <f t="shared" si="0"/>
        <v>0</v>
      </c>
      <c r="P32" s="91">
        <f t="shared" si="1"/>
        <v>31</v>
      </c>
    </row>
    <row r="33" spans="1:16">
      <c r="A33" s="91">
        <f t="shared" si="6"/>
        <v>29</v>
      </c>
      <c r="B33" s="91">
        <f t="shared" si="2"/>
        <v>38893</v>
      </c>
      <c r="C33" s="91" t="str">
        <f>IFERROR(INDEX(Starter!B:B,MATCH(B33,Starter!A:A,0)),"")</f>
        <v>Rothemund, Louis</v>
      </c>
      <c r="D33" s="91" t="str">
        <f>IFERROR(INDEX(Starter!C:C,MATCH(B33,Starter!A:A,0)),"")</f>
        <v>Absolut-Sports.com</v>
      </c>
      <c r="E33" s="100">
        <f t="shared" si="3"/>
        <v>472</v>
      </c>
      <c r="F33" s="91">
        <f t="shared" si="4"/>
        <v>5</v>
      </c>
      <c r="G33" s="95">
        <f t="shared" si="5"/>
        <v>94.399999988000005</v>
      </c>
      <c r="L33" s="91">
        <f>INDEX(Starter!A:A,ROW()-1)</f>
        <v>38937</v>
      </c>
      <c r="M33" s="91">
        <f>SUMIF(Erfassung5!AU:AU,L33,Erfassung5!BJ:BJ)</f>
        <v>379</v>
      </c>
      <c r="N33" s="91">
        <f>SUMIF(Erfassung5!AU:AU,L33,Erfassung5!AX:AX)</f>
        <v>3</v>
      </c>
      <c r="O33" s="91">
        <f t="shared" si="0"/>
        <v>126.33333330033332</v>
      </c>
      <c r="P33" s="91">
        <f t="shared" si="1"/>
        <v>17</v>
      </c>
    </row>
    <row r="34" spans="1:16">
      <c r="A34" s="91">
        <f t="shared" si="6"/>
        <v>30</v>
      </c>
      <c r="B34" s="91">
        <f t="shared" si="2"/>
        <v>38921</v>
      </c>
      <c r="C34" s="91" t="str">
        <f>IFERROR(INDEX(Starter!B:B,MATCH(B34,Starter!A:A,0)),"")</f>
        <v>Schimanski, Johanna</v>
      </c>
      <c r="D34" s="91" t="str">
        <f>IFERROR(INDEX(Starter!C:C,MATCH(B34,Starter!A:A,0)),"")</f>
        <v>BSC Highroller Rosenheim</v>
      </c>
      <c r="E34" s="100">
        <f t="shared" si="3"/>
        <v>259</v>
      </c>
      <c r="F34" s="91">
        <f t="shared" si="4"/>
        <v>3</v>
      </c>
      <c r="G34" s="95">
        <f t="shared" si="5"/>
        <v>86.333333313333327</v>
      </c>
      <c r="L34" s="91">
        <f>INDEX(Starter!A:A,ROW()-1)</f>
        <v>38655</v>
      </c>
      <c r="M34" s="91">
        <f>SUMIF(Erfassung5!AU:AU,L34,Erfassung5!BJ:BJ)</f>
        <v>0</v>
      </c>
      <c r="N34" s="91">
        <f>SUMIF(Erfassung5!AU:AU,L34,Erfassung5!AX:AX)</f>
        <v>0</v>
      </c>
      <c r="O34" s="91">
        <f t="shared" si="0"/>
        <v>0</v>
      </c>
      <c r="P34" s="91">
        <f t="shared" si="1"/>
        <v>31</v>
      </c>
    </row>
    <row r="35" spans="1:16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SUMIF(Erfassung5!AU:AU,L35,Erfassung5!BJ:BJ)</f>
        <v>1061</v>
      </c>
      <c r="N35" s="91">
        <f>SUMIF(Erfassung5!AU:AU,L35,Erfassung5!AX:AX)</f>
        <v>5</v>
      </c>
      <c r="O35" s="91">
        <f t="shared" si="0"/>
        <v>212.19999996499999</v>
      </c>
      <c r="P35" s="91">
        <f t="shared" si="1"/>
        <v>1</v>
      </c>
    </row>
    <row r="36" spans="1:16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SUMIF(Erfassung5!AU:AU,L36,Erfassung5!BJ:BJ)</f>
        <v>1054</v>
      </c>
      <c r="N36" s="91">
        <f>SUMIF(Erfassung5!AU:AU,L36,Erfassung5!AX:AX)</f>
        <v>5</v>
      </c>
      <c r="O36" s="91">
        <f t="shared" si="0"/>
        <v>210.79999996400002</v>
      </c>
      <c r="P36" s="91">
        <f t="shared" si="1"/>
        <v>2</v>
      </c>
    </row>
    <row r="37" spans="1:16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SUMIF(Erfassung5!AU:AU,L37,Erfassung5!BJ:BJ)</f>
        <v>318</v>
      </c>
      <c r="N37" s="91">
        <f>SUMIF(Erfassung5!AU:AU,L37,Erfassung5!AX:AX)</f>
        <v>3</v>
      </c>
      <c r="O37" s="91">
        <f t="shared" si="0"/>
        <v>105.99999996299999</v>
      </c>
      <c r="P37" s="91">
        <f t="shared" si="1"/>
        <v>27</v>
      </c>
    </row>
    <row r="38" spans="1:16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SUMIF(Erfassung5!AU:AU,L38,Erfassung5!BJ:BJ)</f>
        <v>0</v>
      </c>
      <c r="N38" s="91">
        <f>SUMIF(Erfassung5!AU:AU,L38,Erfassung5!AX:AX)</f>
        <v>0</v>
      </c>
      <c r="O38" s="91">
        <f t="shared" si="0"/>
        <v>0</v>
      </c>
      <c r="P38" s="91">
        <f t="shared" si="1"/>
        <v>31</v>
      </c>
    </row>
    <row r="39" spans="1:16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SUMIF(Erfassung5!AU:AU,L39,Erfassung5!BJ:BJ)</f>
        <v>717</v>
      </c>
      <c r="N39" s="91">
        <f>SUMIF(Erfassung5!AU:AU,L39,Erfassung5!AX:AX)</f>
        <v>5</v>
      </c>
      <c r="O39" s="91">
        <f t="shared" si="0"/>
        <v>143.39999996099999</v>
      </c>
      <c r="P39" s="91">
        <f t="shared" si="1"/>
        <v>11</v>
      </c>
    </row>
    <row r="40" spans="1:16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SUMIF(Erfassung5!AU:AU,L40,Erfassung5!BJ:BJ)</f>
        <v>0</v>
      </c>
      <c r="N40" s="91">
        <f>SUMIF(Erfassung5!AU:AU,L40,Erfassung5!AX:AX)</f>
        <v>0</v>
      </c>
      <c r="O40" s="91">
        <f t="shared" si="0"/>
        <v>0</v>
      </c>
      <c r="P40" s="91">
        <f t="shared" si="1"/>
        <v>31</v>
      </c>
    </row>
    <row r="41" spans="1:16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SUMIF(Erfassung5!AU:AU,L41,Erfassung5!BJ:BJ)</f>
        <v>0</v>
      </c>
      <c r="N41" s="91">
        <f>SUMIF(Erfassung5!AU:AU,L41,Erfassung5!AX:AX)</f>
        <v>0</v>
      </c>
      <c r="O41" s="91">
        <f t="shared" si="0"/>
        <v>0</v>
      </c>
      <c r="P41" s="91">
        <f t="shared" si="1"/>
        <v>31</v>
      </c>
    </row>
    <row r="42" spans="1:16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SUMIF(Erfassung5!AU:AU,L42,Erfassung5!BJ:BJ)</f>
        <v>539</v>
      </c>
      <c r="N42" s="91">
        <f>SUMIF(Erfassung5!AU:AU,L42,Erfassung5!AX:AX)</f>
        <v>4</v>
      </c>
      <c r="O42" s="91">
        <f t="shared" si="0"/>
        <v>134.74999995799999</v>
      </c>
      <c r="P42" s="91">
        <f t="shared" si="1"/>
        <v>14</v>
      </c>
    </row>
    <row r="43" spans="1:16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SUMIF(Erfassung5!AU:AU,L43,Erfassung5!BJ:BJ)</f>
        <v>0</v>
      </c>
      <c r="N43" s="91">
        <f>SUMIF(Erfassung5!AU:AU,L43,Erfassung5!AX:AX)</f>
        <v>0</v>
      </c>
      <c r="O43" s="91">
        <f t="shared" si="0"/>
        <v>0</v>
      </c>
      <c r="P43" s="91">
        <f t="shared" si="1"/>
        <v>31</v>
      </c>
    </row>
    <row r="44" spans="1:16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SUMIF(Erfassung5!AU:AU,L44,Erfassung5!BJ:BJ)</f>
        <v>447</v>
      </c>
      <c r="N44" s="91">
        <f>SUMIF(Erfassung5!AU:AU,L44,Erfassung5!AX:AX)</f>
        <v>3</v>
      </c>
      <c r="O44" s="91">
        <f t="shared" si="0"/>
        <v>148.99999995600001</v>
      </c>
      <c r="P44" s="91">
        <f t="shared" si="1"/>
        <v>9</v>
      </c>
    </row>
    <row r="45" spans="1:16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SUMIF(Erfassung5!AU:AU,L45,Erfassung5!BJ:BJ)</f>
        <v>933</v>
      </c>
      <c r="N45" s="91">
        <f>SUMIF(Erfassung5!AU:AU,L45,Erfassung5!AX:AX)</f>
        <v>5</v>
      </c>
      <c r="O45" s="91">
        <f t="shared" si="0"/>
        <v>186.59999995499999</v>
      </c>
      <c r="P45" s="91">
        <f t="shared" si="1"/>
        <v>3</v>
      </c>
    </row>
    <row r="46" spans="1:16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SUMIF(Erfassung5!AU:AU,L46,Erfassung5!BJ:BJ)</f>
        <v>0</v>
      </c>
      <c r="N46" s="91">
        <f>SUMIF(Erfassung5!AU:AU,L46,Erfassung5!AX:AX)</f>
        <v>0</v>
      </c>
      <c r="O46" s="91">
        <f t="shared" si="0"/>
        <v>0</v>
      </c>
      <c r="P46" s="91">
        <f t="shared" si="1"/>
        <v>31</v>
      </c>
    </row>
    <row r="47" spans="1:16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SUMIF(Erfassung5!AU:AU,L47,Erfassung5!BJ:BJ)</f>
        <v>0</v>
      </c>
      <c r="N47" s="91">
        <f>SUMIF(Erfassung5!AU:AU,L47,Erfassung5!AX:AX)</f>
        <v>0</v>
      </c>
      <c r="O47" s="91">
        <f t="shared" si="0"/>
        <v>0</v>
      </c>
      <c r="P47" s="91">
        <f t="shared" si="1"/>
        <v>31</v>
      </c>
    </row>
    <row r="48" spans="1:16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SUMIF(Erfassung5!AU:AU,L48,Erfassung5!BJ:BJ)</f>
        <v>0</v>
      </c>
      <c r="N48" s="91">
        <f>SUMIF(Erfassung5!AU:AU,L48,Erfassung5!AX:AX)</f>
        <v>0</v>
      </c>
      <c r="O48" s="91">
        <f t="shared" si="0"/>
        <v>0</v>
      </c>
      <c r="P48" s="91">
        <f t="shared" si="1"/>
        <v>31</v>
      </c>
    </row>
    <row r="49" spans="1:16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SUMIF(Erfassung5!AU:AU,L49,Erfassung5!BJ:BJ)</f>
        <v>0</v>
      </c>
      <c r="N49" s="91">
        <f>SUMIF(Erfassung5!AU:AU,L49,Erfassung5!AX:AX)</f>
        <v>0</v>
      </c>
      <c r="O49" s="91">
        <f t="shared" si="0"/>
        <v>0</v>
      </c>
      <c r="P49" s="91">
        <f t="shared" si="1"/>
        <v>31</v>
      </c>
    </row>
    <row r="50" spans="1:16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SUMIF(Erfassung5!AU:AU,L50,Erfassung5!BJ:BJ)</f>
        <v>0</v>
      </c>
      <c r="N50" s="91">
        <f>SUMIF(Erfassung5!AU:AU,L50,Erfassung5!AX:AX)</f>
        <v>0</v>
      </c>
      <c r="O50" s="91">
        <f t="shared" si="0"/>
        <v>0</v>
      </c>
      <c r="P50" s="91">
        <f t="shared" si="1"/>
        <v>31</v>
      </c>
    </row>
    <row r="51" spans="1:16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SUMIF(Erfassung5!AU:AU,L51,Erfassung5!BJ:BJ)</f>
        <v>0</v>
      </c>
      <c r="N51" s="91">
        <f>SUMIF(Erfassung5!AU:AU,L51,Erfassung5!AX:AX)</f>
        <v>0</v>
      </c>
      <c r="O51" s="91">
        <f t="shared" si="0"/>
        <v>0</v>
      </c>
      <c r="P51" s="91">
        <f t="shared" si="1"/>
        <v>31</v>
      </c>
    </row>
    <row r="52" spans="1:16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SUMIF(Erfassung5!AU:AU,L52,Erfassung5!BJ:BJ)</f>
        <v>0</v>
      </c>
      <c r="N52" s="91">
        <f>SUMIF(Erfassung5!AU:AU,L52,Erfassung5!AX:AX)</f>
        <v>0</v>
      </c>
      <c r="O52" s="91">
        <f t="shared" si="0"/>
        <v>0</v>
      </c>
      <c r="P52" s="91">
        <f t="shared" si="1"/>
        <v>31</v>
      </c>
    </row>
    <row r="53" spans="1:16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SUMIF(Erfassung5!AU:AU,L53,Erfassung5!BJ:BJ)</f>
        <v>0</v>
      </c>
      <c r="N53" s="91">
        <f>SUMIF(Erfassung5!AU:AU,L53,Erfassung5!AX:AX)</f>
        <v>0</v>
      </c>
      <c r="O53" s="91">
        <f t="shared" si="0"/>
        <v>0</v>
      </c>
      <c r="P53" s="91">
        <f t="shared" si="1"/>
        <v>31</v>
      </c>
    </row>
    <row r="54" spans="1:16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SUMIF(Erfassung5!AU:AU,L54,Erfassung5!BJ:BJ)</f>
        <v>0</v>
      </c>
      <c r="N54" s="91">
        <f>SUMIF(Erfassung5!AU:AU,L54,Erfassung5!AX:AX)</f>
        <v>0</v>
      </c>
      <c r="O54" s="91">
        <f t="shared" si="0"/>
        <v>0</v>
      </c>
      <c r="P54" s="91">
        <f t="shared" si="1"/>
        <v>31</v>
      </c>
    </row>
    <row r="55" spans="1:16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SUMIF(Erfassung5!AU:AU,L55,Erfassung5!BJ:BJ)</f>
        <v>0</v>
      </c>
      <c r="N55" s="91">
        <f>SUMIF(Erfassung5!AU:AU,L55,Erfassung5!AX:AX)</f>
        <v>0</v>
      </c>
      <c r="O55" s="91">
        <f t="shared" si="0"/>
        <v>0</v>
      </c>
      <c r="P55" s="91">
        <f t="shared" si="1"/>
        <v>31</v>
      </c>
    </row>
    <row r="56" spans="1:16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SUMIF(Erfassung5!AU:AU,L56,Erfassung5!BJ:BJ)</f>
        <v>0</v>
      </c>
      <c r="N56" s="91">
        <f>SUMIF(Erfassung5!AU:AU,L56,Erfassung5!AX:AX)</f>
        <v>0</v>
      </c>
      <c r="O56" s="91">
        <f t="shared" si="0"/>
        <v>0</v>
      </c>
      <c r="P56" s="91">
        <f t="shared" si="1"/>
        <v>31</v>
      </c>
    </row>
    <row r="57" spans="1:16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SUMIF(Erfassung5!AU:AU,L57,Erfassung5!BJ:BJ)</f>
        <v>0</v>
      </c>
      <c r="N57" s="91">
        <f>SUMIF(Erfassung5!AU:AU,L57,Erfassung5!AX:AX)</f>
        <v>0</v>
      </c>
      <c r="O57" s="91">
        <f t="shared" si="0"/>
        <v>0</v>
      </c>
      <c r="P57" s="91">
        <f t="shared" si="1"/>
        <v>31</v>
      </c>
    </row>
    <row r="58" spans="1:16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SUMIF(Erfassung5!AU:AU,L58,Erfassung5!BJ:BJ)</f>
        <v>0</v>
      </c>
      <c r="N58" s="91">
        <f>SUMIF(Erfassung5!AU:AU,L58,Erfassung5!AX:AX)</f>
        <v>0</v>
      </c>
      <c r="O58" s="91">
        <f t="shared" si="0"/>
        <v>0</v>
      </c>
      <c r="P58" s="91">
        <f t="shared" si="1"/>
        <v>31</v>
      </c>
    </row>
    <row r="59" spans="1:16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SUMIF(Erfassung5!AU:AU,L59,Erfassung5!BJ:BJ)</f>
        <v>0</v>
      </c>
      <c r="N59" s="91">
        <f>SUMIF(Erfassung5!AU:AU,L59,Erfassung5!AX:AX)</f>
        <v>0</v>
      </c>
      <c r="O59" s="91">
        <f t="shared" si="0"/>
        <v>0</v>
      </c>
      <c r="P59" s="91">
        <f t="shared" si="1"/>
        <v>31</v>
      </c>
    </row>
    <row r="60" spans="1:16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SUMIF(Erfassung5!AU:AU,L60,Erfassung5!BJ:BJ)</f>
        <v>0</v>
      </c>
      <c r="N60" s="91">
        <f>SUMIF(Erfassung5!AU:AU,L60,Erfassung5!AX:AX)</f>
        <v>0</v>
      </c>
      <c r="O60" s="91">
        <f t="shared" si="0"/>
        <v>0</v>
      </c>
      <c r="P60" s="91">
        <f t="shared" si="1"/>
        <v>31</v>
      </c>
    </row>
    <row r="61" spans="1:16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SUMIF(Erfassung5!AU:AU,L61,Erfassung5!BJ:BJ)</f>
        <v>0</v>
      </c>
      <c r="N61" s="91">
        <f>SUMIF(Erfassung5!AU:AU,L61,Erfassung5!AX:AX)</f>
        <v>0</v>
      </c>
      <c r="O61" s="91">
        <f t="shared" si="0"/>
        <v>0</v>
      </c>
      <c r="P61" s="91">
        <f t="shared" si="1"/>
        <v>31</v>
      </c>
    </row>
    <row r="62" spans="1:16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SUMIF(Erfassung5!AU:AU,L62,Erfassung5!BJ:BJ)</f>
        <v>0</v>
      </c>
      <c r="N62" s="91">
        <f>SUMIF(Erfassung5!AU:AU,L62,Erfassung5!AX:AX)</f>
        <v>0</v>
      </c>
      <c r="O62" s="91">
        <f t="shared" si="0"/>
        <v>0</v>
      </c>
      <c r="P62" s="91">
        <f t="shared" si="1"/>
        <v>31</v>
      </c>
    </row>
    <row r="63" spans="1:16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SUMIF(Erfassung5!AU:AU,L63,Erfassung5!BJ:BJ)</f>
        <v>0</v>
      </c>
      <c r="N63" s="91">
        <f>SUMIF(Erfassung5!AU:AU,L63,Erfassung5!AX:AX)</f>
        <v>0</v>
      </c>
      <c r="O63" s="91">
        <f t="shared" si="0"/>
        <v>0</v>
      </c>
      <c r="P63" s="91">
        <f t="shared" si="1"/>
        <v>31</v>
      </c>
    </row>
    <row r="64" spans="1:16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SUMIF(Erfassung5!AU:AU,L64,Erfassung5!BJ:BJ)</f>
        <v>0</v>
      </c>
      <c r="N64" s="91">
        <f>SUMIF(Erfassung5!AU:AU,L64,Erfassung5!AX:AX)</f>
        <v>0</v>
      </c>
      <c r="O64" s="91">
        <f t="shared" si="0"/>
        <v>0</v>
      </c>
      <c r="P64" s="91">
        <f t="shared" si="1"/>
        <v>31</v>
      </c>
    </row>
    <row r="65" spans="1:16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SUMIF(Erfassung5!AU:AU,L65,Erfassung5!BJ:BJ)</f>
        <v>0</v>
      </c>
      <c r="N65" s="91">
        <f>SUMIF(Erfassung5!AU:AU,L65,Erfassung5!AX:AX)</f>
        <v>0</v>
      </c>
      <c r="O65" s="91">
        <f t="shared" si="0"/>
        <v>0</v>
      </c>
      <c r="P65" s="91">
        <f t="shared" si="1"/>
        <v>31</v>
      </c>
    </row>
    <row r="66" spans="1:16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SUMIF(Erfassung5!AU:AU,L66,Erfassung5!BJ:BJ)</f>
        <v>0</v>
      </c>
      <c r="N66" s="91">
        <f>SUMIF(Erfassung5!AU:AU,L66,Erfassung5!AX:AX)</f>
        <v>0</v>
      </c>
      <c r="O66" s="91">
        <f t="shared" ref="O66:O104" si="7">IF(N66=0,0,M66/N66-ROW()/1000000000)</f>
        <v>0</v>
      </c>
      <c r="P66" s="91">
        <f t="shared" ref="P66:P104" si="8">RANK(O66,O:O)</f>
        <v>31</v>
      </c>
    </row>
    <row r="67" spans="1:16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SUMIF(Erfassung5!AU:AU,L67,Erfassung5!BJ:BJ)</f>
        <v>0</v>
      </c>
      <c r="N67" s="91">
        <f>SUMIF(Erfassung5!AU:AU,L67,Erfassung5!AX:AX)</f>
        <v>0</v>
      </c>
      <c r="O67" s="91">
        <f t="shared" si="7"/>
        <v>0</v>
      </c>
      <c r="P67" s="91">
        <f t="shared" si="8"/>
        <v>31</v>
      </c>
    </row>
    <row r="68" spans="1:16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SUMIF(Erfassung5!AU:AU,L68,Erfassung5!BJ:BJ)</f>
        <v>0</v>
      </c>
      <c r="N68" s="91">
        <f>SUMIF(Erfassung5!AU:AU,L68,Erfassung5!AX:AX)</f>
        <v>0</v>
      </c>
      <c r="O68" s="91">
        <f t="shared" si="7"/>
        <v>0</v>
      </c>
      <c r="P68" s="91">
        <f t="shared" si="8"/>
        <v>31</v>
      </c>
    </row>
    <row r="69" spans="1:16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SUMIF(Erfassung5!AU:AU,L69,Erfassung5!BJ:BJ)</f>
        <v>0</v>
      </c>
      <c r="N69" s="91">
        <f>SUMIF(Erfassung5!AU:AU,L69,Erfassung5!AX:AX)</f>
        <v>0</v>
      </c>
      <c r="O69" s="91">
        <f t="shared" si="7"/>
        <v>0</v>
      </c>
      <c r="P69" s="91">
        <f t="shared" si="8"/>
        <v>31</v>
      </c>
    </row>
    <row r="70" spans="1:16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SUMIF(Erfassung5!AU:AU,L70,Erfassung5!BJ:BJ)</f>
        <v>0</v>
      </c>
      <c r="N70" s="91">
        <f>SUMIF(Erfassung5!AU:AU,L70,Erfassung5!AX:AX)</f>
        <v>0</v>
      </c>
      <c r="O70" s="91">
        <f t="shared" si="7"/>
        <v>0</v>
      </c>
      <c r="P70" s="91">
        <f t="shared" si="8"/>
        <v>31</v>
      </c>
    </row>
    <row r="71" spans="1:16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SUMIF(Erfassung5!AU:AU,L71,Erfassung5!BJ:BJ)</f>
        <v>0</v>
      </c>
      <c r="N71" s="91">
        <f>SUMIF(Erfassung5!AU:AU,L71,Erfassung5!AX:AX)</f>
        <v>0</v>
      </c>
      <c r="O71" s="91">
        <f t="shared" si="7"/>
        <v>0</v>
      </c>
      <c r="P71" s="91">
        <f t="shared" si="8"/>
        <v>31</v>
      </c>
    </row>
    <row r="72" spans="1:16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SUMIF(Erfassung5!AU:AU,L72,Erfassung5!BJ:BJ)</f>
        <v>0</v>
      </c>
      <c r="N72" s="91">
        <f>SUMIF(Erfassung5!AU:AU,L72,Erfassung5!AX:AX)</f>
        <v>0</v>
      </c>
      <c r="O72" s="91">
        <f t="shared" si="7"/>
        <v>0</v>
      </c>
      <c r="P72" s="91">
        <f t="shared" si="8"/>
        <v>31</v>
      </c>
    </row>
    <row r="73" spans="1:16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SUMIF(Erfassung5!AU:AU,L73,Erfassung5!BJ:BJ)</f>
        <v>0</v>
      </c>
      <c r="N73" s="91">
        <f>SUMIF(Erfassung5!AU:AU,L73,Erfassung5!AX:AX)</f>
        <v>0</v>
      </c>
      <c r="O73" s="91">
        <f t="shared" si="7"/>
        <v>0</v>
      </c>
      <c r="P73" s="91">
        <f t="shared" si="8"/>
        <v>31</v>
      </c>
    </row>
    <row r="74" spans="1:16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SUMIF(Erfassung5!AU:AU,L74,Erfassung5!BJ:BJ)</f>
        <v>0</v>
      </c>
      <c r="N74" s="91">
        <f>SUMIF(Erfassung5!AU:AU,L74,Erfassung5!AX:AX)</f>
        <v>0</v>
      </c>
      <c r="O74" s="91">
        <f t="shared" si="7"/>
        <v>0</v>
      </c>
      <c r="P74" s="91">
        <f t="shared" si="8"/>
        <v>31</v>
      </c>
    </row>
    <row r="75" spans="1:16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SUMIF(Erfassung5!AU:AU,L75,Erfassung5!BJ:BJ)</f>
        <v>0</v>
      </c>
      <c r="N75" s="91">
        <f>SUMIF(Erfassung5!AU:AU,L75,Erfassung5!AX:AX)</f>
        <v>0</v>
      </c>
      <c r="O75" s="91">
        <f t="shared" si="7"/>
        <v>0</v>
      </c>
      <c r="P75" s="91">
        <f t="shared" si="8"/>
        <v>31</v>
      </c>
    </row>
    <row r="76" spans="1:16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SUMIF(Erfassung5!AU:AU,L76,Erfassung5!BJ:BJ)</f>
        <v>0</v>
      </c>
      <c r="N76" s="91">
        <f>SUMIF(Erfassung5!AU:AU,L76,Erfassung5!AX:AX)</f>
        <v>0</v>
      </c>
      <c r="O76" s="91">
        <f t="shared" si="7"/>
        <v>0</v>
      </c>
      <c r="P76" s="91">
        <f t="shared" si="8"/>
        <v>31</v>
      </c>
    </row>
    <row r="77" spans="1:16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SUMIF(Erfassung5!AU:AU,L77,Erfassung5!BJ:BJ)</f>
        <v>0</v>
      </c>
      <c r="N77" s="91">
        <f>SUMIF(Erfassung5!AU:AU,L77,Erfassung5!AX:AX)</f>
        <v>0</v>
      </c>
      <c r="O77" s="91">
        <f t="shared" si="7"/>
        <v>0</v>
      </c>
      <c r="P77" s="91">
        <f t="shared" si="8"/>
        <v>31</v>
      </c>
    </row>
    <row r="78" spans="1:16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SUMIF(Erfassung5!AU:AU,L78,Erfassung5!BJ:BJ)</f>
        <v>0</v>
      </c>
      <c r="N78" s="91">
        <f>SUMIF(Erfassung5!AU:AU,L78,Erfassung5!AX:AX)</f>
        <v>0</v>
      </c>
      <c r="O78" s="91">
        <f t="shared" si="7"/>
        <v>0</v>
      </c>
      <c r="P78" s="91">
        <f t="shared" si="8"/>
        <v>31</v>
      </c>
    </row>
    <row r="79" spans="1:16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SUMIF(Erfassung5!AU:AU,L79,Erfassung5!BJ:BJ)</f>
        <v>0</v>
      </c>
      <c r="N79" s="91">
        <f>SUMIF(Erfassung5!AU:AU,L79,Erfassung5!AX:AX)</f>
        <v>0</v>
      </c>
      <c r="O79" s="91">
        <f t="shared" si="7"/>
        <v>0</v>
      </c>
      <c r="P79" s="91">
        <f t="shared" si="8"/>
        <v>31</v>
      </c>
    </row>
    <row r="80" spans="1:16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SUMIF(Erfassung5!AU:AU,L80,Erfassung5!BJ:BJ)</f>
        <v>0</v>
      </c>
      <c r="N80" s="91">
        <f>SUMIF(Erfassung5!AU:AU,L80,Erfassung5!AX:AX)</f>
        <v>0</v>
      </c>
      <c r="O80" s="91">
        <f t="shared" si="7"/>
        <v>0</v>
      </c>
      <c r="P80" s="91">
        <f t="shared" si="8"/>
        <v>31</v>
      </c>
    </row>
    <row r="81" spans="1:16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SUMIF(Erfassung5!AU:AU,L81,Erfassung5!BJ:BJ)</f>
        <v>0</v>
      </c>
      <c r="N81" s="91">
        <f>SUMIF(Erfassung5!AU:AU,L81,Erfassung5!AX:AX)</f>
        <v>0</v>
      </c>
      <c r="O81" s="91">
        <f t="shared" si="7"/>
        <v>0</v>
      </c>
      <c r="P81" s="91">
        <f t="shared" si="8"/>
        <v>31</v>
      </c>
    </row>
    <row r="82" spans="1:16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SUMIF(Erfassung5!AU:AU,L82,Erfassung5!BJ:BJ)</f>
        <v>0</v>
      </c>
      <c r="N82" s="91">
        <f>SUMIF(Erfassung5!AU:AU,L82,Erfassung5!AX:AX)</f>
        <v>0</v>
      </c>
      <c r="O82" s="91">
        <f t="shared" si="7"/>
        <v>0</v>
      </c>
      <c r="P82" s="91">
        <f t="shared" si="8"/>
        <v>31</v>
      </c>
    </row>
    <row r="83" spans="1:16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SUMIF(Erfassung5!AU:AU,L83,Erfassung5!BJ:BJ)</f>
        <v>0</v>
      </c>
      <c r="N83" s="91">
        <f>SUMIF(Erfassung5!AU:AU,L83,Erfassung5!AX:AX)</f>
        <v>0</v>
      </c>
      <c r="O83" s="91">
        <f t="shared" si="7"/>
        <v>0</v>
      </c>
      <c r="P83" s="91">
        <f t="shared" si="8"/>
        <v>31</v>
      </c>
    </row>
    <row r="84" spans="1:16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SUMIF(Erfassung5!AU:AU,L84,Erfassung5!BJ:BJ)</f>
        <v>0</v>
      </c>
      <c r="N84" s="91">
        <f>SUMIF(Erfassung5!AU:AU,L84,Erfassung5!AX:AX)</f>
        <v>0</v>
      </c>
      <c r="O84" s="91">
        <f t="shared" si="7"/>
        <v>0</v>
      </c>
      <c r="P84" s="91">
        <f t="shared" si="8"/>
        <v>31</v>
      </c>
    </row>
    <row r="85" spans="1:16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SUMIF(Erfassung5!AU:AU,L85,Erfassung5!BJ:BJ)</f>
        <v>0</v>
      </c>
      <c r="N85" s="91">
        <f>SUMIF(Erfassung5!AU:AU,L85,Erfassung5!AX:AX)</f>
        <v>0</v>
      </c>
      <c r="O85" s="91">
        <f t="shared" si="7"/>
        <v>0</v>
      </c>
      <c r="P85" s="91">
        <f t="shared" si="8"/>
        <v>31</v>
      </c>
    </row>
    <row r="86" spans="1:16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SUMIF(Erfassung5!AU:AU,L86,Erfassung5!BJ:BJ)</f>
        <v>0</v>
      </c>
      <c r="N86" s="91">
        <f>SUMIF(Erfassung5!AU:AU,L86,Erfassung5!AX:AX)</f>
        <v>0</v>
      </c>
      <c r="O86" s="91">
        <f t="shared" si="7"/>
        <v>0</v>
      </c>
      <c r="P86" s="91">
        <f t="shared" si="8"/>
        <v>31</v>
      </c>
    </row>
    <row r="87" spans="1:16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SUMIF(Erfassung5!AU:AU,L87,Erfassung5!BJ:BJ)</f>
        <v>0</v>
      </c>
      <c r="N87" s="91">
        <f>SUMIF(Erfassung5!AU:AU,L87,Erfassung5!AX:AX)</f>
        <v>0</v>
      </c>
      <c r="O87" s="91">
        <f t="shared" si="7"/>
        <v>0</v>
      </c>
      <c r="P87" s="91">
        <f t="shared" si="8"/>
        <v>31</v>
      </c>
    </row>
    <row r="88" spans="1:16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SUMIF(Erfassung5!AU:AU,L88,Erfassung5!BJ:BJ)</f>
        <v>0</v>
      </c>
      <c r="N88" s="91">
        <f>SUMIF(Erfassung5!AU:AU,L88,Erfassung5!AX:AX)</f>
        <v>0</v>
      </c>
      <c r="O88" s="91">
        <f t="shared" si="7"/>
        <v>0</v>
      </c>
      <c r="P88" s="91">
        <f t="shared" si="8"/>
        <v>31</v>
      </c>
    </row>
    <row r="89" spans="1:16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SUMIF(Erfassung5!AU:AU,L89,Erfassung5!BJ:BJ)</f>
        <v>0</v>
      </c>
      <c r="N89" s="91">
        <f>SUMIF(Erfassung5!AU:AU,L89,Erfassung5!AX:AX)</f>
        <v>0</v>
      </c>
      <c r="O89" s="91">
        <f t="shared" si="7"/>
        <v>0</v>
      </c>
      <c r="P89" s="91">
        <f t="shared" si="8"/>
        <v>31</v>
      </c>
    </row>
    <row r="90" spans="1:16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SUMIF(Erfassung5!AU:AU,L90,Erfassung5!BJ:BJ)</f>
        <v>0</v>
      </c>
      <c r="N90" s="91">
        <f>SUMIF(Erfassung5!AU:AU,L90,Erfassung5!AX:AX)</f>
        <v>0</v>
      </c>
      <c r="O90" s="91">
        <f t="shared" si="7"/>
        <v>0</v>
      </c>
      <c r="P90" s="91">
        <f t="shared" si="8"/>
        <v>31</v>
      </c>
    </row>
    <row r="91" spans="1:16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SUMIF(Erfassung5!AU:AU,L91,Erfassung5!BJ:BJ)</f>
        <v>0</v>
      </c>
      <c r="N91" s="91">
        <f>SUMIF(Erfassung5!AU:AU,L91,Erfassung5!AX:AX)</f>
        <v>0</v>
      </c>
      <c r="O91" s="91">
        <f t="shared" si="7"/>
        <v>0</v>
      </c>
      <c r="P91" s="91">
        <f t="shared" si="8"/>
        <v>31</v>
      </c>
    </row>
    <row r="92" spans="1:16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SUMIF(Erfassung5!AU:AU,L92,Erfassung5!BJ:BJ)</f>
        <v>0</v>
      </c>
      <c r="N92" s="91">
        <f>SUMIF(Erfassung5!AU:AU,L92,Erfassung5!AX:AX)</f>
        <v>0</v>
      </c>
      <c r="O92" s="91">
        <f t="shared" si="7"/>
        <v>0</v>
      </c>
      <c r="P92" s="91">
        <f t="shared" si="8"/>
        <v>31</v>
      </c>
    </row>
    <row r="93" spans="1:16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SUMIF(Erfassung5!AU:AU,L93,Erfassung5!BJ:BJ)</f>
        <v>0</v>
      </c>
      <c r="N93" s="91">
        <f>SUMIF(Erfassung5!AU:AU,L93,Erfassung5!AX:AX)</f>
        <v>0</v>
      </c>
      <c r="O93" s="91">
        <f t="shared" si="7"/>
        <v>0</v>
      </c>
      <c r="P93" s="91">
        <f t="shared" si="8"/>
        <v>31</v>
      </c>
    </row>
    <row r="94" spans="1:16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SUMIF(Erfassung5!AU:AU,L94,Erfassung5!BJ:BJ)</f>
        <v>0</v>
      </c>
      <c r="N94" s="91">
        <f>SUMIF(Erfassung5!AU:AU,L94,Erfassung5!AX:AX)</f>
        <v>0</v>
      </c>
      <c r="O94" s="91">
        <f t="shared" si="7"/>
        <v>0</v>
      </c>
      <c r="P94" s="91">
        <f t="shared" si="8"/>
        <v>31</v>
      </c>
    </row>
    <row r="95" spans="1:16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SUMIF(Erfassung5!AU:AU,L95,Erfassung5!BJ:BJ)</f>
        <v>0</v>
      </c>
      <c r="N95" s="91">
        <f>SUMIF(Erfassung5!AU:AU,L95,Erfassung5!AX:AX)</f>
        <v>0</v>
      </c>
      <c r="O95" s="91">
        <f t="shared" si="7"/>
        <v>0</v>
      </c>
      <c r="P95" s="91">
        <f t="shared" si="8"/>
        <v>31</v>
      </c>
    </row>
    <row r="96" spans="1:16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SUMIF(Erfassung5!AU:AU,L96,Erfassung5!BJ:BJ)</f>
        <v>0</v>
      </c>
      <c r="N96" s="91">
        <f>SUMIF(Erfassung5!AU:AU,L96,Erfassung5!AX:AX)</f>
        <v>0</v>
      </c>
      <c r="O96" s="91">
        <f t="shared" si="7"/>
        <v>0</v>
      </c>
      <c r="P96" s="91">
        <f t="shared" si="8"/>
        <v>31</v>
      </c>
    </row>
    <row r="97" spans="1:16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SUMIF(Erfassung5!AU:AU,L97,Erfassung5!BJ:BJ)</f>
        <v>0</v>
      </c>
      <c r="N97" s="91">
        <f>SUMIF(Erfassung5!AU:AU,L97,Erfassung5!AX:AX)</f>
        <v>0</v>
      </c>
      <c r="O97" s="91">
        <f t="shared" si="7"/>
        <v>0</v>
      </c>
      <c r="P97" s="91">
        <f t="shared" si="8"/>
        <v>31</v>
      </c>
    </row>
    <row r="98" spans="1:16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SUMIF(Erfassung5!AU:AU,L98,Erfassung5!BJ:BJ)</f>
        <v>0</v>
      </c>
      <c r="N98" s="91">
        <f>SUMIF(Erfassung5!AU:AU,L98,Erfassung5!AX:AX)</f>
        <v>0</v>
      </c>
      <c r="O98" s="91">
        <f t="shared" si="7"/>
        <v>0</v>
      </c>
      <c r="P98" s="91">
        <f t="shared" si="8"/>
        <v>31</v>
      </c>
    </row>
    <row r="99" spans="1:16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SUMIF(Erfassung5!AU:AU,L99,Erfassung5!BJ:BJ)</f>
        <v>0</v>
      </c>
      <c r="N99" s="91">
        <f>SUMIF(Erfassung5!AU:AU,L99,Erfassung5!AX:AX)</f>
        <v>0</v>
      </c>
      <c r="O99" s="91">
        <f t="shared" si="7"/>
        <v>0</v>
      </c>
      <c r="P99" s="91">
        <f t="shared" si="8"/>
        <v>31</v>
      </c>
    </row>
    <row r="100" spans="1:16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SUMIF(Erfassung5!AU:AU,L100,Erfassung5!BJ:BJ)</f>
        <v>0</v>
      </c>
      <c r="N100" s="91">
        <f>SUMIF(Erfassung5!AU:AU,L100,Erfassung5!AX:AX)</f>
        <v>0</v>
      </c>
      <c r="O100" s="91">
        <f t="shared" si="7"/>
        <v>0</v>
      </c>
      <c r="P100" s="91">
        <f t="shared" si="8"/>
        <v>31</v>
      </c>
    </row>
    <row r="101" spans="1:16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SUMIF(Erfassung5!AU:AU,L101,Erfassung5!BJ:BJ)</f>
        <v>0</v>
      </c>
      <c r="N101" s="91">
        <f>SUMIF(Erfassung5!AU:AU,L101,Erfassung5!AX:AX)</f>
        <v>0</v>
      </c>
      <c r="O101" s="91">
        <f t="shared" si="7"/>
        <v>0</v>
      </c>
      <c r="P101" s="91">
        <f t="shared" si="8"/>
        <v>31</v>
      </c>
    </row>
    <row r="102" spans="1:16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SUMIF(Erfassung5!AU:AU,L102,Erfassung5!BJ:BJ)</f>
        <v>0</v>
      </c>
      <c r="N102" s="91">
        <f>SUMIF(Erfassung5!AU:AU,L102,Erfassung5!AX:AX)</f>
        <v>0</v>
      </c>
      <c r="O102" s="91">
        <f t="shared" si="7"/>
        <v>0</v>
      </c>
      <c r="P102" s="91">
        <f t="shared" si="8"/>
        <v>31</v>
      </c>
    </row>
    <row r="103" spans="1:16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SUMIF(Erfassung5!AU:AU,L103,Erfassung5!BJ:BJ)</f>
        <v>0</v>
      </c>
      <c r="N103" s="91">
        <f>SUMIF(Erfassung5!AU:AU,L103,Erfassung5!AX:AX)</f>
        <v>0</v>
      </c>
      <c r="O103" s="91">
        <f t="shared" si="7"/>
        <v>0</v>
      </c>
      <c r="P103" s="91">
        <f t="shared" si="8"/>
        <v>31</v>
      </c>
    </row>
    <row r="104" spans="1:16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SUMIF(Erfassung5!AU:AU,L104,Erfassung5!BJ:BJ)</f>
        <v>0</v>
      </c>
      <c r="N104" s="91">
        <f>SUMIF(Erfassung5!AU:AU,L104,Erfassung5!AX:AX)</f>
        <v>0</v>
      </c>
      <c r="O104" s="91">
        <f t="shared" si="7"/>
        <v>0</v>
      </c>
      <c r="P104" s="91">
        <f t="shared" si="8"/>
        <v>31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V24" sqref="V24"/>
    </sheetView>
  </sheetViews>
  <sheetFormatPr baseColWidth="10" defaultColWidth="11.44140625" defaultRowHeight="13.2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44140625" customWidth="1"/>
    <col min="12" max="12" width="11.44140625" style="91" hidden="1" customWidth="1"/>
    <col min="13" max="16" width="11.44140625" hidden="1" customWidth="1"/>
    <col min="17" max="20" width="11.44140625" customWidth="1"/>
  </cols>
  <sheetData>
    <row r="1" spans="1:16" ht="28.5" customHeight="1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>
      <c r="A2" s="154" t="s">
        <v>1785</v>
      </c>
      <c r="C2" s="33">
        <v>5</v>
      </c>
      <c r="D2" s="33" t="s">
        <v>1864</v>
      </c>
      <c r="E2" s="155"/>
      <c r="F2" s="156"/>
      <c r="L2" s="91">
        <f>INDEX(Starter!A:A,ROW()-1)</f>
        <v>38890</v>
      </c>
      <c r="M2">
        <f>INDEX(SchnittGes4!M:M,MATCH(L2,SchnittGes4!L:L,0))+INDEX(Schnitt5!M:M,MATCH(L2,Schnitt5!L:L,0))</f>
        <v>1855</v>
      </c>
      <c r="N2">
        <f>INDEX(SchnittGes4!N:N,MATCH(L2,SchnittGes4!L:L,0))+INDEX(Schnitt5!N:N,MATCH(L2,Schnitt5!L:L,0))</f>
        <v>19</v>
      </c>
      <c r="O2">
        <f t="shared" ref="O2:O33" si="0">IF(N2=0,0,M2/N2-ROW()/1000000000)</f>
        <v>97.631578945368432</v>
      </c>
      <c r="P2">
        <f t="shared" ref="P2:P33" si="1">RANK(O2,O:O)</f>
        <v>37</v>
      </c>
    </row>
    <row r="3" spans="1:16">
      <c r="L3" s="91">
        <f>INDEX(Starter!A:A,ROW()-1)</f>
        <v>38785</v>
      </c>
      <c r="M3">
        <f>INDEX(SchnittGes4!M:M,MATCH(L3,SchnittGes4!L:L,0))+INDEX(Schnitt5!M:M,MATCH(L3,Schnitt5!L:L,0))</f>
        <v>896</v>
      </c>
      <c r="N3">
        <f>INDEX(SchnittGes4!N:N,MATCH(L3,SchnittGes4!L:L,0))+INDEX(Schnitt5!N:N,MATCH(L3,Schnitt5!L:L,0))</f>
        <v>8</v>
      </c>
      <c r="O3">
        <f t="shared" si="0"/>
        <v>111.999999997</v>
      </c>
      <c r="P3">
        <f t="shared" si="1"/>
        <v>34</v>
      </c>
    </row>
    <row r="4" spans="1:16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INDEX(SchnittGes4!M:M,MATCH(L4,SchnittGes4!L:L,0))+INDEX(Schnitt5!M:M,MATCH(L4,Schnitt5!L:L,0))</f>
        <v>2004</v>
      </c>
      <c r="N4">
        <f>INDEX(SchnittGes4!N:N,MATCH(L4,SchnittGes4!L:L,0))+INDEX(Schnitt5!N:N,MATCH(L4,Schnitt5!L:L,0))</f>
        <v>13</v>
      </c>
      <c r="O4">
        <f t="shared" si="0"/>
        <v>154.15384614984617</v>
      </c>
      <c r="P4">
        <f t="shared" si="1"/>
        <v>11</v>
      </c>
    </row>
    <row r="5" spans="1:16">
      <c r="A5">
        <v>1</v>
      </c>
      <c r="B5">
        <f t="shared" ref="B5:B36" si="2">IFERROR(INDEX(L:L,MATCH(A5,P:P,0)),"")</f>
        <v>38708</v>
      </c>
      <c r="C5" t="str">
        <f>IFERROR(INDEX(Starter!B:B,MATCH(B5,Starter!A:A,0)),"")</f>
        <v>Gründl, Alexander</v>
      </c>
      <c r="D5" t="str">
        <f>IFERROR(INDEX(Starter!C:C,MATCH(B5,Starter!A:A,0)),"")</f>
        <v>BK München</v>
      </c>
      <c r="E5" s="78">
        <f t="shared" ref="E5:E36" si="3">IFERROR(INDEX(M:M,MATCH(A5,P:P,0)),"")</f>
        <v>4938</v>
      </c>
      <c r="F5">
        <f t="shared" ref="F5:F36" si="4">IFERROR(INDEX(N:N,MATCH(A5,P:P,0)),"")</f>
        <v>25</v>
      </c>
      <c r="G5" s="153">
        <f t="shared" ref="G5:G36" si="5">IFERROR(INDEX(O:O,MATCH(A5,P:P,0)),"")</f>
        <v>197.51999996500001</v>
      </c>
      <c r="L5" s="91">
        <f>INDEX(Starter!A:A,ROW()-1)</f>
        <v>38904</v>
      </c>
      <c r="M5">
        <f>INDEX(SchnittGes4!M:M,MATCH(L5,SchnittGes4!L:L,0))+INDEX(Schnitt5!M:M,MATCH(L5,Schnitt5!L:L,0))</f>
        <v>2447</v>
      </c>
      <c r="N5">
        <f>INDEX(SchnittGes4!N:N,MATCH(L5,SchnittGes4!L:L,0))+INDEX(Schnitt5!N:N,MATCH(L5,Schnitt5!L:L,0))</f>
        <v>20</v>
      </c>
      <c r="O5">
        <f t="shared" si="0"/>
        <v>122.34999999499999</v>
      </c>
      <c r="P5">
        <f t="shared" si="1"/>
        <v>25</v>
      </c>
    </row>
    <row r="6" spans="1:16">
      <c r="A6">
        <f t="shared" ref="A6:A37" si="6">IFERROR(IF(A5+1&gt;MAX(P:P)-1,"",A5+1),"")</f>
        <v>2</v>
      </c>
      <c r="B6">
        <f t="shared" si="2"/>
        <v>38327</v>
      </c>
      <c r="C6" t="str">
        <f>IFERROR(INDEX(Starter!B:B,MATCH(B6,Starter!A:A,0)),"")</f>
        <v>Jakobi, Moritz</v>
      </c>
      <c r="D6" t="str">
        <f>IFERROR(INDEX(Starter!C:C,MATCH(B6,Starter!A:A,0)),"")</f>
        <v>BK München</v>
      </c>
      <c r="E6" s="78">
        <f t="shared" si="3"/>
        <v>3929</v>
      </c>
      <c r="F6">
        <f t="shared" si="4"/>
        <v>20</v>
      </c>
      <c r="G6" s="153">
        <f t="shared" si="5"/>
        <v>196.449999964</v>
      </c>
      <c r="L6" s="91">
        <f>INDEX(Starter!A:A,ROW()-1)</f>
        <v>38910</v>
      </c>
      <c r="M6">
        <f>INDEX(SchnittGes4!M:M,MATCH(L6,SchnittGes4!L:L,0))+INDEX(Schnitt5!M:M,MATCH(L6,Schnitt5!L:L,0))</f>
        <v>1816</v>
      </c>
      <c r="N6">
        <f>INDEX(SchnittGes4!N:N,MATCH(L6,SchnittGes4!L:L,0))+INDEX(Schnitt5!N:N,MATCH(L6,Schnitt5!L:L,0))</f>
        <v>15</v>
      </c>
      <c r="O6">
        <f t="shared" si="0"/>
        <v>121.06666666066667</v>
      </c>
      <c r="P6">
        <f t="shared" si="1"/>
        <v>27</v>
      </c>
    </row>
    <row r="7" spans="1:16">
      <c r="A7">
        <f t="shared" si="6"/>
        <v>3</v>
      </c>
      <c r="B7">
        <f t="shared" si="2"/>
        <v>38655</v>
      </c>
      <c r="C7" t="str">
        <f>IFERROR(INDEX(Starter!B:B,MATCH(B7,Starter!A:A,0)),"")</f>
        <v>Wheeldon, Vincent</v>
      </c>
      <c r="D7" t="str">
        <f>IFERROR(INDEX(Starter!C:C,MATCH(B7,Starter!A:A,0)),"")</f>
        <v>BK München</v>
      </c>
      <c r="E7" s="78">
        <f t="shared" si="3"/>
        <v>1940</v>
      </c>
      <c r="F7">
        <f t="shared" si="4"/>
        <v>10</v>
      </c>
      <c r="G7" s="153">
        <f t="shared" si="5"/>
        <v>193.99999996599999</v>
      </c>
      <c r="L7" s="91">
        <f>INDEX(Starter!A:A,ROW()-1)</f>
        <v>38861</v>
      </c>
      <c r="M7">
        <f>INDEX(SchnittGes4!M:M,MATCH(L7,SchnittGes4!L:L,0))+INDEX(Schnitt5!M:M,MATCH(L7,Schnitt5!L:L,0))</f>
        <v>0</v>
      </c>
      <c r="N7">
        <f>INDEX(SchnittGes4!N:N,MATCH(L7,SchnittGes4!L:L,0))+INDEX(Schnitt5!N:N,MATCH(L7,Schnitt5!L:L,0))</f>
        <v>0</v>
      </c>
      <c r="O7">
        <f t="shared" si="0"/>
        <v>0</v>
      </c>
      <c r="P7">
        <f t="shared" si="1"/>
        <v>43</v>
      </c>
    </row>
    <row r="8" spans="1:16">
      <c r="A8">
        <f t="shared" si="6"/>
        <v>4</v>
      </c>
      <c r="B8">
        <f t="shared" si="2"/>
        <v>38334</v>
      </c>
      <c r="C8" t="str">
        <f>IFERROR(INDEX(Starter!B:B,MATCH(B8,Starter!A:A,0)),"")</f>
        <v>Lauchner, Julian</v>
      </c>
      <c r="D8" t="str">
        <f>IFERROR(INDEX(Starter!C:C,MATCH(B8,Starter!A:A,0)),"")</f>
        <v>BK München</v>
      </c>
      <c r="E8" s="78">
        <f t="shared" si="3"/>
        <v>2849</v>
      </c>
      <c r="F8">
        <f t="shared" si="4"/>
        <v>15</v>
      </c>
      <c r="G8" s="153">
        <f t="shared" si="5"/>
        <v>189.93333328833333</v>
      </c>
      <c r="L8" s="91">
        <f>INDEX(Starter!A:A,ROW()-1)</f>
        <v>38845</v>
      </c>
      <c r="M8">
        <f>INDEX(SchnittGes4!M:M,MATCH(L8,SchnittGes4!L:L,0))+INDEX(Schnitt5!M:M,MATCH(L8,Schnitt5!L:L,0))</f>
        <v>3751</v>
      </c>
      <c r="N8">
        <f>INDEX(SchnittGes4!N:N,MATCH(L8,SchnittGes4!L:L,0))+INDEX(Schnitt5!N:N,MATCH(L8,Schnitt5!L:L,0))</f>
        <v>20</v>
      </c>
      <c r="O8">
        <f t="shared" si="0"/>
        <v>187.54999999200001</v>
      </c>
      <c r="P8">
        <f t="shared" si="1"/>
        <v>5</v>
      </c>
    </row>
    <row r="9" spans="1:16">
      <c r="A9">
        <f t="shared" si="6"/>
        <v>5</v>
      </c>
      <c r="B9">
        <f t="shared" si="2"/>
        <v>38845</v>
      </c>
      <c r="C9" t="str">
        <f>IFERROR(INDEX(Starter!B:B,MATCH(B9,Starter!A:A,0)),"")</f>
        <v>Kugler, Laurin</v>
      </c>
      <c r="D9" t="str">
        <f>IFERROR(INDEX(Starter!C:C,MATCH(B9,Starter!A:A,0)),"")</f>
        <v>Absolut-Sports.com</v>
      </c>
      <c r="E9" s="78">
        <f t="shared" si="3"/>
        <v>3751</v>
      </c>
      <c r="F9">
        <f t="shared" si="4"/>
        <v>20</v>
      </c>
      <c r="G9" s="153">
        <f t="shared" si="5"/>
        <v>187.54999999200001</v>
      </c>
      <c r="L9" s="91">
        <f>INDEX(Starter!A:A,ROW()-1)</f>
        <v>38843</v>
      </c>
      <c r="M9">
        <f>INDEX(SchnittGes4!M:M,MATCH(L9,SchnittGes4!L:L,0))+INDEX(Schnitt5!M:M,MATCH(L9,Schnitt5!L:L,0))</f>
        <v>783</v>
      </c>
      <c r="N9">
        <f>INDEX(SchnittGes4!N:N,MATCH(L9,SchnittGes4!L:L,0))+INDEX(Schnitt5!N:N,MATCH(L9,Schnitt5!L:L,0))</f>
        <v>6</v>
      </c>
      <c r="O9">
        <f t="shared" si="0"/>
        <v>130.49999999100001</v>
      </c>
      <c r="P9">
        <f t="shared" si="1"/>
        <v>22</v>
      </c>
    </row>
    <row r="10" spans="1:16">
      <c r="A10">
        <f t="shared" si="6"/>
        <v>6</v>
      </c>
      <c r="B10">
        <f t="shared" si="2"/>
        <v>38844</v>
      </c>
      <c r="C10" t="str">
        <f>IFERROR(INDEX(Starter!B:B,MATCH(B10,Starter!A:A,0)),"")</f>
        <v>Mathe, Maximilian</v>
      </c>
      <c r="D10" t="str">
        <f>IFERROR(INDEX(Starter!C:C,MATCH(B10,Starter!A:A,0)),"")</f>
        <v>Absolut-Sports.com</v>
      </c>
      <c r="E10" s="78">
        <f t="shared" si="3"/>
        <v>1763</v>
      </c>
      <c r="F10">
        <f t="shared" si="4"/>
        <v>10</v>
      </c>
      <c r="G10" s="153">
        <f t="shared" si="5"/>
        <v>176.29999999</v>
      </c>
      <c r="L10" s="91">
        <f>INDEX(Starter!A:A,ROW()-1)</f>
        <v>38844</v>
      </c>
      <c r="M10">
        <f>INDEX(SchnittGes4!M:M,MATCH(L10,SchnittGes4!L:L,0))+INDEX(Schnitt5!M:M,MATCH(L10,Schnitt5!L:L,0))</f>
        <v>1763</v>
      </c>
      <c r="N10">
        <f>INDEX(SchnittGes4!N:N,MATCH(L10,SchnittGes4!L:L,0))+INDEX(Schnitt5!N:N,MATCH(L10,Schnitt5!L:L,0))</f>
        <v>10</v>
      </c>
      <c r="O10">
        <f t="shared" si="0"/>
        <v>176.29999999</v>
      </c>
      <c r="P10">
        <f t="shared" si="1"/>
        <v>6</v>
      </c>
    </row>
    <row r="11" spans="1:16">
      <c r="A11">
        <f t="shared" si="6"/>
        <v>7</v>
      </c>
      <c r="B11">
        <f t="shared" si="2"/>
        <v>38626</v>
      </c>
      <c r="C11" t="str">
        <f>IFERROR(INDEX(Starter!B:B,MATCH(B11,Starter!A:A,0)),"")</f>
        <v>Wolf, Alexander</v>
      </c>
      <c r="D11" t="str">
        <f>IFERROR(INDEX(Starter!C:C,MATCH(B11,Starter!A:A,0)),"")</f>
        <v>BK München</v>
      </c>
      <c r="E11" s="78">
        <f t="shared" si="3"/>
        <v>794</v>
      </c>
      <c r="F11">
        <f t="shared" si="4"/>
        <v>5</v>
      </c>
      <c r="G11" s="153">
        <f t="shared" si="5"/>
        <v>158.79999995300003</v>
      </c>
      <c r="L11" s="91">
        <f>INDEX(Starter!A:A,ROW()-1)</f>
        <v>38772</v>
      </c>
      <c r="M11">
        <f>INDEX(SchnittGes4!M:M,MATCH(L11,SchnittGes4!L:L,0))+INDEX(Schnitt5!M:M,MATCH(L11,Schnitt5!L:L,0))</f>
        <v>2076</v>
      </c>
      <c r="N11">
        <f>INDEX(SchnittGes4!N:N,MATCH(L11,SchnittGes4!L:L,0))+INDEX(Schnitt5!N:N,MATCH(L11,Schnitt5!L:L,0))</f>
        <v>15</v>
      </c>
      <c r="O11">
        <f t="shared" si="0"/>
        <v>138.39999998900001</v>
      </c>
      <c r="P11">
        <f t="shared" si="1"/>
        <v>19</v>
      </c>
    </row>
    <row r="12" spans="1:16">
      <c r="A12">
        <f t="shared" si="6"/>
        <v>8</v>
      </c>
      <c r="B12">
        <f t="shared" si="2"/>
        <v>38809</v>
      </c>
      <c r="C12" t="str">
        <f>IFERROR(INDEX(Starter!B:B,MATCH(B12,Starter!A:A,0)),"")</f>
        <v>Elze, Julian</v>
      </c>
      <c r="D12" t="str">
        <f>IFERROR(INDEX(Starter!C:C,MATCH(B12,Starter!A:A,0)),"")</f>
        <v>BSC Highroller Rosenheim</v>
      </c>
      <c r="E12" s="78">
        <f t="shared" si="3"/>
        <v>939</v>
      </c>
      <c r="F12">
        <f t="shared" si="4"/>
        <v>6</v>
      </c>
      <c r="G12" s="153">
        <f t="shared" si="5"/>
        <v>156.49999998300001</v>
      </c>
      <c r="L12" s="91">
        <f>INDEX(Starter!A:A,ROW()-1)</f>
        <v>38893</v>
      </c>
      <c r="M12">
        <f>INDEX(SchnittGes4!M:M,MATCH(L12,SchnittGes4!L:L,0))+INDEX(Schnitt5!M:M,MATCH(L12,Schnitt5!L:L,0))</f>
        <v>1199</v>
      </c>
      <c r="N12">
        <f>INDEX(SchnittGes4!N:N,MATCH(L12,SchnittGes4!L:L,0))+INDEX(Schnitt5!N:N,MATCH(L12,Schnitt5!L:L,0))</f>
        <v>13</v>
      </c>
      <c r="O12">
        <f t="shared" si="0"/>
        <v>92.230769218769225</v>
      </c>
      <c r="P12">
        <f t="shared" si="1"/>
        <v>40</v>
      </c>
    </row>
    <row r="13" spans="1:16">
      <c r="A13">
        <f t="shared" si="6"/>
        <v>9</v>
      </c>
      <c r="B13">
        <f t="shared" si="2"/>
        <v>38759</v>
      </c>
      <c r="C13" t="str">
        <f>IFERROR(INDEX(Starter!B:B,MATCH(B13,Starter!A:A,0)),"")</f>
        <v>Stölzel, Celia</v>
      </c>
      <c r="D13" t="str">
        <f>IFERROR(INDEX(Starter!C:C,MATCH(B13,Starter!A:A,0)),"")</f>
        <v>BSC Highroller Rosenheim</v>
      </c>
      <c r="E13" s="78">
        <f t="shared" si="3"/>
        <v>3593</v>
      </c>
      <c r="F13">
        <f t="shared" si="4"/>
        <v>23</v>
      </c>
      <c r="G13" s="153">
        <f t="shared" si="5"/>
        <v>156.21739129034782</v>
      </c>
      <c r="L13" s="91">
        <f>INDEX(Starter!A:A,ROW()-1)</f>
        <v>38760</v>
      </c>
      <c r="M13">
        <f>INDEX(SchnittGes4!M:M,MATCH(L13,SchnittGes4!L:L,0))+INDEX(Schnitt5!M:M,MATCH(L13,Schnitt5!L:L,0))</f>
        <v>3288</v>
      </c>
      <c r="N13">
        <f>INDEX(SchnittGes4!N:N,MATCH(L13,SchnittGes4!L:L,0))+INDEX(Schnitt5!N:N,MATCH(L13,Schnitt5!L:L,0))</f>
        <v>23</v>
      </c>
      <c r="O13">
        <f t="shared" si="0"/>
        <v>142.95652172613043</v>
      </c>
      <c r="P13">
        <f t="shared" si="1"/>
        <v>17</v>
      </c>
    </row>
    <row r="14" spans="1:16">
      <c r="A14">
        <f t="shared" si="6"/>
        <v>10</v>
      </c>
      <c r="B14">
        <f t="shared" si="2"/>
        <v>38795</v>
      </c>
      <c r="C14" t="str">
        <f>IFERROR(INDEX(Starter!B:B,MATCH(B14,Starter!A:A,0)),"")</f>
        <v>Catalano, Leandro</v>
      </c>
      <c r="D14" t="str">
        <f>IFERROR(INDEX(Starter!C:C,MATCH(B14,Starter!A:A,0)),"")</f>
        <v>Bowling Jugend Bayern</v>
      </c>
      <c r="E14" s="78">
        <f t="shared" si="3"/>
        <v>778</v>
      </c>
      <c r="F14">
        <f t="shared" si="4"/>
        <v>5</v>
      </c>
      <c r="G14" s="153">
        <f t="shared" si="5"/>
        <v>155.599999962</v>
      </c>
      <c r="L14" s="91">
        <f>INDEX(Starter!A:A,ROW()-1)</f>
        <v>38759</v>
      </c>
      <c r="M14">
        <f>INDEX(SchnittGes4!M:M,MATCH(L14,SchnittGes4!L:L,0))+INDEX(Schnitt5!M:M,MATCH(L14,Schnitt5!L:L,0))</f>
        <v>3593</v>
      </c>
      <c r="N14">
        <f>INDEX(SchnittGes4!N:N,MATCH(L14,SchnittGes4!L:L,0))+INDEX(Schnitt5!N:N,MATCH(L14,Schnitt5!L:L,0))</f>
        <v>23</v>
      </c>
      <c r="O14">
        <f t="shared" si="0"/>
        <v>156.21739129034782</v>
      </c>
      <c r="P14">
        <f t="shared" si="1"/>
        <v>9</v>
      </c>
    </row>
    <row r="15" spans="1:16">
      <c r="A15">
        <f t="shared" si="6"/>
        <v>11</v>
      </c>
      <c r="B15">
        <f t="shared" si="2"/>
        <v>38706</v>
      </c>
      <c r="C15" t="str">
        <f>IFERROR(INDEX(Starter!B:B,MATCH(B15,Starter!A:A,0)),"")</f>
        <v>Böhm, Eric-Pascal</v>
      </c>
      <c r="D15" t="str">
        <f>IFERROR(INDEX(Starter!C:C,MATCH(B15,Starter!A:A,0)),"")</f>
        <v>BC EMAX</v>
      </c>
      <c r="E15" s="78">
        <f t="shared" si="3"/>
        <v>2004</v>
      </c>
      <c r="F15">
        <f t="shared" si="4"/>
        <v>13</v>
      </c>
      <c r="G15" s="153">
        <f t="shared" si="5"/>
        <v>154.15384614984617</v>
      </c>
      <c r="L15" s="91">
        <f>INDEX(Starter!A:A,ROW()-1)</f>
        <v>38831</v>
      </c>
      <c r="M15">
        <f>INDEX(SchnittGes4!M:M,MATCH(L15,SchnittGes4!L:L,0))+INDEX(Schnitt5!M:M,MATCH(L15,Schnitt5!L:L,0))</f>
        <v>589</v>
      </c>
      <c r="N15">
        <f>INDEX(SchnittGes4!N:N,MATCH(L15,SchnittGes4!L:L,0))+INDEX(Schnitt5!N:N,MATCH(L15,Schnitt5!L:L,0))</f>
        <v>6</v>
      </c>
      <c r="O15">
        <f t="shared" si="0"/>
        <v>98.166666651666674</v>
      </c>
      <c r="P15">
        <f t="shared" si="1"/>
        <v>36</v>
      </c>
    </row>
    <row r="16" spans="1:16">
      <c r="A16">
        <f t="shared" si="6"/>
        <v>12</v>
      </c>
      <c r="B16">
        <f t="shared" si="2"/>
        <v>38942</v>
      </c>
      <c r="C16" t="str">
        <f>IFERROR(INDEX(Starter!B:B,MATCH(B16,Starter!A:A,0)),"")</f>
        <v>Klettenheimer, Julius</v>
      </c>
      <c r="D16" t="str">
        <f>IFERROR(INDEX(Starter!C:C,MATCH(B16,Starter!A:A,0)),"")</f>
        <v>Bowling Jugend Bayern</v>
      </c>
      <c r="E16" s="78">
        <f t="shared" si="3"/>
        <v>2300</v>
      </c>
      <c r="F16">
        <f t="shared" si="4"/>
        <v>15</v>
      </c>
      <c r="G16" s="153">
        <f t="shared" si="5"/>
        <v>153.33333328933335</v>
      </c>
      <c r="L16" s="91">
        <f>INDEX(Starter!A:A,ROW()-1)</f>
        <v>38773</v>
      </c>
      <c r="M16">
        <f>INDEX(SchnittGes4!M:M,MATCH(L16,SchnittGes4!L:L,0))+INDEX(Schnitt5!M:M,MATCH(L16,Schnitt5!L:L,0))</f>
        <v>3330</v>
      </c>
      <c r="N16">
        <f>INDEX(SchnittGes4!N:N,MATCH(L16,SchnittGes4!L:L,0))+INDEX(Schnitt5!N:N,MATCH(L16,Schnitt5!L:L,0))</f>
        <v>23</v>
      </c>
      <c r="O16">
        <f t="shared" si="0"/>
        <v>144.78260867965218</v>
      </c>
      <c r="P16">
        <f t="shared" si="1"/>
        <v>15</v>
      </c>
    </row>
    <row r="17" spans="1:16">
      <c r="A17">
        <f t="shared" si="6"/>
        <v>13</v>
      </c>
      <c r="B17">
        <f t="shared" si="2"/>
        <v>38714</v>
      </c>
      <c r="C17" t="str">
        <f>IFERROR(INDEX(Starter!B:B,MATCH(B17,Starter!A:A,0)),"")</f>
        <v>Wieser, Lukas</v>
      </c>
      <c r="D17" t="str">
        <f>IFERROR(INDEX(Starter!C:C,MATCH(B17,Starter!A:A,0)),"")</f>
        <v>BC Berchtesgaden</v>
      </c>
      <c r="E17" s="78">
        <f t="shared" si="3"/>
        <v>2594</v>
      </c>
      <c r="F17">
        <f t="shared" si="4"/>
        <v>17</v>
      </c>
      <c r="G17" s="153">
        <f t="shared" si="5"/>
        <v>152.58823526511765</v>
      </c>
      <c r="L17" s="91">
        <f>INDEX(Starter!A:A,ROW()-1)</f>
        <v>38809</v>
      </c>
      <c r="M17">
        <f>INDEX(SchnittGes4!M:M,MATCH(L17,SchnittGes4!L:L,0))+INDEX(Schnitt5!M:M,MATCH(L17,Schnitt5!L:L,0))</f>
        <v>939</v>
      </c>
      <c r="N17">
        <f>INDEX(SchnittGes4!N:N,MATCH(L17,SchnittGes4!L:L,0))+INDEX(Schnitt5!N:N,MATCH(L17,Schnitt5!L:L,0))</f>
        <v>6</v>
      </c>
      <c r="O17">
        <f t="shared" si="0"/>
        <v>156.49999998300001</v>
      </c>
      <c r="P17">
        <f t="shared" si="1"/>
        <v>8</v>
      </c>
    </row>
    <row r="18" spans="1:16">
      <c r="A18">
        <f t="shared" si="6"/>
        <v>14</v>
      </c>
      <c r="B18">
        <f t="shared" si="2"/>
        <v>38781</v>
      </c>
      <c r="C18" t="str">
        <f>IFERROR(INDEX(Starter!B:B,MATCH(B18,Starter!A:A,0)),"")</f>
        <v>Reichenauer, Leon</v>
      </c>
      <c r="D18" t="str">
        <f>IFERROR(INDEX(Starter!C:C,MATCH(B18,Starter!A:A,0)),"")</f>
        <v>Bowling Jugend Bayern</v>
      </c>
      <c r="E18" s="78">
        <f t="shared" si="3"/>
        <v>2242</v>
      </c>
      <c r="F18">
        <f t="shared" si="4"/>
        <v>15</v>
      </c>
      <c r="G18" s="153">
        <f t="shared" si="5"/>
        <v>149.46666662466666</v>
      </c>
      <c r="L18" s="91">
        <f>INDEX(Starter!A:A,ROW()-1)</f>
        <v>38923</v>
      </c>
      <c r="M18">
        <f>INDEX(SchnittGes4!M:M,MATCH(L18,SchnittGes4!L:L,0))+INDEX(Schnitt5!M:M,MATCH(L18,Schnitt5!L:L,0))</f>
        <v>1583</v>
      </c>
      <c r="N18">
        <f>INDEX(SchnittGes4!N:N,MATCH(L18,SchnittGes4!L:L,0))+INDEX(Schnitt5!N:N,MATCH(L18,Schnitt5!L:L,0))</f>
        <v>14</v>
      </c>
      <c r="O18">
        <f t="shared" si="0"/>
        <v>113.07142855342858</v>
      </c>
      <c r="P18">
        <f t="shared" si="1"/>
        <v>33</v>
      </c>
    </row>
    <row r="19" spans="1:16">
      <c r="A19">
        <f t="shared" si="6"/>
        <v>15</v>
      </c>
      <c r="B19">
        <f t="shared" si="2"/>
        <v>38773</v>
      </c>
      <c r="C19" t="str">
        <f>IFERROR(INDEX(Starter!B:B,MATCH(B19,Starter!A:A,0)),"")</f>
        <v>Weiss, Luisa Samira</v>
      </c>
      <c r="D19" t="str">
        <f>IFERROR(INDEX(Starter!C:C,MATCH(B19,Starter!A:A,0)),"")</f>
        <v>BSC Highroller Rosenheim</v>
      </c>
      <c r="E19" s="78">
        <f t="shared" si="3"/>
        <v>3330</v>
      </c>
      <c r="F19">
        <f t="shared" si="4"/>
        <v>23</v>
      </c>
      <c r="G19" s="153">
        <f t="shared" si="5"/>
        <v>144.78260867965218</v>
      </c>
      <c r="L19" s="91">
        <f>INDEX(Starter!A:A,ROW()-1)</f>
        <v>38920</v>
      </c>
      <c r="M19">
        <f>INDEX(SchnittGes4!M:M,MATCH(L19,SchnittGes4!L:L,0))+INDEX(Schnitt5!M:M,MATCH(L19,Schnitt5!L:L,0))</f>
        <v>1897</v>
      </c>
      <c r="N19">
        <f>INDEX(SchnittGes4!N:N,MATCH(L19,SchnittGes4!L:L,0))+INDEX(Schnitt5!N:N,MATCH(L19,Schnitt5!L:L,0))</f>
        <v>19</v>
      </c>
      <c r="O19">
        <f t="shared" si="0"/>
        <v>99.842105244157892</v>
      </c>
      <c r="P19">
        <f t="shared" si="1"/>
        <v>35</v>
      </c>
    </row>
    <row r="20" spans="1:16">
      <c r="A20">
        <f t="shared" si="6"/>
        <v>16</v>
      </c>
      <c r="B20">
        <f t="shared" si="2"/>
        <v>38674</v>
      </c>
      <c r="C20" t="str">
        <f>IFERROR(INDEX(Starter!B:B,MATCH(B20,Starter!A:A,0)),"")</f>
        <v>Mäurer, Odin</v>
      </c>
      <c r="D20" t="str">
        <f>IFERROR(INDEX(Starter!C:C,MATCH(B20,Starter!A:A,0)),"")</f>
        <v>Bowling Jugend Bayern</v>
      </c>
      <c r="E20" s="78">
        <f t="shared" si="3"/>
        <v>717</v>
      </c>
      <c r="F20">
        <f t="shared" si="4"/>
        <v>5</v>
      </c>
      <c r="G20" s="153">
        <f t="shared" si="5"/>
        <v>143.39999996099999</v>
      </c>
      <c r="L20" s="91">
        <f>INDEX(Starter!A:A,ROW()-1)</f>
        <v>38921</v>
      </c>
      <c r="M20">
        <f>INDEX(SchnittGes4!M:M,MATCH(L20,SchnittGes4!L:L,0))+INDEX(Schnitt5!M:M,MATCH(L20,Schnitt5!L:L,0))</f>
        <v>1368</v>
      </c>
      <c r="N20">
        <f>INDEX(SchnittGes4!N:N,MATCH(L20,SchnittGes4!L:L,0))+INDEX(Schnitt5!N:N,MATCH(L20,Schnitt5!L:L,0))</f>
        <v>18</v>
      </c>
      <c r="O20">
        <f t="shared" si="0"/>
        <v>75.999999979999998</v>
      </c>
      <c r="P20">
        <f t="shared" si="1"/>
        <v>41</v>
      </c>
    </row>
    <row r="21" spans="1:16">
      <c r="A21">
        <f t="shared" si="6"/>
        <v>17</v>
      </c>
      <c r="B21">
        <f t="shared" si="2"/>
        <v>38760</v>
      </c>
      <c r="C21" t="str">
        <f>IFERROR(INDEX(Starter!B:B,MATCH(B21,Starter!A:A,0)),"")</f>
        <v>Achhammer, Klara</v>
      </c>
      <c r="D21" t="str">
        <f>IFERROR(INDEX(Starter!C:C,MATCH(B21,Starter!A:A,0)),"")</f>
        <v>BSC Highroller Rosenheim</v>
      </c>
      <c r="E21" s="78">
        <f t="shared" si="3"/>
        <v>3288</v>
      </c>
      <c r="F21">
        <f t="shared" si="4"/>
        <v>23</v>
      </c>
      <c r="G21" s="153">
        <f t="shared" si="5"/>
        <v>142.95652172613043</v>
      </c>
      <c r="L21" s="91">
        <f>INDEX(Starter!A:A,ROW()-1)</f>
        <v>38922</v>
      </c>
      <c r="M21">
        <f>INDEX(SchnittGes4!M:M,MATCH(L21,SchnittGes4!L:L,0))+INDEX(Schnitt5!M:M,MATCH(L21,Schnitt5!L:L,0))</f>
        <v>1730</v>
      </c>
      <c r="N21">
        <f>INDEX(SchnittGes4!N:N,MATCH(L21,SchnittGes4!L:L,0))+INDEX(Schnitt5!N:N,MATCH(L21,Schnitt5!L:L,0))</f>
        <v>18</v>
      </c>
      <c r="O21">
        <f t="shared" si="0"/>
        <v>96.111111090111109</v>
      </c>
      <c r="P21">
        <f t="shared" si="1"/>
        <v>39</v>
      </c>
    </row>
    <row r="22" spans="1:16">
      <c r="A22">
        <f t="shared" si="6"/>
        <v>18</v>
      </c>
      <c r="B22">
        <f t="shared" si="2"/>
        <v>38894</v>
      </c>
      <c r="C22" t="str">
        <f>IFERROR(INDEX(Starter!B:B,MATCH(B22,Starter!A:A,0)),"")</f>
        <v>Prieß, Marc</v>
      </c>
      <c r="D22" t="str">
        <f>IFERROR(INDEX(Starter!C:C,MATCH(B22,Starter!A:A,0)),"")</f>
        <v>Bowling Jugend Bayern</v>
      </c>
      <c r="E22" s="78">
        <f t="shared" si="3"/>
        <v>713</v>
      </c>
      <c r="F22">
        <f t="shared" si="4"/>
        <v>5</v>
      </c>
      <c r="G22" s="153">
        <f t="shared" si="5"/>
        <v>142.59999995999999</v>
      </c>
      <c r="L22" s="91">
        <f>INDEX(Starter!A:A,ROW()-1)</f>
        <v>38808</v>
      </c>
      <c r="M22">
        <f>INDEX(SchnittGes4!M:M,MATCH(L22,SchnittGes4!L:L,0))+INDEX(Schnitt5!M:M,MATCH(L22,Schnitt5!L:L,0))</f>
        <v>2213</v>
      </c>
      <c r="N22">
        <f>INDEX(SchnittGes4!N:N,MATCH(L22,SchnittGes4!L:L,0))+INDEX(Schnitt5!N:N,MATCH(L22,Schnitt5!L:L,0))</f>
        <v>18</v>
      </c>
      <c r="O22">
        <f t="shared" si="0"/>
        <v>122.94444442244445</v>
      </c>
      <c r="P22">
        <f t="shared" si="1"/>
        <v>24</v>
      </c>
    </row>
    <row r="23" spans="1:16">
      <c r="A23">
        <f t="shared" si="6"/>
        <v>19</v>
      </c>
      <c r="B23">
        <f t="shared" si="2"/>
        <v>38772</v>
      </c>
      <c r="C23" t="str">
        <f>IFERROR(INDEX(Starter!B:B,MATCH(B23,Starter!A:A,0)),"")</f>
        <v>Sturm, Sebastian</v>
      </c>
      <c r="D23" t="str">
        <f>IFERROR(INDEX(Starter!C:C,MATCH(B23,Starter!A:A,0)),"")</f>
        <v>Absolut-Sports.com</v>
      </c>
      <c r="E23" s="78">
        <f t="shared" si="3"/>
        <v>2076</v>
      </c>
      <c r="F23">
        <f t="shared" si="4"/>
        <v>15</v>
      </c>
      <c r="G23" s="153">
        <f t="shared" si="5"/>
        <v>138.39999998900001</v>
      </c>
      <c r="L23" s="91">
        <f>INDEX(Starter!A:A,ROW()-1)</f>
        <v>38810</v>
      </c>
      <c r="M23">
        <f>INDEX(SchnittGes4!M:M,MATCH(L23,SchnittGes4!L:L,0))+INDEX(Schnitt5!M:M,MATCH(L23,Schnitt5!L:L,0))</f>
        <v>1823</v>
      </c>
      <c r="N23">
        <f>INDEX(SchnittGes4!N:N,MATCH(L23,SchnittGes4!L:L,0))+INDEX(Schnitt5!N:N,MATCH(L23,Schnitt5!L:L,0))</f>
        <v>16</v>
      </c>
      <c r="O23">
        <f t="shared" si="0"/>
        <v>113.937499977</v>
      </c>
      <c r="P23">
        <f t="shared" si="1"/>
        <v>31</v>
      </c>
    </row>
    <row r="24" spans="1:16">
      <c r="A24">
        <f t="shared" si="6"/>
        <v>20</v>
      </c>
      <c r="B24">
        <f t="shared" si="2"/>
        <v>38937</v>
      </c>
      <c r="C24" t="str">
        <f>IFERROR(INDEX(Starter!B:B,MATCH(B24,Starter!A:A,0)),"")</f>
        <v>Ruppert, Raja</v>
      </c>
      <c r="D24" t="str">
        <f>IFERROR(INDEX(Starter!C:C,MATCH(B24,Starter!A:A,0)),"")</f>
        <v>LA Bowling</v>
      </c>
      <c r="E24" s="78">
        <f t="shared" si="3"/>
        <v>1602</v>
      </c>
      <c r="F24">
        <f t="shared" si="4"/>
        <v>12</v>
      </c>
      <c r="G24" s="153">
        <f t="shared" si="5"/>
        <v>133.49999996700001</v>
      </c>
      <c r="L24" s="91">
        <f>INDEX(Starter!A:A,ROW()-1)</f>
        <v>38848</v>
      </c>
      <c r="M24">
        <f>INDEX(SchnittGes4!M:M,MATCH(L24,SchnittGes4!L:L,0))+INDEX(Schnitt5!M:M,MATCH(L24,Schnitt5!L:L,0))</f>
        <v>2439</v>
      </c>
      <c r="N24">
        <f>INDEX(SchnittGes4!N:N,MATCH(L24,SchnittGes4!L:L,0))+INDEX(Schnitt5!N:N,MATCH(L24,Schnitt5!L:L,0))</f>
        <v>20</v>
      </c>
      <c r="O24">
        <f t="shared" si="0"/>
        <v>121.949999976</v>
      </c>
      <c r="P24">
        <f t="shared" si="1"/>
        <v>26</v>
      </c>
    </row>
    <row r="25" spans="1:16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2092</v>
      </c>
      <c r="F25">
        <f t="shared" si="4"/>
        <v>16</v>
      </c>
      <c r="G25" s="153">
        <f t="shared" si="5"/>
        <v>130.74999997</v>
      </c>
      <c r="L25" s="91">
        <f>INDEX(Starter!A:A,ROW()-1)</f>
        <v>38849</v>
      </c>
      <c r="M25">
        <f>INDEX(SchnittGes4!M:M,MATCH(L25,SchnittGes4!L:L,0))+INDEX(Schnitt5!M:M,MATCH(L25,Schnitt5!L:L,0))</f>
        <v>2377</v>
      </c>
      <c r="N25">
        <f>INDEX(SchnittGes4!N:N,MATCH(L25,SchnittGes4!L:L,0))+INDEX(Schnitt5!N:N,MATCH(L25,Schnitt5!L:L,0))</f>
        <v>21</v>
      </c>
      <c r="O25">
        <f t="shared" si="0"/>
        <v>113.19047616547618</v>
      </c>
      <c r="P25">
        <f t="shared" si="1"/>
        <v>32</v>
      </c>
    </row>
    <row r="26" spans="1:16">
      <c r="A26">
        <f t="shared" si="6"/>
        <v>22</v>
      </c>
      <c r="B26">
        <f t="shared" si="2"/>
        <v>38843</v>
      </c>
      <c r="C26" t="str">
        <f>IFERROR(INDEX(Starter!B:B,MATCH(B26,Starter!A:A,0)),"")</f>
        <v>Lintner, Lena</v>
      </c>
      <c r="D26" t="str">
        <f>IFERROR(INDEX(Starter!C:C,MATCH(B26,Starter!A:A,0)),"")</f>
        <v>Absolut-Sports.com</v>
      </c>
      <c r="E26" s="78">
        <f t="shared" si="3"/>
        <v>783</v>
      </c>
      <c r="F26">
        <f t="shared" si="4"/>
        <v>6</v>
      </c>
      <c r="G26" s="153">
        <f t="shared" si="5"/>
        <v>130.49999999100001</v>
      </c>
      <c r="L26" s="91">
        <f>INDEX(Starter!A:A,ROW()-1)</f>
        <v>38925</v>
      </c>
      <c r="M26">
        <f>INDEX(SchnittGes4!M:M,MATCH(L26,SchnittGes4!L:L,0))+INDEX(Schnitt5!M:M,MATCH(L26,Schnitt5!L:L,0))</f>
        <v>0</v>
      </c>
      <c r="N26">
        <f>INDEX(SchnittGes4!N:N,MATCH(L26,SchnittGes4!L:L,0))+INDEX(Schnitt5!N:N,MATCH(L26,Schnitt5!L:L,0))</f>
        <v>0</v>
      </c>
      <c r="O26">
        <f t="shared" si="0"/>
        <v>0</v>
      </c>
      <c r="P26">
        <f t="shared" si="1"/>
        <v>43</v>
      </c>
    </row>
    <row r="27" spans="1:16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742</v>
      </c>
      <c r="F27">
        <f t="shared" si="4"/>
        <v>6</v>
      </c>
      <c r="G27" s="153">
        <f t="shared" si="5"/>
        <v>123.66666662366667</v>
      </c>
      <c r="L27" s="91">
        <f>INDEX(Starter!A:A,ROW()-1)</f>
        <v>38924</v>
      </c>
      <c r="M27">
        <f>INDEX(SchnittGes4!M:M,MATCH(L27,SchnittGes4!L:L,0))+INDEX(Schnitt5!M:M,MATCH(L27,Schnitt5!L:L,0))</f>
        <v>0</v>
      </c>
      <c r="N27">
        <f>INDEX(SchnittGes4!N:N,MATCH(L27,SchnittGes4!L:L,0))+INDEX(Schnitt5!N:N,MATCH(L27,Schnitt5!L:L,0))</f>
        <v>0</v>
      </c>
      <c r="O27">
        <f t="shared" si="0"/>
        <v>0</v>
      </c>
      <c r="P27">
        <f t="shared" si="1"/>
        <v>43</v>
      </c>
    </row>
    <row r="28" spans="1:16">
      <c r="A28">
        <f t="shared" si="6"/>
        <v>24</v>
      </c>
      <c r="B28">
        <f t="shared" si="2"/>
        <v>38808</v>
      </c>
      <c r="C28" t="str">
        <f>IFERROR(INDEX(Starter!B:B,MATCH(B28,Starter!A:A,0)),"")</f>
        <v>Reinhold, Moritz</v>
      </c>
      <c r="D28" t="str">
        <f>IFERROR(INDEX(Starter!C:C,MATCH(B28,Starter!A:A,0)),"")</f>
        <v>BSC Highroller Rosenheim</v>
      </c>
      <c r="E28" s="78">
        <f t="shared" si="3"/>
        <v>2213</v>
      </c>
      <c r="F28">
        <f t="shared" si="4"/>
        <v>18</v>
      </c>
      <c r="G28" s="153">
        <f t="shared" si="5"/>
        <v>122.94444442244445</v>
      </c>
      <c r="L28" s="91">
        <f>INDEX(Starter!A:A,ROW()-1)</f>
        <v>38865</v>
      </c>
      <c r="M28">
        <f>INDEX(SchnittGes4!M:M,MATCH(L28,SchnittGes4!L:L,0))+INDEX(Schnitt5!M:M,MATCH(L28,Schnitt5!L:L,0))</f>
        <v>2048</v>
      </c>
      <c r="N28">
        <f>INDEX(SchnittGes4!N:N,MATCH(L28,SchnittGes4!L:L,0))+INDEX(Schnitt5!N:N,MATCH(L28,Schnitt5!L:L,0))</f>
        <v>17</v>
      </c>
      <c r="O28">
        <f t="shared" si="0"/>
        <v>120.47058820729411</v>
      </c>
      <c r="P28">
        <f t="shared" si="1"/>
        <v>28</v>
      </c>
    </row>
    <row r="29" spans="1:16">
      <c r="A29">
        <f t="shared" si="6"/>
        <v>25</v>
      </c>
      <c r="B29">
        <f t="shared" si="2"/>
        <v>38904</v>
      </c>
      <c r="C29" t="str">
        <f>IFERROR(INDEX(Starter!B:B,MATCH(B29,Starter!A:A,0)),"")</f>
        <v>Vogt, Leonard</v>
      </c>
      <c r="D29" t="str">
        <f>IFERROR(INDEX(Starter!C:C,MATCH(B29,Starter!A:A,0)),"")</f>
        <v>BC EMAX</v>
      </c>
      <c r="E29" s="78">
        <f t="shared" si="3"/>
        <v>2447</v>
      </c>
      <c r="F29">
        <f t="shared" si="4"/>
        <v>20</v>
      </c>
      <c r="G29" s="153">
        <f t="shared" si="5"/>
        <v>122.34999999499999</v>
      </c>
      <c r="L29" s="91">
        <f>INDEX(Starter!A:A,ROW()-1)</f>
        <v>38714</v>
      </c>
      <c r="M29">
        <f>INDEX(SchnittGes4!M:M,MATCH(L29,SchnittGes4!L:L,0))+INDEX(Schnitt5!M:M,MATCH(L29,Schnitt5!L:L,0))</f>
        <v>2594</v>
      </c>
      <c r="N29">
        <f>INDEX(SchnittGes4!N:N,MATCH(L29,SchnittGes4!L:L,0))+INDEX(Schnitt5!N:N,MATCH(L29,Schnitt5!L:L,0))</f>
        <v>17</v>
      </c>
      <c r="O29">
        <f t="shared" si="0"/>
        <v>152.58823526511765</v>
      </c>
      <c r="P29">
        <f t="shared" si="1"/>
        <v>13</v>
      </c>
    </row>
    <row r="30" spans="1:16">
      <c r="A30">
        <f t="shared" si="6"/>
        <v>26</v>
      </c>
      <c r="B30">
        <f t="shared" si="2"/>
        <v>38848</v>
      </c>
      <c r="C30" t="str">
        <f>IFERROR(INDEX(Starter!B:B,MATCH(B30,Starter!A:A,0)),"")</f>
        <v>Marker, Anna</v>
      </c>
      <c r="D30" t="str">
        <f>IFERROR(INDEX(Starter!C:C,MATCH(B30,Starter!A:A,0)),"")</f>
        <v>BSC Highroller Rosenheim</v>
      </c>
      <c r="E30" s="78">
        <f t="shared" si="3"/>
        <v>2439</v>
      </c>
      <c r="F30">
        <f t="shared" si="4"/>
        <v>20</v>
      </c>
      <c r="G30" s="153">
        <f t="shared" si="5"/>
        <v>121.949999976</v>
      </c>
      <c r="L30" s="91">
        <f>INDEX(Starter!A:A,ROW()-1)</f>
        <v>38819</v>
      </c>
      <c r="M30">
        <f>INDEX(SchnittGes4!M:M,MATCH(L30,SchnittGes4!L:L,0))+INDEX(Schnitt5!M:M,MATCH(L30,Schnitt5!L:L,0))</f>
        <v>2092</v>
      </c>
      <c r="N30">
        <f>INDEX(SchnittGes4!N:N,MATCH(L30,SchnittGes4!L:L,0))+INDEX(Schnitt5!N:N,MATCH(L30,Schnitt5!L:L,0))</f>
        <v>16</v>
      </c>
      <c r="O30">
        <f t="shared" si="0"/>
        <v>130.74999997</v>
      </c>
      <c r="P30">
        <f t="shared" si="1"/>
        <v>21</v>
      </c>
    </row>
    <row r="31" spans="1:16">
      <c r="A31">
        <f t="shared" si="6"/>
        <v>27</v>
      </c>
      <c r="B31">
        <f t="shared" si="2"/>
        <v>38910</v>
      </c>
      <c r="C31" t="str">
        <f>IFERROR(INDEX(Starter!B:B,MATCH(B31,Starter!A:A,0)),"")</f>
        <v>Heiming, Thalea</v>
      </c>
      <c r="D31" t="str">
        <f>IFERROR(INDEX(Starter!C:C,MATCH(B31,Starter!A:A,0)),"")</f>
        <v>BC EMAX</v>
      </c>
      <c r="E31" s="78">
        <f t="shared" si="3"/>
        <v>1816</v>
      </c>
      <c r="F31">
        <f t="shared" si="4"/>
        <v>15</v>
      </c>
      <c r="G31" s="153">
        <f t="shared" si="5"/>
        <v>121.06666666066667</v>
      </c>
      <c r="L31" s="91">
        <f>INDEX(Starter!A:A,ROW()-1)</f>
        <v>38817</v>
      </c>
      <c r="M31">
        <f>INDEX(SchnittGes4!M:M,MATCH(L31,SchnittGes4!L:L,0))+INDEX(Schnitt5!M:M,MATCH(L31,Schnitt5!L:L,0))</f>
        <v>0</v>
      </c>
      <c r="N31">
        <f>INDEX(SchnittGes4!N:N,MATCH(L31,SchnittGes4!L:L,0))+INDEX(Schnitt5!N:N,MATCH(L31,Schnitt5!L:L,0))</f>
        <v>0</v>
      </c>
      <c r="O31">
        <f t="shared" si="0"/>
        <v>0</v>
      </c>
      <c r="P31">
        <f t="shared" si="1"/>
        <v>43</v>
      </c>
    </row>
    <row r="32" spans="1:16">
      <c r="A32">
        <f t="shared" si="6"/>
        <v>28</v>
      </c>
      <c r="B32">
        <f t="shared" si="2"/>
        <v>38865</v>
      </c>
      <c r="C32" t="str">
        <f>IFERROR(INDEX(Starter!B:B,MATCH(B32,Starter!A:A,0)),"")</f>
        <v>Labs, Leon</v>
      </c>
      <c r="D32" t="str">
        <f>IFERROR(INDEX(Starter!C:C,MATCH(B32,Starter!A:A,0)),"")</f>
        <v>BC Berchtesgaden</v>
      </c>
      <c r="E32" s="78">
        <f t="shared" si="3"/>
        <v>2048</v>
      </c>
      <c r="F32">
        <f t="shared" si="4"/>
        <v>17</v>
      </c>
      <c r="G32" s="153">
        <f t="shared" si="5"/>
        <v>120.47058820729411</v>
      </c>
      <c r="L32" s="91">
        <f>INDEX(Starter!A:A,ROW()-1)</f>
        <v>38905</v>
      </c>
      <c r="M32">
        <f>INDEX(SchnittGes4!M:M,MATCH(L32,SchnittGes4!L:L,0))+INDEX(Schnitt5!M:M,MATCH(L32,Schnitt5!L:L,0))</f>
        <v>971</v>
      </c>
      <c r="N32">
        <f>INDEX(SchnittGes4!N:N,MATCH(L32,SchnittGes4!L:L,0))+INDEX(Schnitt5!N:N,MATCH(L32,Schnitt5!L:L,0))</f>
        <v>13</v>
      </c>
      <c r="O32">
        <f t="shared" si="0"/>
        <v>74.692307660307691</v>
      </c>
      <c r="P32">
        <f t="shared" si="1"/>
        <v>42</v>
      </c>
    </row>
    <row r="33" spans="1:16">
      <c r="A33">
        <f t="shared" si="6"/>
        <v>29</v>
      </c>
      <c r="B33">
        <f t="shared" si="2"/>
        <v>38915</v>
      </c>
      <c r="C33" t="str">
        <f>IFERROR(INDEX(Starter!B:B,MATCH(B33,Starter!A:A,0)),"")</f>
        <v>Raj, Milan</v>
      </c>
      <c r="D33" t="str">
        <f>IFERROR(INDEX(Starter!C:C,MATCH(B33,Starter!A:A,0)),"")</f>
        <v>Bowling Jugend Bayern</v>
      </c>
      <c r="E33" s="78">
        <f t="shared" si="3"/>
        <v>827</v>
      </c>
      <c r="F33">
        <f t="shared" si="4"/>
        <v>7</v>
      </c>
      <c r="G33" s="153">
        <f t="shared" si="5"/>
        <v>118.14285710185713</v>
      </c>
      <c r="L33" s="91">
        <f>INDEX(Starter!A:A,ROW()-1)</f>
        <v>38937</v>
      </c>
      <c r="M33">
        <f>INDEX(SchnittGes4!M:M,MATCH(L33,SchnittGes4!L:L,0))+INDEX(Schnitt5!M:M,MATCH(L33,Schnitt5!L:L,0))</f>
        <v>1602</v>
      </c>
      <c r="N33">
        <f>INDEX(SchnittGes4!N:N,MATCH(L33,SchnittGes4!L:L,0))+INDEX(Schnitt5!N:N,MATCH(L33,Schnitt5!L:L,0))</f>
        <v>12</v>
      </c>
      <c r="O33">
        <f t="shared" si="0"/>
        <v>133.49999996700001</v>
      </c>
      <c r="P33">
        <f t="shared" si="1"/>
        <v>20</v>
      </c>
    </row>
    <row r="34" spans="1:16">
      <c r="A34">
        <f t="shared" si="6"/>
        <v>30</v>
      </c>
      <c r="B34">
        <f t="shared" si="2"/>
        <v>38927</v>
      </c>
      <c r="C34" t="str">
        <f>IFERROR(INDEX(Starter!B:B,MATCH(B34,Starter!A:A,0)),"")</f>
        <v>Bonnaire, Ben</v>
      </c>
      <c r="D34" t="str">
        <f>IFERROR(INDEX(Starter!C:C,MATCH(B34,Starter!A:A,0)),"")</f>
        <v>Bowling Jugend Bayern</v>
      </c>
      <c r="E34" s="78">
        <f t="shared" si="3"/>
        <v>1963</v>
      </c>
      <c r="F34">
        <f t="shared" si="4"/>
        <v>17</v>
      </c>
      <c r="G34" s="153">
        <f t="shared" si="5"/>
        <v>115.47058819829411</v>
      </c>
      <c r="L34" s="91">
        <f>INDEX(Starter!A:A,ROW()-1)</f>
        <v>38655</v>
      </c>
      <c r="M34">
        <f>INDEX(SchnittGes4!M:M,MATCH(L34,SchnittGes4!L:L,0))+INDEX(Schnitt5!M:M,MATCH(L34,Schnitt5!L:L,0))</f>
        <v>1940</v>
      </c>
      <c r="N34">
        <f>INDEX(SchnittGes4!N:N,MATCH(L34,SchnittGes4!L:L,0))+INDEX(Schnitt5!N:N,MATCH(L34,Schnitt5!L:L,0))</f>
        <v>10</v>
      </c>
      <c r="O34">
        <f t="shared" ref="O34:O65" si="7">IF(N34=0,0,M34/N34-ROW()/1000000000)</f>
        <v>193.99999996599999</v>
      </c>
      <c r="P34">
        <f t="shared" ref="P34:P65" si="8">RANK(O34,O:O)</f>
        <v>3</v>
      </c>
    </row>
    <row r="35" spans="1:16">
      <c r="A35">
        <f t="shared" si="6"/>
        <v>31</v>
      </c>
      <c r="B35">
        <f t="shared" si="2"/>
        <v>38810</v>
      </c>
      <c r="C35" t="str">
        <f>IFERROR(INDEX(Starter!B:B,MATCH(B35,Starter!A:A,0)),"")</f>
        <v>Vokshi, Finn</v>
      </c>
      <c r="D35" t="str">
        <f>IFERROR(INDEX(Starter!C:C,MATCH(B35,Starter!A:A,0)),"")</f>
        <v>BSC Highroller Rosenheim</v>
      </c>
      <c r="E35" s="78">
        <f t="shared" si="3"/>
        <v>1823</v>
      </c>
      <c r="F35">
        <f t="shared" si="4"/>
        <v>16</v>
      </c>
      <c r="G35" s="153">
        <f t="shared" si="5"/>
        <v>113.937499977</v>
      </c>
      <c r="L35" s="91">
        <f>INDEX(Starter!A:A,ROW()-1)</f>
        <v>38708</v>
      </c>
      <c r="M35">
        <f>INDEX(SchnittGes4!M:M,MATCH(L35,SchnittGes4!L:L,0))+INDEX(Schnitt5!M:M,MATCH(L35,Schnitt5!L:L,0))</f>
        <v>4938</v>
      </c>
      <c r="N35">
        <f>INDEX(SchnittGes4!N:N,MATCH(L35,SchnittGes4!L:L,0))+INDEX(Schnitt5!N:N,MATCH(L35,Schnitt5!L:L,0))</f>
        <v>25</v>
      </c>
      <c r="O35">
        <f t="shared" si="7"/>
        <v>197.51999996500001</v>
      </c>
      <c r="P35">
        <f t="shared" si="8"/>
        <v>1</v>
      </c>
    </row>
    <row r="36" spans="1:16">
      <c r="A36">
        <f t="shared" si="6"/>
        <v>32</v>
      </c>
      <c r="B36">
        <f t="shared" si="2"/>
        <v>38849</v>
      </c>
      <c r="C36" t="str">
        <f>IFERROR(INDEX(Starter!B:B,MATCH(B36,Starter!A:A,0)),"")</f>
        <v>Marker, Lena</v>
      </c>
      <c r="D36" t="str">
        <f>IFERROR(INDEX(Starter!C:C,MATCH(B36,Starter!A:A,0)),"")</f>
        <v>BSC Highroller Rosenheim</v>
      </c>
      <c r="E36" s="78">
        <f t="shared" si="3"/>
        <v>2377</v>
      </c>
      <c r="F36">
        <f t="shared" si="4"/>
        <v>21</v>
      </c>
      <c r="G36" s="153">
        <f t="shared" si="5"/>
        <v>113.19047616547618</v>
      </c>
      <c r="L36" s="91">
        <f>INDEX(Starter!A:A,ROW()-1)</f>
        <v>38327</v>
      </c>
      <c r="M36">
        <f>INDEX(SchnittGes4!M:M,MATCH(L36,SchnittGes4!L:L,0))+INDEX(Schnitt5!M:M,MATCH(L36,Schnitt5!L:L,0))</f>
        <v>3929</v>
      </c>
      <c r="N36">
        <f>INDEX(SchnittGes4!N:N,MATCH(L36,SchnittGes4!L:L,0))+INDEX(Schnitt5!N:N,MATCH(L36,Schnitt5!L:L,0))</f>
        <v>20</v>
      </c>
      <c r="O36">
        <f t="shared" si="7"/>
        <v>196.449999964</v>
      </c>
      <c r="P36">
        <f t="shared" si="8"/>
        <v>2</v>
      </c>
    </row>
    <row r="37" spans="1:16">
      <c r="A37">
        <f t="shared" si="6"/>
        <v>33</v>
      </c>
      <c r="B37">
        <f t="shared" ref="B37:B68" si="9">IFERROR(INDEX(L:L,MATCH(A37,P:P,0)),"")</f>
        <v>38923</v>
      </c>
      <c r="C37" t="str">
        <f>IFERROR(INDEX(Starter!B:B,MATCH(B37,Starter!A:A,0)),"")</f>
        <v>Weinrich, Lena</v>
      </c>
      <c r="D37" t="str">
        <f>IFERROR(INDEX(Starter!C:C,MATCH(B37,Starter!A:A,0)),"")</f>
        <v>BSC Highroller Rosenheim</v>
      </c>
      <c r="E37" s="78">
        <f t="shared" ref="E37:E68" si="10">IFERROR(INDEX(M:M,MATCH(A37,P:P,0)),"")</f>
        <v>1583</v>
      </c>
      <c r="F37">
        <f t="shared" ref="F37:F68" si="11">IFERROR(INDEX(N:N,MATCH(A37,P:P,0)),"")</f>
        <v>14</v>
      </c>
      <c r="G37" s="153">
        <f t="shared" ref="G37:G68" si="12">IFERROR(INDEX(O:O,MATCH(A37,P:P,0)),"")</f>
        <v>113.07142855342858</v>
      </c>
      <c r="L37" s="91">
        <f>INDEX(Starter!A:A,ROW()-1)</f>
        <v>38927</v>
      </c>
      <c r="M37">
        <f>INDEX(SchnittGes4!M:M,MATCH(L37,SchnittGes4!L:L,0))+INDEX(Schnitt5!M:M,MATCH(L37,Schnitt5!L:L,0))</f>
        <v>1963</v>
      </c>
      <c r="N37">
        <f>INDEX(SchnittGes4!N:N,MATCH(L37,SchnittGes4!L:L,0))+INDEX(Schnitt5!N:N,MATCH(L37,Schnitt5!L:L,0))</f>
        <v>17</v>
      </c>
      <c r="O37">
        <f t="shared" si="7"/>
        <v>115.47058819829411</v>
      </c>
      <c r="P37">
        <f t="shared" si="8"/>
        <v>30</v>
      </c>
    </row>
    <row r="38" spans="1:16">
      <c r="A38">
        <f t="shared" ref="A38:A69" si="13">IFERROR(IF(A37+1&gt;MAX(P:P)-1,"",A37+1),"")</f>
        <v>34</v>
      </c>
      <c r="B38">
        <f t="shared" si="9"/>
        <v>38785</v>
      </c>
      <c r="C38" t="str">
        <f>IFERROR(INDEX(Starter!B:B,MATCH(B38,Starter!A:A,0)),"")</f>
        <v>Mrosek, Laura Maria</v>
      </c>
      <c r="D38" t="str">
        <f>IFERROR(INDEX(Starter!C:C,MATCH(B38,Starter!A:A,0)),"")</f>
        <v>BC EMAX</v>
      </c>
      <c r="E38" s="78">
        <f t="shared" si="10"/>
        <v>896</v>
      </c>
      <c r="F38">
        <f t="shared" si="11"/>
        <v>8</v>
      </c>
      <c r="G38" s="153">
        <f t="shared" si="12"/>
        <v>111.999999997</v>
      </c>
      <c r="L38" s="91">
        <f>INDEX(Starter!A:A,ROW()-1)</f>
        <v>38795</v>
      </c>
      <c r="M38">
        <f>INDEX(SchnittGes4!M:M,MATCH(L38,SchnittGes4!L:L,0))+INDEX(Schnitt5!M:M,MATCH(L38,Schnitt5!L:L,0))</f>
        <v>778</v>
      </c>
      <c r="N38">
        <f>INDEX(SchnittGes4!N:N,MATCH(L38,SchnittGes4!L:L,0))+INDEX(Schnitt5!N:N,MATCH(L38,Schnitt5!L:L,0))</f>
        <v>5</v>
      </c>
      <c r="O38">
        <f t="shared" si="7"/>
        <v>155.599999962</v>
      </c>
      <c r="P38">
        <f t="shared" si="8"/>
        <v>10</v>
      </c>
    </row>
    <row r="39" spans="1:16">
      <c r="A39">
        <f t="shared" si="13"/>
        <v>35</v>
      </c>
      <c r="B39">
        <f t="shared" si="9"/>
        <v>38920</v>
      </c>
      <c r="C39" t="str">
        <f>IFERROR(INDEX(Starter!B:B,MATCH(B39,Starter!A:A,0)),"")</f>
        <v>Schwarzfischer, Leon</v>
      </c>
      <c r="D39" t="str">
        <f>IFERROR(INDEX(Starter!C:C,MATCH(B39,Starter!A:A,0)),"")</f>
        <v>BSC Highroller Rosenheim</v>
      </c>
      <c r="E39" s="78">
        <f t="shared" si="10"/>
        <v>1897</v>
      </c>
      <c r="F39">
        <f t="shared" si="11"/>
        <v>19</v>
      </c>
      <c r="G39" s="153">
        <f t="shared" si="12"/>
        <v>99.842105244157892</v>
      </c>
      <c r="L39" s="91">
        <f>INDEX(Starter!A:A,ROW()-1)</f>
        <v>38674</v>
      </c>
      <c r="M39">
        <f>INDEX(SchnittGes4!M:M,MATCH(L39,SchnittGes4!L:L,0))+INDEX(Schnitt5!M:M,MATCH(L39,Schnitt5!L:L,0))</f>
        <v>717</v>
      </c>
      <c r="N39">
        <f>INDEX(SchnittGes4!N:N,MATCH(L39,SchnittGes4!L:L,0))+INDEX(Schnitt5!N:N,MATCH(L39,Schnitt5!L:L,0))</f>
        <v>5</v>
      </c>
      <c r="O39">
        <f t="shared" si="7"/>
        <v>143.39999996099999</v>
      </c>
      <c r="P39">
        <f t="shared" si="8"/>
        <v>16</v>
      </c>
    </row>
    <row r="40" spans="1:16">
      <c r="A40">
        <f t="shared" si="13"/>
        <v>36</v>
      </c>
      <c r="B40">
        <f t="shared" si="9"/>
        <v>38831</v>
      </c>
      <c r="C40" t="str">
        <f>IFERROR(INDEX(Starter!B:B,MATCH(B40,Starter!A:A,0)),"")</f>
        <v>Thiele, Isabelle</v>
      </c>
      <c r="D40" t="str">
        <f>IFERROR(INDEX(Starter!C:C,MATCH(B40,Starter!A:A,0)),"")</f>
        <v>BSC Highroller Rosenheim</v>
      </c>
      <c r="E40" s="78">
        <f t="shared" si="10"/>
        <v>589</v>
      </c>
      <c r="F40">
        <f t="shared" si="11"/>
        <v>6</v>
      </c>
      <c r="G40" s="153">
        <f t="shared" si="12"/>
        <v>98.166666651666674</v>
      </c>
      <c r="L40" s="91">
        <f>INDEX(Starter!A:A,ROW()-1)</f>
        <v>38894</v>
      </c>
      <c r="M40">
        <f>INDEX(SchnittGes4!M:M,MATCH(L40,SchnittGes4!L:L,0))+INDEX(Schnitt5!M:M,MATCH(L40,Schnitt5!L:L,0))</f>
        <v>713</v>
      </c>
      <c r="N40">
        <f>INDEX(SchnittGes4!N:N,MATCH(L40,SchnittGes4!L:L,0))+INDEX(Schnitt5!N:N,MATCH(L40,Schnitt5!L:L,0))</f>
        <v>5</v>
      </c>
      <c r="O40">
        <f t="shared" si="7"/>
        <v>142.59999995999999</v>
      </c>
      <c r="P40">
        <f t="shared" si="8"/>
        <v>18</v>
      </c>
    </row>
    <row r="41" spans="1:16">
      <c r="A41">
        <f t="shared" si="13"/>
        <v>37</v>
      </c>
      <c r="B41">
        <f t="shared" si="9"/>
        <v>38890</v>
      </c>
      <c r="C41" t="str">
        <f>IFERROR(INDEX(Starter!B:B,MATCH(B41,Starter!A:A,0)),"")</f>
        <v>Hofer, Anja</v>
      </c>
      <c r="D41" t="str">
        <f>IFERROR(INDEX(Starter!C:C,MATCH(B41,Starter!A:A,0)),"")</f>
        <v>BC EMAX</v>
      </c>
      <c r="E41" s="78">
        <f t="shared" si="10"/>
        <v>1855</v>
      </c>
      <c r="F41">
        <f t="shared" si="11"/>
        <v>19</v>
      </c>
      <c r="G41" s="153">
        <f t="shared" si="12"/>
        <v>97.631578945368432</v>
      </c>
      <c r="L41" s="91">
        <f>INDEX(Starter!A:A,ROW()-1)</f>
        <v>38915</v>
      </c>
      <c r="M41">
        <f>INDEX(SchnittGes4!M:M,MATCH(L41,SchnittGes4!L:L,0))+INDEX(Schnitt5!M:M,MATCH(L41,Schnitt5!L:L,0))</f>
        <v>827</v>
      </c>
      <c r="N41">
        <f>INDEX(SchnittGes4!N:N,MATCH(L41,SchnittGes4!L:L,0))+INDEX(Schnitt5!N:N,MATCH(L41,Schnitt5!L:L,0))</f>
        <v>7</v>
      </c>
      <c r="O41">
        <f t="shared" si="7"/>
        <v>118.14285710185713</v>
      </c>
      <c r="P41">
        <f t="shared" si="8"/>
        <v>29</v>
      </c>
    </row>
    <row r="42" spans="1:16">
      <c r="A42">
        <f t="shared" si="13"/>
        <v>38</v>
      </c>
      <c r="B42">
        <f t="shared" si="9"/>
        <v>38941</v>
      </c>
      <c r="C42" t="str">
        <f>IFERROR(INDEX(Starter!B:B,MATCH(B42,Starter!A:A,0)),"")</f>
        <v>Calik, Ilay</v>
      </c>
      <c r="D42" t="str">
        <f>IFERROR(INDEX(Starter!C:C,MATCH(B42,Starter!A:A,0)),"")</f>
        <v>Bowling Jugend Bayern</v>
      </c>
      <c r="E42" s="78">
        <f t="shared" si="10"/>
        <v>580</v>
      </c>
      <c r="F42">
        <f t="shared" si="11"/>
        <v>6</v>
      </c>
      <c r="G42" s="153">
        <f t="shared" si="12"/>
        <v>96.666666620666675</v>
      </c>
      <c r="L42" s="91">
        <f>INDEX(Starter!A:A,ROW()-1)</f>
        <v>38781</v>
      </c>
      <c r="M42">
        <f>INDEX(SchnittGes4!M:M,MATCH(L42,SchnittGes4!L:L,0))+INDEX(Schnitt5!M:M,MATCH(L42,Schnitt5!L:L,0))</f>
        <v>2242</v>
      </c>
      <c r="N42">
        <f>INDEX(SchnittGes4!N:N,MATCH(L42,SchnittGes4!L:L,0))+INDEX(Schnitt5!N:N,MATCH(L42,Schnitt5!L:L,0))</f>
        <v>15</v>
      </c>
      <c r="O42">
        <f t="shared" si="7"/>
        <v>149.46666662466666</v>
      </c>
      <c r="P42">
        <f t="shared" si="8"/>
        <v>14</v>
      </c>
    </row>
    <row r="43" spans="1:16">
      <c r="A43">
        <f t="shared" si="13"/>
        <v>39</v>
      </c>
      <c r="B43">
        <f t="shared" si="9"/>
        <v>38922</v>
      </c>
      <c r="C43" t="str">
        <f>IFERROR(INDEX(Starter!B:B,MATCH(B43,Starter!A:A,0)),"")</f>
        <v>Schimanski, Theodor</v>
      </c>
      <c r="D43" t="str">
        <f>IFERROR(INDEX(Starter!C:C,MATCH(B43,Starter!A:A,0)),"")</f>
        <v>BSC Highroller Rosenheim</v>
      </c>
      <c r="E43" s="78">
        <f t="shared" si="10"/>
        <v>1730</v>
      </c>
      <c r="F43">
        <f t="shared" si="11"/>
        <v>18</v>
      </c>
      <c r="G43" s="153">
        <f t="shared" si="12"/>
        <v>96.111111090111109</v>
      </c>
      <c r="L43" s="91">
        <f>INDEX(Starter!A:A,ROW()-1)</f>
        <v>38940</v>
      </c>
      <c r="M43">
        <f>INDEX(SchnittGes4!M:M,MATCH(L43,SchnittGes4!L:L,0))+INDEX(Schnitt5!M:M,MATCH(L43,Schnitt5!L:L,0))</f>
        <v>742</v>
      </c>
      <c r="N43">
        <f>INDEX(SchnittGes4!N:N,MATCH(L43,SchnittGes4!L:L,0))+INDEX(Schnitt5!N:N,MATCH(L43,Schnitt5!L:L,0))</f>
        <v>6</v>
      </c>
      <c r="O43">
        <f t="shared" si="7"/>
        <v>123.66666662366667</v>
      </c>
      <c r="P43">
        <f t="shared" si="8"/>
        <v>23</v>
      </c>
    </row>
    <row r="44" spans="1:16">
      <c r="A44">
        <f t="shared" si="13"/>
        <v>40</v>
      </c>
      <c r="B44">
        <f t="shared" si="9"/>
        <v>38893</v>
      </c>
      <c r="C44" t="str">
        <f>IFERROR(INDEX(Starter!B:B,MATCH(B44,Starter!A:A,0)),"")</f>
        <v>Rothemund, Louis</v>
      </c>
      <c r="D44" t="str">
        <f>IFERROR(INDEX(Starter!C:C,MATCH(B44,Starter!A:A,0)),"")</f>
        <v>Absolut-Sports.com</v>
      </c>
      <c r="E44" s="78">
        <f t="shared" si="10"/>
        <v>1199</v>
      </c>
      <c r="F44">
        <f t="shared" si="11"/>
        <v>13</v>
      </c>
      <c r="G44" s="153">
        <f t="shared" si="12"/>
        <v>92.230769218769225</v>
      </c>
      <c r="L44" s="91">
        <f>INDEX(Starter!A:A,ROW()-1)</f>
        <v>38942</v>
      </c>
      <c r="M44">
        <f>INDEX(SchnittGes4!M:M,MATCH(L44,SchnittGes4!L:L,0))+INDEX(Schnitt5!M:M,MATCH(L44,Schnitt5!L:L,0))</f>
        <v>2300</v>
      </c>
      <c r="N44">
        <f>INDEX(SchnittGes4!N:N,MATCH(L44,SchnittGes4!L:L,0))+INDEX(Schnitt5!N:N,MATCH(L44,Schnitt5!L:L,0))</f>
        <v>15</v>
      </c>
      <c r="O44">
        <f t="shared" si="7"/>
        <v>153.33333328933335</v>
      </c>
      <c r="P44">
        <f t="shared" si="8"/>
        <v>12</v>
      </c>
    </row>
    <row r="45" spans="1:16">
      <c r="A45">
        <f t="shared" si="13"/>
        <v>41</v>
      </c>
      <c r="B45">
        <f t="shared" si="9"/>
        <v>38921</v>
      </c>
      <c r="C45" t="str">
        <f>IFERROR(INDEX(Starter!B:B,MATCH(B45,Starter!A:A,0)),"")</f>
        <v>Schimanski, Johanna</v>
      </c>
      <c r="D45" t="str">
        <f>IFERROR(INDEX(Starter!C:C,MATCH(B45,Starter!A:A,0)),"")</f>
        <v>BSC Highroller Rosenheim</v>
      </c>
      <c r="E45" s="78">
        <f t="shared" si="10"/>
        <v>1368</v>
      </c>
      <c r="F45">
        <f t="shared" si="11"/>
        <v>18</v>
      </c>
      <c r="G45" s="153">
        <f t="shared" si="12"/>
        <v>75.999999979999998</v>
      </c>
      <c r="L45" s="91">
        <f>INDEX(Starter!A:A,ROW()-1)</f>
        <v>38334</v>
      </c>
      <c r="M45">
        <f>INDEX(SchnittGes4!M:M,MATCH(L45,SchnittGes4!L:L,0))+INDEX(Schnitt5!M:M,MATCH(L45,Schnitt5!L:L,0))</f>
        <v>2849</v>
      </c>
      <c r="N45">
        <f>INDEX(SchnittGes4!N:N,MATCH(L45,SchnittGes4!L:L,0))+INDEX(Schnitt5!N:N,MATCH(L45,Schnitt5!L:L,0))</f>
        <v>15</v>
      </c>
      <c r="O45">
        <f t="shared" si="7"/>
        <v>189.93333328833333</v>
      </c>
      <c r="P45">
        <f t="shared" si="8"/>
        <v>4</v>
      </c>
    </row>
    <row r="46" spans="1:16">
      <c r="A46">
        <f t="shared" si="13"/>
        <v>42</v>
      </c>
      <c r="B46">
        <f t="shared" si="9"/>
        <v>38905</v>
      </c>
      <c r="C46" t="str">
        <f>IFERROR(INDEX(Starter!B:B,MATCH(B46,Starter!A:A,0)),"")</f>
        <v>Laubach, Nina</v>
      </c>
      <c r="D46" t="str">
        <f>IFERROR(INDEX(Starter!C:C,MATCH(B46,Starter!A:A,0)),"")</f>
        <v>BC Berchtesgaden</v>
      </c>
      <c r="E46" s="78">
        <f t="shared" si="10"/>
        <v>971</v>
      </c>
      <c r="F46">
        <f t="shared" si="11"/>
        <v>13</v>
      </c>
      <c r="G46" s="153">
        <f t="shared" si="12"/>
        <v>74.692307660307691</v>
      </c>
      <c r="L46" s="91">
        <f>INDEX(Starter!A:A,ROW()-1)</f>
        <v>38941</v>
      </c>
      <c r="M46">
        <f>INDEX(SchnittGes4!M:M,MATCH(L46,SchnittGes4!L:L,0))+INDEX(Schnitt5!M:M,MATCH(L46,Schnitt5!L:L,0))</f>
        <v>580</v>
      </c>
      <c r="N46">
        <f>INDEX(SchnittGes4!N:N,MATCH(L46,SchnittGes4!L:L,0))+INDEX(Schnitt5!N:N,MATCH(L46,Schnitt5!L:L,0))</f>
        <v>6</v>
      </c>
      <c r="O46">
        <f t="shared" si="7"/>
        <v>96.666666620666675</v>
      </c>
      <c r="P46">
        <f t="shared" si="8"/>
        <v>38</v>
      </c>
    </row>
    <row r="47" spans="1:16">
      <c r="A47" t="str">
        <f t="shared" si="13"/>
        <v/>
      </c>
      <c r="B47" t="str">
        <f t="shared" si="9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10"/>
        <v/>
      </c>
      <c r="F47" t="str">
        <f t="shared" si="11"/>
        <v/>
      </c>
      <c r="G47" s="153" t="str">
        <f t="shared" si="12"/>
        <v/>
      </c>
      <c r="L47" s="91">
        <f>INDEX(Starter!A:A,ROW()-1)</f>
        <v>38626</v>
      </c>
      <c r="M47">
        <f>INDEX(SchnittGes4!M:M,MATCH(L47,SchnittGes4!L:L,0))+INDEX(Schnitt5!M:M,MATCH(L47,Schnitt5!L:L,0))</f>
        <v>794</v>
      </c>
      <c r="N47">
        <f>INDEX(SchnittGes4!N:N,MATCH(L47,SchnittGes4!L:L,0))+INDEX(Schnitt5!N:N,MATCH(L47,Schnitt5!L:L,0))</f>
        <v>5</v>
      </c>
      <c r="O47">
        <f t="shared" si="7"/>
        <v>158.79999995300003</v>
      </c>
      <c r="P47">
        <f t="shared" si="8"/>
        <v>7</v>
      </c>
    </row>
    <row r="48" spans="1:16">
      <c r="A48" t="str">
        <f t="shared" si="13"/>
        <v/>
      </c>
      <c r="B48" t="str">
        <f t="shared" si="9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10"/>
        <v/>
      </c>
      <c r="F48" t="str">
        <f t="shared" si="11"/>
        <v/>
      </c>
      <c r="G48" s="153" t="str">
        <f t="shared" si="12"/>
        <v/>
      </c>
      <c r="L48" s="91">
        <f>INDEX(Starter!A:A,ROW()-1)</f>
        <v>0</v>
      </c>
      <c r="M48">
        <f>INDEX(SchnittGes4!M:M,MATCH(L48,SchnittGes4!L:L,0))+INDEX(Schnitt5!M:M,MATCH(L48,Schnitt5!L:L,0))</f>
        <v>0</v>
      </c>
      <c r="N48">
        <f>INDEX(SchnittGes4!N:N,MATCH(L48,SchnittGes4!L:L,0))+INDEX(Schnitt5!N:N,MATCH(L48,Schnitt5!L:L,0))</f>
        <v>0</v>
      </c>
      <c r="O48">
        <f t="shared" si="7"/>
        <v>0</v>
      </c>
      <c r="P48">
        <f t="shared" si="8"/>
        <v>43</v>
      </c>
    </row>
    <row r="49" spans="1:16">
      <c r="A49" t="str">
        <f t="shared" si="13"/>
        <v/>
      </c>
      <c r="B49" t="str">
        <f t="shared" si="9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10"/>
        <v/>
      </c>
      <c r="F49" t="str">
        <f t="shared" si="11"/>
        <v/>
      </c>
      <c r="G49" s="153" t="str">
        <f t="shared" si="12"/>
        <v/>
      </c>
      <c r="L49" s="91">
        <f>INDEX(Starter!A:A,ROW()-1)</f>
        <v>0</v>
      </c>
      <c r="M49">
        <f>INDEX(SchnittGes4!M:M,MATCH(L49,SchnittGes4!L:L,0))+INDEX(Schnitt5!M:M,MATCH(L49,Schnitt5!L:L,0))</f>
        <v>0</v>
      </c>
      <c r="N49">
        <f>INDEX(SchnittGes4!N:N,MATCH(L49,SchnittGes4!L:L,0))+INDEX(Schnitt5!N:N,MATCH(L49,Schnitt5!L:L,0))</f>
        <v>0</v>
      </c>
      <c r="O49">
        <f t="shared" si="7"/>
        <v>0</v>
      </c>
      <c r="P49">
        <f t="shared" si="8"/>
        <v>43</v>
      </c>
    </row>
    <row r="50" spans="1:16">
      <c r="A50" t="str">
        <f t="shared" si="13"/>
        <v/>
      </c>
      <c r="B50" t="str">
        <f t="shared" si="9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10"/>
        <v/>
      </c>
      <c r="F50" t="str">
        <f t="shared" si="11"/>
        <v/>
      </c>
      <c r="G50" s="153" t="str">
        <f t="shared" si="12"/>
        <v/>
      </c>
      <c r="L50" s="91">
        <f>INDEX(Starter!A:A,ROW()-1)</f>
        <v>0</v>
      </c>
      <c r="M50">
        <f>INDEX(SchnittGes4!M:M,MATCH(L50,SchnittGes4!L:L,0))+INDEX(Schnitt5!M:M,MATCH(L50,Schnitt5!L:L,0))</f>
        <v>0</v>
      </c>
      <c r="N50">
        <f>INDEX(SchnittGes4!N:N,MATCH(L50,SchnittGes4!L:L,0))+INDEX(Schnitt5!N:N,MATCH(L50,Schnitt5!L:L,0))</f>
        <v>0</v>
      </c>
      <c r="O50">
        <f t="shared" si="7"/>
        <v>0</v>
      </c>
      <c r="P50">
        <f t="shared" si="8"/>
        <v>43</v>
      </c>
    </row>
    <row r="51" spans="1:16">
      <c r="A51" t="str">
        <f t="shared" si="13"/>
        <v/>
      </c>
      <c r="B51" t="str">
        <f t="shared" si="9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10"/>
        <v/>
      </c>
      <c r="F51" t="str">
        <f t="shared" si="11"/>
        <v/>
      </c>
      <c r="G51" s="153" t="str">
        <f t="shared" si="12"/>
        <v/>
      </c>
      <c r="L51" s="91">
        <f>INDEX(Starter!A:A,ROW()-1)</f>
        <v>0</v>
      </c>
      <c r="M51">
        <f>INDEX(SchnittGes4!M:M,MATCH(L51,SchnittGes4!L:L,0))+INDEX(Schnitt5!M:M,MATCH(L51,Schnitt5!L:L,0))</f>
        <v>0</v>
      </c>
      <c r="N51">
        <f>INDEX(SchnittGes4!N:N,MATCH(L51,SchnittGes4!L:L,0))+INDEX(Schnitt5!N:N,MATCH(L51,Schnitt5!L:L,0))</f>
        <v>0</v>
      </c>
      <c r="O51">
        <f t="shared" si="7"/>
        <v>0</v>
      </c>
      <c r="P51">
        <f t="shared" si="8"/>
        <v>43</v>
      </c>
    </row>
    <row r="52" spans="1:16">
      <c r="A52" t="str">
        <f t="shared" si="13"/>
        <v/>
      </c>
      <c r="B52" t="str">
        <f t="shared" si="9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10"/>
        <v/>
      </c>
      <c r="F52" t="str">
        <f t="shared" si="11"/>
        <v/>
      </c>
      <c r="G52" s="153" t="str">
        <f t="shared" si="12"/>
        <v/>
      </c>
      <c r="L52" s="91">
        <f>INDEX(Starter!A:A,ROW()-1)</f>
        <v>0</v>
      </c>
      <c r="M52">
        <f>INDEX(SchnittGes4!M:M,MATCH(L52,SchnittGes4!L:L,0))+INDEX(Schnitt5!M:M,MATCH(L52,Schnitt5!L:L,0))</f>
        <v>0</v>
      </c>
      <c r="N52">
        <f>INDEX(SchnittGes4!N:N,MATCH(L52,SchnittGes4!L:L,0))+INDEX(Schnitt5!N:N,MATCH(L52,Schnitt5!L:L,0))</f>
        <v>0</v>
      </c>
      <c r="O52">
        <f t="shared" si="7"/>
        <v>0</v>
      </c>
      <c r="P52">
        <f t="shared" si="8"/>
        <v>43</v>
      </c>
    </row>
    <row r="53" spans="1:16">
      <c r="A53" t="str">
        <f t="shared" si="13"/>
        <v/>
      </c>
      <c r="B53" t="str">
        <f t="shared" si="9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10"/>
        <v/>
      </c>
      <c r="F53" t="str">
        <f t="shared" si="11"/>
        <v/>
      </c>
      <c r="G53" s="153" t="str">
        <f t="shared" si="12"/>
        <v/>
      </c>
      <c r="L53" s="91">
        <f>INDEX(Starter!A:A,ROW()-1)</f>
        <v>0</v>
      </c>
      <c r="M53">
        <f>INDEX(SchnittGes4!M:M,MATCH(L53,SchnittGes4!L:L,0))+INDEX(Schnitt5!M:M,MATCH(L53,Schnitt5!L:L,0))</f>
        <v>0</v>
      </c>
      <c r="N53">
        <f>INDEX(SchnittGes4!N:N,MATCH(L53,SchnittGes4!L:L,0))+INDEX(Schnitt5!N:N,MATCH(L53,Schnitt5!L:L,0))</f>
        <v>0</v>
      </c>
      <c r="O53">
        <f t="shared" si="7"/>
        <v>0</v>
      </c>
      <c r="P53">
        <f t="shared" si="8"/>
        <v>43</v>
      </c>
    </row>
    <row r="54" spans="1:16">
      <c r="A54" t="str">
        <f t="shared" si="13"/>
        <v/>
      </c>
      <c r="B54" t="str">
        <f t="shared" si="9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10"/>
        <v/>
      </c>
      <c r="F54" t="str">
        <f t="shared" si="11"/>
        <v/>
      </c>
      <c r="G54" s="153" t="str">
        <f t="shared" si="12"/>
        <v/>
      </c>
      <c r="L54" s="91">
        <f>INDEX(Starter!A:A,ROW()-1)</f>
        <v>0</v>
      </c>
      <c r="M54">
        <f>INDEX(SchnittGes4!M:M,MATCH(L54,SchnittGes4!L:L,0))+INDEX(Schnitt5!M:M,MATCH(L54,Schnitt5!L:L,0))</f>
        <v>0</v>
      </c>
      <c r="N54">
        <f>INDEX(SchnittGes4!N:N,MATCH(L54,SchnittGes4!L:L,0))+INDEX(Schnitt5!N:N,MATCH(L54,Schnitt5!L:L,0))</f>
        <v>0</v>
      </c>
      <c r="O54">
        <f t="shared" si="7"/>
        <v>0</v>
      </c>
      <c r="P54">
        <f t="shared" si="8"/>
        <v>43</v>
      </c>
    </row>
    <row r="55" spans="1:16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10"/>
        <v/>
      </c>
      <c r="F55" t="str">
        <f t="shared" si="11"/>
        <v/>
      </c>
      <c r="G55" s="153" t="str">
        <f t="shared" si="12"/>
        <v/>
      </c>
      <c r="L55" s="91">
        <f>INDEX(Starter!A:A,ROW()-1)</f>
        <v>0</v>
      </c>
      <c r="M55">
        <f>INDEX(SchnittGes4!M:M,MATCH(L55,SchnittGes4!L:L,0))+INDEX(Schnitt5!M:M,MATCH(L55,Schnitt5!L:L,0))</f>
        <v>0</v>
      </c>
      <c r="N55">
        <f>INDEX(SchnittGes4!N:N,MATCH(L55,SchnittGes4!L:L,0))+INDEX(Schnitt5!N:N,MATCH(L55,Schnitt5!L:L,0))</f>
        <v>0</v>
      </c>
      <c r="O55">
        <f t="shared" si="7"/>
        <v>0</v>
      </c>
      <c r="P55">
        <f t="shared" si="8"/>
        <v>43</v>
      </c>
    </row>
    <row r="56" spans="1:16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10"/>
        <v/>
      </c>
      <c r="F56" t="str">
        <f t="shared" si="11"/>
        <v/>
      </c>
      <c r="G56" s="153" t="str">
        <f t="shared" si="12"/>
        <v/>
      </c>
      <c r="L56" s="91">
        <f>INDEX(Starter!A:A,ROW()-1)</f>
        <v>0</v>
      </c>
      <c r="M56">
        <f>INDEX(SchnittGes4!M:M,MATCH(L56,SchnittGes4!L:L,0))+INDEX(Schnitt5!M:M,MATCH(L56,Schnitt5!L:L,0))</f>
        <v>0</v>
      </c>
      <c r="N56">
        <f>INDEX(SchnittGes4!N:N,MATCH(L56,SchnittGes4!L:L,0))+INDEX(Schnitt5!N:N,MATCH(L56,Schnitt5!L:L,0))</f>
        <v>0</v>
      </c>
      <c r="O56">
        <f t="shared" si="7"/>
        <v>0</v>
      </c>
      <c r="P56">
        <f t="shared" si="8"/>
        <v>43</v>
      </c>
    </row>
    <row r="57" spans="1:16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10"/>
        <v/>
      </c>
      <c r="F57" t="str">
        <f t="shared" si="11"/>
        <v/>
      </c>
      <c r="G57" s="153" t="str">
        <f t="shared" si="12"/>
        <v/>
      </c>
      <c r="L57" s="91">
        <f>INDEX(Starter!A:A,ROW()-1)</f>
        <v>0</v>
      </c>
      <c r="M57">
        <f>INDEX(SchnittGes4!M:M,MATCH(L57,SchnittGes4!L:L,0))+INDEX(Schnitt5!M:M,MATCH(L57,Schnitt5!L:L,0))</f>
        <v>0</v>
      </c>
      <c r="N57">
        <f>INDEX(SchnittGes4!N:N,MATCH(L57,SchnittGes4!L:L,0))+INDEX(Schnitt5!N:N,MATCH(L57,Schnitt5!L:L,0))</f>
        <v>0</v>
      </c>
      <c r="O57">
        <f t="shared" si="7"/>
        <v>0</v>
      </c>
      <c r="P57">
        <f t="shared" si="8"/>
        <v>43</v>
      </c>
    </row>
    <row r="58" spans="1:16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10"/>
        <v/>
      </c>
      <c r="F58" t="str">
        <f t="shared" si="11"/>
        <v/>
      </c>
      <c r="G58" s="153" t="str">
        <f t="shared" si="12"/>
        <v/>
      </c>
      <c r="L58" s="91">
        <f>INDEX(Starter!A:A,ROW()-1)</f>
        <v>0</v>
      </c>
      <c r="M58">
        <f>INDEX(SchnittGes4!M:M,MATCH(L58,SchnittGes4!L:L,0))+INDEX(Schnitt5!M:M,MATCH(L58,Schnitt5!L:L,0))</f>
        <v>0</v>
      </c>
      <c r="N58">
        <f>INDEX(SchnittGes4!N:N,MATCH(L58,SchnittGes4!L:L,0))+INDEX(Schnitt5!N:N,MATCH(L58,Schnitt5!L:L,0))</f>
        <v>0</v>
      </c>
      <c r="O58">
        <f t="shared" si="7"/>
        <v>0</v>
      </c>
      <c r="P58">
        <f t="shared" si="8"/>
        <v>43</v>
      </c>
    </row>
    <row r="59" spans="1:16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10"/>
        <v/>
      </c>
      <c r="F59" t="str">
        <f t="shared" si="11"/>
        <v/>
      </c>
      <c r="G59" s="153" t="str">
        <f t="shared" si="12"/>
        <v/>
      </c>
      <c r="L59" s="91">
        <f>INDEX(Starter!A:A,ROW()-1)</f>
        <v>0</v>
      </c>
      <c r="M59">
        <f>INDEX(SchnittGes4!M:M,MATCH(L59,SchnittGes4!L:L,0))+INDEX(Schnitt5!M:M,MATCH(L59,Schnitt5!L:L,0))</f>
        <v>0</v>
      </c>
      <c r="N59">
        <f>INDEX(SchnittGes4!N:N,MATCH(L59,SchnittGes4!L:L,0))+INDEX(Schnitt5!N:N,MATCH(L59,Schnitt5!L:L,0))</f>
        <v>0</v>
      </c>
      <c r="O59">
        <f t="shared" si="7"/>
        <v>0</v>
      </c>
      <c r="P59">
        <f t="shared" si="8"/>
        <v>43</v>
      </c>
    </row>
    <row r="60" spans="1:16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10"/>
        <v/>
      </c>
      <c r="F60" t="str">
        <f t="shared" si="11"/>
        <v/>
      </c>
      <c r="G60" s="153" t="str">
        <f t="shared" si="12"/>
        <v/>
      </c>
      <c r="L60" s="91">
        <f>INDEX(Starter!A:A,ROW()-1)</f>
        <v>0</v>
      </c>
      <c r="M60">
        <f>INDEX(SchnittGes4!M:M,MATCH(L60,SchnittGes4!L:L,0))+INDEX(Schnitt5!M:M,MATCH(L60,Schnitt5!L:L,0))</f>
        <v>0</v>
      </c>
      <c r="N60">
        <f>INDEX(SchnittGes4!N:N,MATCH(L60,SchnittGes4!L:L,0))+INDEX(Schnitt5!N:N,MATCH(L60,Schnitt5!L:L,0))</f>
        <v>0</v>
      </c>
      <c r="O60">
        <f t="shared" si="7"/>
        <v>0</v>
      </c>
      <c r="P60">
        <f t="shared" si="8"/>
        <v>43</v>
      </c>
    </row>
    <row r="61" spans="1:16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10"/>
        <v/>
      </c>
      <c r="F61" t="str">
        <f t="shared" si="11"/>
        <v/>
      </c>
      <c r="G61" s="153" t="str">
        <f t="shared" si="12"/>
        <v/>
      </c>
      <c r="L61" s="91">
        <f>INDEX(Starter!A:A,ROW()-1)</f>
        <v>0</v>
      </c>
      <c r="M61">
        <f>INDEX(SchnittGes4!M:M,MATCH(L61,SchnittGes4!L:L,0))+INDEX(Schnitt5!M:M,MATCH(L61,Schnitt5!L:L,0))</f>
        <v>0</v>
      </c>
      <c r="N61">
        <f>INDEX(SchnittGes4!N:N,MATCH(L61,SchnittGes4!L:L,0))+INDEX(Schnitt5!N:N,MATCH(L61,Schnitt5!L:L,0))</f>
        <v>0</v>
      </c>
      <c r="O61">
        <f t="shared" si="7"/>
        <v>0</v>
      </c>
      <c r="P61">
        <f t="shared" si="8"/>
        <v>43</v>
      </c>
    </row>
    <row r="62" spans="1:16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10"/>
        <v/>
      </c>
      <c r="F62" t="str">
        <f t="shared" si="11"/>
        <v/>
      </c>
      <c r="G62" s="153" t="str">
        <f t="shared" si="12"/>
        <v/>
      </c>
      <c r="L62" s="91">
        <f>INDEX(Starter!A:A,ROW()-1)</f>
        <v>0</v>
      </c>
      <c r="M62">
        <f>INDEX(SchnittGes4!M:M,MATCH(L62,SchnittGes4!L:L,0))+INDEX(Schnitt5!M:M,MATCH(L62,Schnitt5!L:L,0))</f>
        <v>0</v>
      </c>
      <c r="N62">
        <f>INDEX(SchnittGes4!N:N,MATCH(L62,SchnittGes4!L:L,0))+INDEX(Schnitt5!N:N,MATCH(L62,Schnitt5!L:L,0))</f>
        <v>0</v>
      </c>
      <c r="O62">
        <f t="shared" si="7"/>
        <v>0</v>
      </c>
      <c r="P62">
        <f t="shared" si="8"/>
        <v>43</v>
      </c>
    </row>
    <row r="63" spans="1:16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10"/>
        <v/>
      </c>
      <c r="F63" t="str">
        <f t="shared" si="11"/>
        <v/>
      </c>
      <c r="G63" s="153" t="str">
        <f t="shared" si="12"/>
        <v/>
      </c>
      <c r="L63" s="91">
        <f>INDEX(Starter!A:A,ROW()-1)</f>
        <v>0</v>
      </c>
      <c r="M63">
        <f>INDEX(SchnittGes4!M:M,MATCH(L63,SchnittGes4!L:L,0))+INDEX(Schnitt5!M:M,MATCH(L63,Schnitt5!L:L,0))</f>
        <v>0</v>
      </c>
      <c r="N63">
        <f>INDEX(SchnittGes4!N:N,MATCH(L63,SchnittGes4!L:L,0))+INDEX(Schnitt5!N:N,MATCH(L63,Schnitt5!L:L,0))</f>
        <v>0</v>
      </c>
      <c r="O63">
        <f t="shared" si="7"/>
        <v>0</v>
      </c>
      <c r="P63">
        <f t="shared" si="8"/>
        <v>43</v>
      </c>
    </row>
    <row r="64" spans="1:16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10"/>
        <v/>
      </c>
      <c r="F64" t="str">
        <f t="shared" si="11"/>
        <v/>
      </c>
      <c r="G64" s="153" t="str">
        <f t="shared" si="12"/>
        <v/>
      </c>
      <c r="L64" s="91">
        <f>INDEX(Starter!A:A,ROW()-1)</f>
        <v>0</v>
      </c>
      <c r="M64">
        <f>INDEX(SchnittGes4!M:M,MATCH(L64,SchnittGes4!L:L,0))+INDEX(Schnitt5!M:M,MATCH(L64,Schnitt5!L:L,0))</f>
        <v>0</v>
      </c>
      <c r="N64">
        <f>INDEX(SchnittGes4!N:N,MATCH(L64,SchnittGes4!L:L,0))+INDEX(Schnitt5!N:N,MATCH(L64,Schnitt5!L:L,0))</f>
        <v>0</v>
      </c>
      <c r="O64">
        <f t="shared" si="7"/>
        <v>0</v>
      </c>
      <c r="P64">
        <f t="shared" si="8"/>
        <v>43</v>
      </c>
    </row>
    <row r="65" spans="1:16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10"/>
        <v/>
      </c>
      <c r="F65" t="str">
        <f t="shared" si="11"/>
        <v/>
      </c>
      <c r="G65" s="153" t="str">
        <f t="shared" si="12"/>
        <v/>
      </c>
      <c r="L65" s="91">
        <f>INDEX(Starter!A:A,ROW()-1)</f>
        <v>0</v>
      </c>
      <c r="M65">
        <f>INDEX(SchnittGes4!M:M,MATCH(L65,SchnittGes4!L:L,0))+INDEX(Schnitt5!M:M,MATCH(L65,Schnitt5!L:L,0))</f>
        <v>0</v>
      </c>
      <c r="N65">
        <f>INDEX(SchnittGes4!N:N,MATCH(L65,SchnittGes4!L:L,0))+INDEX(Schnitt5!N:N,MATCH(L65,Schnitt5!L:L,0))</f>
        <v>0</v>
      </c>
      <c r="O65">
        <f t="shared" si="7"/>
        <v>0</v>
      </c>
      <c r="P65">
        <f t="shared" si="8"/>
        <v>43</v>
      </c>
    </row>
    <row r="66" spans="1:16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10"/>
        <v/>
      </c>
      <c r="F66" t="str">
        <f t="shared" si="11"/>
        <v/>
      </c>
      <c r="G66" s="153" t="str">
        <f t="shared" si="12"/>
        <v/>
      </c>
      <c r="L66" s="91">
        <f>INDEX(Starter!A:A,ROW()-1)</f>
        <v>0</v>
      </c>
      <c r="M66">
        <f>INDEX(SchnittGes4!M:M,MATCH(L66,SchnittGes4!L:L,0))+INDEX(Schnitt5!M:M,MATCH(L66,Schnitt5!L:L,0))</f>
        <v>0</v>
      </c>
      <c r="N66">
        <f>INDEX(SchnittGes4!N:N,MATCH(L66,SchnittGes4!L:L,0))+INDEX(Schnitt5!N:N,MATCH(L66,Schnitt5!L:L,0))</f>
        <v>0</v>
      </c>
      <c r="O66">
        <f t="shared" ref="O66:O97" si="14">IF(N66=0,0,M66/N66-ROW()/1000000000)</f>
        <v>0</v>
      </c>
      <c r="P66">
        <f t="shared" ref="P66:P97" si="15">RANK(O66,O:O)</f>
        <v>43</v>
      </c>
    </row>
    <row r="67" spans="1:16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10"/>
        <v/>
      </c>
      <c r="F67" t="str">
        <f t="shared" si="11"/>
        <v/>
      </c>
      <c r="G67" s="153" t="str">
        <f t="shared" si="12"/>
        <v/>
      </c>
      <c r="L67" s="91">
        <f>INDEX(Starter!A:A,ROW()-1)</f>
        <v>0</v>
      </c>
      <c r="M67">
        <f>INDEX(SchnittGes4!M:M,MATCH(L67,SchnittGes4!L:L,0))+INDEX(Schnitt5!M:M,MATCH(L67,Schnitt5!L:L,0))</f>
        <v>0</v>
      </c>
      <c r="N67">
        <f>INDEX(SchnittGes4!N:N,MATCH(L67,SchnittGes4!L:L,0))+INDEX(Schnitt5!N:N,MATCH(L67,Schnitt5!L:L,0))</f>
        <v>0</v>
      </c>
      <c r="O67">
        <f t="shared" si="14"/>
        <v>0</v>
      </c>
      <c r="P67">
        <f t="shared" si="15"/>
        <v>43</v>
      </c>
    </row>
    <row r="68" spans="1:16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10"/>
        <v/>
      </c>
      <c r="F68" t="str">
        <f t="shared" si="11"/>
        <v/>
      </c>
      <c r="G68" s="153" t="str">
        <f t="shared" si="12"/>
        <v/>
      </c>
      <c r="L68" s="91">
        <f>INDEX(Starter!A:A,ROW()-1)</f>
        <v>0</v>
      </c>
      <c r="M68">
        <f>INDEX(SchnittGes4!M:M,MATCH(L68,SchnittGes4!L:L,0))+INDEX(Schnitt5!M:M,MATCH(L68,Schnitt5!L:L,0))</f>
        <v>0</v>
      </c>
      <c r="N68">
        <f>INDEX(SchnittGes4!N:N,MATCH(L68,SchnittGes4!L:L,0))+INDEX(Schnitt5!N:N,MATCH(L68,Schnitt5!L:L,0))</f>
        <v>0</v>
      </c>
      <c r="O68">
        <f t="shared" si="14"/>
        <v>0</v>
      </c>
      <c r="P68">
        <f t="shared" si="15"/>
        <v>43</v>
      </c>
    </row>
    <row r="69" spans="1:16">
      <c r="A69" t="str">
        <f t="shared" si="13"/>
        <v/>
      </c>
      <c r="B69" t="str">
        <f t="shared" ref="B69:B100" si="16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7">IFERROR(INDEX(M:M,MATCH(A69,P:P,0)),"")</f>
        <v/>
      </c>
      <c r="F69" t="str">
        <f t="shared" ref="F69:F104" si="18">IFERROR(INDEX(N:N,MATCH(A69,P:P,0)),"")</f>
        <v/>
      </c>
      <c r="G69" s="153" t="str">
        <f t="shared" ref="G69:G104" si="19">IFERROR(INDEX(O:O,MATCH(A69,P:P,0)),"")</f>
        <v/>
      </c>
      <c r="L69" s="91">
        <f>INDEX(Starter!A:A,ROW()-1)</f>
        <v>0</v>
      </c>
      <c r="M69">
        <f>INDEX(SchnittGes4!M:M,MATCH(L69,SchnittGes4!L:L,0))+INDEX(Schnitt5!M:M,MATCH(L69,Schnitt5!L:L,0))</f>
        <v>0</v>
      </c>
      <c r="N69">
        <f>INDEX(SchnittGes4!N:N,MATCH(L69,SchnittGes4!L:L,0))+INDEX(Schnitt5!N:N,MATCH(L69,Schnitt5!L:L,0))</f>
        <v>0</v>
      </c>
      <c r="O69">
        <f t="shared" si="14"/>
        <v>0</v>
      </c>
      <c r="P69">
        <f t="shared" si="15"/>
        <v>43</v>
      </c>
    </row>
    <row r="70" spans="1:16">
      <c r="A70" t="str">
        <f t="shared" ref="A70:A104" si="20">IFERROR(IF(A69+1&gt;MAX(P:P)-1,"",A69+1),"")</f>
        <v/>
      </c>
      <c r="B70" t="str">
        <f t="shared" si="16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7"/>
        <v/>
      </c>
      <c r="F70" t="str">
        <f t="shared" si="18"/>
        <v/>
      </c>
      <c r="G70" s="153" t="str">
        <f t="shared" si="19"/>
        <v/>
      </c>
      <c r="L70" s="91">
        <f>INDEX(Starter!A:A,ROW()-1)</f>
        <v>0</v>
      </c>
      <c r="M70">
        <f>INDEX(SchnittGes4!M:M,MATCH(L70,SchnittGes4!L:L,0))+INDEX(Schnitt5!M:M,MATCH(L70,Schnitt5!L:L,0))</f>
        <v>0</v>
      </c>
      <c r="N70">
        <f>INDEX(SchnittGes4!N:N,MATCH(L70,SchnittGes4!L:L,0))+INDEX(Schnitt5!N:N,MATCH(L70,Schnitt5!L:L,0))</f>
        <v>0</v>
      </c>
      <c r="O70">
        <f t="shared" si="14"/>
        <v>0</v>
      </c>
      <c r="P70">
        <f t="shared" si="15"/>
        <v>43</v>
      </c>
    </row>
    <row r="71" spans="1:16">
      <c r="A71" t="str">
        <f t="shared" si="20"/>
        <v/>
      </c>
      <c r="B71" t="str">
        <f t="shared" si="16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7"/>
        <v/>
      </c>
      <c r="F71" t="str">
        <f t="shared" si="18"/>
        <v/>
      </c>
      <c r="G71" s="153" t="str">
        <f t="shared" si="19"/>
        <v/>
      </c>
      <c r="L71" s="91">
        <f>INDEX(Starter!A:A,ROW()-1)</f>
        <v>0</v>
      </c>
      <c r="M71">
        <f>INDEX(SchnittGes4!M:M,MATCH(L71,SchnittGes4!L:L,0))+INDEX(Schnitt5!M:M,MATCH(L71,Schnitt5!L:L,0))</f>
        <v>0</v>
      </c>
      <c r="N71">
        <f>INDEX(SchnittGes4!N:N,MATCH(L71,SchnittGes4!L:L,0))+INDEX(Schnitt5!N:N,MATCH(L71,Schnitt5!L:L,0))</f>
        <v>0</v>
      </c>
      <c r="O71">
        <f t="shared" si="14"/>
        <v>0</v>
      </c>
      <c r="P71">
        <f t="shared" si="15"/>
        <v>43</v>
      </c>
    </row>
    <row r="72" spans="1:16">
      <c r="A72" t="str">
        <f t="shared" si="20"/>
        <v/>
      </c>
      <c r="B72" t="str">
        <f t="shared" si="16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7"/>
        <v/>
      </c>
      <c r="F72" t="str">
        <f t="shared" si="18"/>
        <v/>
      </c>
      <c r="G72" s="153" t="str">
        <f t="shared" si="19"/>
        <v/>
      </c>
      <c r="L72" s="91">
        <f>INDEX(Starter!A:A,ROW()-1)</f>
        <v>0</v>
      </c>
      <c r="M72">
        <f>INDEX(SchnittGes4!M:M,MATCH(L72,SchnittGes4!L:L,0))+INDEX(Schnitt5!M:M,MATCH(L72,Schnitt5!L:L,0))</f>
        <v>0</v>
      </c>
      <c r="N72">
        <f>INDEX(SchnittGes4!N:N,MATCH(L72,SchnittGes4!L:L,0))+INDEX(Schnitt5!N:N,MATCH(L72,Schnitt5!L:L,0))</f>
        <v>0</v>
      </c>
      <c r="O72">
        <f t="shared" si="14"/>
        <v>0</v>
      </c>
      <c r="P72">
        <f t="shared" si="15"/>
        <v>43</v>
      </c>
    </row>
    <row r="73" spans="1:16">
      <c r="A73" t="str">
        <f t="shared" si="20"/>
        <v/>
      </c>
      <c r="B73" t="str">
        <f t="shared" si="16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7"/>
        <v/>
      </c>
      <c r="F73" t="str">
        <f t="shared" si="18"/>
        <v/>
      </c>
      <c r="G73" s="153" t="str">
        <f t="shared" si="19"/>
        <v/>
      </c>
      <c r="L73" s="91">
        <f>INDEX(Starter!A:A,ROW()-1)</f>
        <v>0</v>
      </c>
      <c r="M73">
        <f>INDEX(SchnittGes4!M:M,MATCH(L73,SchnittGes4!L:L,0))+INDEX(Schnitt5!M:M,MATCH(L73,Schnitt5!L:L,0))</f>
        <v>0</v>
      </c>
      <c r="N73">
        <f>INDEX(SchnittGes4!N:N,MATCH(L73,SchnittGes4!L:L,0))+INDEX(Schnitt5!N:N,MATCH(L73,Schnitt5!L:L,0))</f>
        <v>0</v>
      </c>
      <c r="O73">
        <f t="shared" si="14"/>
        <v>0</v>
      </c>
      <c r="P73">
        <f t="shared" si="15"/>
        <v>43</v>
      </c>
    </row>
    <row r="74" spans="1:16">
      <c r="A74" t="str">
        <f t="shared" si="20"/>
        <v/>
      </c>
      <c r="B74" t="str">
        <f t="shared" si="16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7"/>
        <v/>
      </c>
      <c r="F74" t="str">
        <f t="shared" si="18"/>
        <v/>
      </c>
      <c r="G74" s="153" t="str">
        <f t="shared" si="19"/>
        <v/>
      </c>
      <c r="L74" s="91">
        <f>INDEX(Starter!A:A,ROW()-1)</f>
        <v>0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14"/>
        <v>0</v>
      </c>
      <c r="P74">
        <f t="shared" si="15"/>
        <v>43</v>
      </c>
    </row>
    <row r="75" spans="1:16">
      <c r="A75" t="str">
        <f t="shared" si="20"/>
        <v/>
      </c>
      <c r="B75" t="str">
        <f t="shared" si="16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7"/>
        <v/>
      </c>
      <c r="F75" t="str">
        <f t="shared" si="18"/>
        <v/>
      </c>
      <c r="G75" s="153" t="str">
        <f t="shared" si="19"/>
        <v/>
      </c>
      <c r="L75" s="91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14"/>
        <v>0</v>
      </c>
      <c r="P75">
        <f t="shared" si="15"/>
        <v>43</v>
      </c>
    </row>
    <row r="76" spans="1:16">
      <c r="A76" t="str">
        <f t="shared" si="20"/>
        <v/>
      </c>
      <c r="B76" t="str">
        <f t="shared" si="16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7"/>
        <v/>
      </c>
      <c r="F76" t="str">
        <f t="shared" si="18"/>
        <v/>
      </c>
      <c r="G76" s="153" t="str">
        <f t="shared" si="19"/>
        <v/>
      </c>
      <c r="L76" s="91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si="14"/>
        <v>0</v>
      </c>
      <c r="P76">
        <f t="shared" si="15"/>
        <v>43</v>
      </c>
    </row>
    <row r="77" spans="1:16">
      <c r="A77" t="str">
        <f t="shared" si="20"/>
        <v/>
      </c>
      <c r="B77" t="str">
        <f t="shared" si="16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7"/>
        <v/>
      </c>
      <c r="F77" t="str">
        <f t="shared" si="18"/>
        <v/>
      </c>
      <c r="G77" s="153" t="str">
        <f t="shared" si="19"/>
        <v/>
      </c>
      <c r="L77" s="91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14"/>
        <v>0</v>
      </c>
      <c r="P77">
        <f t="shared" si="15"/>
        <v>43</v>
      </c>
    </row>
    <row r="78" spans="1:16">
      <c r="A78" t="str">
        <f t="shared" si="20"/>
        <v/>
      </c>
      <c r="B78" t="str">
        <f t="shared" si="16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7"/>
        <v/>
      </c>
      <c r="F78" t="str">
        <f t="shared" si="18"/>
        <v/>
      </c>
      <c r="G78" s="153" t="str">
        <f t="shared" si="19"/>
        <v/>
      </c>
      <c r="L78" s="91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14"/>
        <v>0</v>
      </c>
      <c r="P78">
        <f t="shared" si="15"/>
        <v>43</v>
      </c>
    </row>
    <row r="79" spans="1:16">
      <c r="A79" t="str">
        <f t="shared" si="20"/>
        <v/>
      </c>
      <c r="B79" t="str">
        <f t="shared" si="16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7"/>
        <v/>
      </c>
      <c r="F79" t="str">
        <f t="shared" si="18"/>
        <v/>
      </c>
      <c r="G79" s="153" t="str">
        <f t="shared" si="19"/>
        <v/>
      </c>
      <c r="L79" s="91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14"/>
        <v>0</v>
      </c>
      <c r="P79">
        <f t="shared" si="15"/>
        <v>43</v>
      </c>
    </row>
    <row r="80" spans="1:16">
      <c r="A80" t="str">
        <f t="shared" si="20"/>
        <v/>
      </c>
      <c r="B80" t="str">
        <f t="shared" si="16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7"/>
        <v/>
      </c>
      <c r="F80" t="str">
        <f t="shared" si="18"/>
        <v/>
      </c>
      <c r="G80" s="153" t="str">
        <f t="shared" si="19"/>
        <v/>
      </c>
      <c r="L80" s="91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14"/>
        <v>0</v>
      </c>
      <c r="P80">
        <f t="shared" si="15"/>
        <v>43</v>
      </c>
    </row>
    <row r="81" spans="1:16">
      <c r="A81" t="str">
        <f t="shared" si="20"/>
        <v/>
      </c>
      <c r="B81" t="str">
        <f t="shared" si="16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7"/>
        <v/>
      </c>
      <c r="F81" t="str">
        <f t="shared" si="18"/>
        <v/>
      </c>
      <c r="G81" s="153" t="str">
        <f t="shared" si="19"/>
        <v/>
      </c>
      <c r="L81" s="91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14"/>
        <v>0</v>
      </c>
      <c r="P81">
        <f t="shared" si="15"/>
        <v>43</v>
      </c>
    </row>
    <row r="82" spans="1:16">
      <c r="A82" t="str">
        <f t="shared" si="20"/>
        <v/>
      </c>
      <c r="B82" t="str">
        <f t="shared" si="16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7"/>
        <v/>
      </c>
      <c r="F82" t="str">
        <f t="shared" si="18"/>
        <v/>
      </c>
      <c r="G82" s="153" t="str">
        <f t="shared" si="19"/>
        <v/>
      </c>
      <c r="L82" s="91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14"/>
        <v>0</v>
      </c>
      <c r="P82">
        <f t="shared" si="15"/>
        <v>43</v>
      </c>
    </row>
    <row r="83" spans="1:16">
      <c r="A83" t="str">
        <f t="shared" si="20"/>
        <v/>
      </c>
      <c r="B83" t="str">
        <f t="shared" si="16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7"/>
        <v/>
      </c>
      <c r="F83" t="str">
        <f t="shared" si="18"/>
        <v/>
      </c>
      <c r="G83" s="153" t="str">
        <f t="shared" si="19"/>
        <v/>
      </c>
      <c r="L83" s="91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14"/>
        <v>0</v>
      </c>
      <c r="P83">
        <f t="shared" si="15"/>
        <v>43</v>
      </c>
    </row>
    <row r="84" spans="1:16">
      <c r="A84" t="str">
        <f t="shared" si="20"/>
        <v/>
      </c>
      <c r="B84" t="str">
        <f t="shared" si="16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7"/>
        <v/>
      </c>
      <c r="F84" t="str">
        <f t="shared" si="18"/>
        <v/>
      </c>
      <c r="G84" s="153" t="str">
        <f t="shared" si="19"/>
        <v/>
      </c>
      <c r="L84" s="91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14"/>
        <v>0</v>
      </c>
      <c r="P84">
        <f t="shared" si="15"/>
        <v>43</v>
      </c>
    </row>
    <row r="85" spans="1:16">
      <c r="A85" t="str">
        <f t="shared" si="20"/>
        <v/>
      </c>
      <c r="B85" t="str">
        <f t="shared" si="16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7"/>
        <v/>
      </c>
      <c r="F85" t="str">
        <f t="shared" si="18"/>
        <v/>
      </c>
      <c r="G85" s="153" t="str">
        <f t="shared" si="19"/>
        <v/>
      </c>
      <c r="L85" s="91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14"/>
        <v>0</v>
      </c>
      <c r="P85">
        <f t="shared" si="15"/>
        <v>43</v>
      </c>
    </row>
    <row r="86" spans="1:16">
      <c r="A86" t="str">
        <f t="shared" si="20"/>
        <v/>
      </c>
      <c r="B86" t="str">
        <f t="shared" si="16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7"/>
        <v/>
      </c>
      <c r="F86" t="str">
        <f t="shared" si="18"/>
        <v/>
      </c>
      <c r="G86" s="153" t="str">
        <f t="shared" si="19"/>
        <v/>
      </c>
      <c r="L86" s="91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14"/>
        <v>0</v>
      </c>
      <c r="P86">
        <f t="shared" si="15"/>
        <v>43</v>
      </c>
    </row>
    <row r="87" spans="1:16">
      <c r="A87" t="str">
        <f t="shared" si="20"/>
        <v/>
      </c>
      <c r="B87" t="str">
        <f t="shared" si="16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7"/>
        <v/>
      </c>
      <c r="F87" t="str">
        <f t="shared" si="18"/>
        <v/>
      </c>
      <c r="G87" s="153" t="str">
        <f t="shared" si="19"/>
        <v/>
      </c>
      <c r="L87" s="91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14"/>
        <v>0</v>
      </c>
      <c r="P87">
        <f t="shared" si="15"/>
        <v>43</v>
      </c>
    </row>
    <row r="88" spans="1:16">
      <c r="A88" t="str">
        <f t="shared" si="20"/>
        <v/>
      </c>
      <c r="B88" t="str">
        <f t="shared" si="16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7"/>
        <v/>
      </c>
      <c r="F88" t="str">
        <f t="shared" si="18"/>
        <v/>
      </c>
      <c r="G88" s="153" t="str">
        <f t="shared" si="19"/>
        <v/>
      </c>
      <c r="L88" s="91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14"/>
        <v>0</v>
      </c>
      <c r="P88">
        <f t="shared" si="15"/>
        <v>43</v>
      </c>
    </row>
    <row r="89" spans="1:16">
      <c r="A89" t="str">
        <f t="shared" si="20"/>
        <v/>
      </c>
      <c r="B89" t="str">
        <f t="shared" si="16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7"/>
        <v/>
      </c>
      <c r="F89" t="str">
        <f t="shared" si="18"/>
        <v/>
      </c>
      <c r="G89" s="153" t="str">
        <f t="shared" si="19"/>
        <v/>
      </c>
      <c r="L89" s="91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14"/>
        <v>0</v>
      </c>
      <c r="P89">
        <f t="shared" si="15"/>
        <v>43</v>
      </c>
    </row>
    <row r="90" spans="1:16">
      <c r="A90" t="str">
        <f t="shared" si="20"/>
        <v/>
      </c>
      <c r="B90" t="str">
        <f t="shared" si="16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7"/>
        <v/>
      </c>
      <c r="F90" t="str">
        <f t="shared" si="18"/>
        <v/>
      </c>
      <c r="G90" s="153" t="str">
        <f t="shared" si="19"/>
        <v/>
      </c>
      <c r="L90" s="91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14"/>
        <v>0</v>
      </c>
      <c r="P90">
        <f t="shared" si="15"/>
        <v>43</v>
      </c>
    </row>
    <row r="91" spans="1:16">
      <c r="A91" t="str">
        <f t="shared" si="20"/>
        <v/>
      </c>
      <c r="B91" t="str">
        <f t="shared" si="16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7"/>
        <v/>
      </c>
      <c r="F91" t="str">
        <f t="shared" si="18"/>
        <v/>
      </c>
      <c r="G91" s="153" t="str">
        <f t="shared" si="19"/>
        <v/>
      </c>
      <c r="L91" s="91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14"/>
        <v>0</v>
      </c>
      <c r="P91">
        <f t="shared" si="15"/>
        <v>43</v>
      </c>
    </row>
    <row r="92" spans="1:16">
      <c r="A92" t="str">
        <f t="shared" si="20"/>
        <v/>
      </c>
      <c r="B92" t="str">
        <f t="shared" si="16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7"/>
        <v/>
      </c>
      <c r="F92" t="str">
        <f t="shared" si="18"/>
        <v/>
      </c>
      <c r="G92" s="153" t="str">
        <f t="shared" si="19"/>
        <v/>
      </c>
      <c r="L92" s="91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14"/>
        <v>0</v>
      </c>
      <c r="P92">
        <f t="shared" si="15"/>
        <v>43</v>
      </c>
    </row>
    <row r="93" spans="1:16">
      <c r="A93" t="str">
        <f t="shared" si="20"/>
        <v/>
      </c>
      <c r="B93" t="str">
        <f t="shared" si="16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7"/>
        <v/>
      </c>
      <c r="F93" t="str">
        <f t="shared" si="18"/>
        <v/>
      </c>
      <c r="G93" s="153" t="str">
        <f t="shared" si="19"/>
        <v/>
      </c>
      <c r="L93" s="91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14"/>
        <v>0</v>
      </c>
      <c r="P93">
        <f t="shared" si="15"/>
        <v>43</v>
      </c>
    </row>
    <row r="94" spans="1:16">
      <c r="A94" t="str">
        <f t="shared" si="20"/>
        <v/>
      </c>
      <c r="B94" t="str">
        <f t="shared" si="16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7"/>
        <v/>
      </c>
      <c r="F94" t="str">
        <f t="shared" si="18"/>
        <v/>
      </c>
      <c r="G94" s="153" t="str">
        <f t="shared" si="19"/>
        <v/>
      </c>
      <c r="L94" s="91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14"/>
        <v>0</v>
      </c>
      <c r="P94">
        <f t="shared" si="15"/>
        <v>43</v>
      </c>
    </row>
    <row r="95" spans="1:16">
      <c r="A95" t="str">
        <f t="shared" si="20"/>
        <v/>
      </c>
      <c r="B95" t="str">
        <f t="shared" si="16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7"/>
        <v/>
      </c>
      <c r="F95" t="str">
        <f t="shared" si="18"/>
        <v/>
      </c>
      <c r="G95" s="153" t="str">
        <f t="shared" si="19"/>
        <v/>
      </c>
      <c r="L95" s="91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14"/>
        <v>0</v>
      </c>
      <c r="P95">
        <f t="shared" si="15"/>
        <v>43</v>
      </c>
    </row>
    <row r="96" spans="1:16">
      <c r="A96" t="str">
        <f t="shared" si="20"/>
        <v/>
      </c>
      <c r="B96" t="str">
        <f t="shared" si="16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7"/>
        <v/>
      </c>
      <c r="F96" t="str">
        <f t="shared" si="18"/>
        <v/>
      </c>
      <c r="G96" s="153" t="str">
        <f t="shared" si="19"/>
        <v/>
      </c>
      <c r="L96" s="91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14"/>
        <v>0</v>
      </c>
      <c r="P96">
        <f t="shared" si="15"/>
        <v>43</v>
      </c>
    </row>
    <row r="97" spans="1:16">
      <c r="A97" t="str">
        <f t="shared" si="20"/>
        <v/>
      </c>
      <c r="B97" t="str">
        <f t="shared" si="16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7"/>
        <v/>
      </c>
      <c r="F97" t="str">
        <f t="shared" si="18"/>
        <v/>
      </c>
      <c r="G97" s="153" t="str">
        <f t="shared" si="19"/>
        <v/>
      </c>
      <c r="L97" s="91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14"/>
        <v>0</v>
      </c>
      <c r="P97">
        <f t="shared" si="15"/>
        <v>43</v>
      </c>
    </row>
    <row r="98" spans="1:16">
      <c r="A98" t="str">
        <f t="shared" si="20"/>
        <v/>
      </c>
      <c r="B98" t="str">
        <f t="shared" si="16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7"/>
        <v/>
      </c>
      <c r="F98" t="str">
        <f t="shared" si="18"/>
        <v/>
      </c>
      <c r="G98" s="153" t="str">
        <f t="shared" si="19"/>
        <v/>
      </c>
      <c r="L98" s="91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ref="O98:O104" si="21">IF(N98=0,0,M98/N98-ROW()/1000000000)</f>
        <v>0</v>
      </c>
      <c r="P98">
        <f t="shared" ref="P98:P104" si="22">RANK(O98,O:O)</f>
        <v>43</v>
      </c>
    </row>
    <row r="99" spans="1:16">
      <c r="A99" t="str">
        <f t="shared" si="20"/>
        <v/>
      </c>
      <c r="B99" t="str">
        <f t="shared" si="16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7"/>
        <v/>
      </c>
      <c r="F99" t="str">
        <f t="shared" si="18"/>
        <v/>
      </c>
      <c r="G99" s="153" t="str">
        <f t="shared" si="19"/>
        <v/>
      </c>
      <c r="L99" s="91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1"/>
        <v>0</v>
      </c>
      <c r="P99">
        <f t="shared" si="22"/>
        <v>43</v>
      </c>
    </row>
    <row r="100" spans="1:16">
      <c r="A100" t="str">
        <f t="shared" si="20"/>
        <v/>
      </c>
      <c r="B100" t="str">
        <f t="shared" si="16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7"/>
        <v/>
      </c>
      <c r="F100" t="str">
        <f t="shared" si="18"/>
        <v/>
      </c>
      <c r="G100" s="153" t="str">
        <f t="shared" si="19"/>
        <v/>
      </c>
      <c r="L100" s="91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1"/>
        <v>0</v>
      </c>
      <c r="P100">
        <f t="shared" si="22"/>
        <v>43</v>
      </c>
    </row>
    <row r="101" spans="1:16">
      <c r="A101" t="str">
        <f t="shared" si="20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7"/>
        <v/>
      </c>
      <c r="F101" t="str">
        <f t="shared" si="18"/>
        <v/>
      </c>
      <c r="G101" s="153" t="str">
        <f t="shared" si="19"/>
        <v/>
      </c>
      <c r="L101" s="91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1"/>
        <v>0</v>
      </c>
      <c r="P101">
        <f t="shared" si="22"/>
        <v>43</v>
      </c>
    </row>
    <row r="102" spans="1:16">
      <c r="A102" t="str">
        <f t="shared" si="20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7"/>
        <v/>
      </c>
      <c r="F102" t="str">
        <f t="shared" si="18"/>
        <v/>
      </c>
      <c r="G102" s="153" t="str">
        <f t="shared" si="19"/>
        <v/>
      </c>
      <c r="L102" s="91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1"/>
        <v>0</v>
      </c>
      <c r="P102">
        <f t="shared" si="22"/>
        <v>43</v>
      </c>
    </row>
    <row r="103" spans="1:16">
      <c r="A103" t="str">
        <f t="shared" si="20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7"/>
        <v/>
      </c>
      <c r="F103" t="str">
        <f t="shared" si="18"/>
        <v/>
      </c>
      <c r="G103" s="153" t="str">
        <f t="shared" si="19"/>
        <v/>
      </c>
      <c r="L103" s="91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1"/>
        <v>0</v>
      </c>
      <c r="P103">
        <f t="shared" si="22"/>
        <v>43</v>
      </c>
    </row>
    <row r="104" spans="1:16">
      <c r="A104" t="str">
        <f t="shared" si="20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7"/>
        <v/>
      </c>
      <c r="F104" t="str">
        <f t="shared" si="18"/>
        <v/>
      </c>
      <c r="G104" s="153" t="str">
        <f t="shared" si="19"/>
        <v/>
      </c>
      <c r="L104" s="91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1"/>
        <v>0</v>
      </c>
      <c r="P104">
        <f t="shared" si="22"/>
        <v>43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7"/>
  <sheetViews>
    <sheetView showGridLines="0" topLeftCell="A41" zoomScaleNormal="100" workbookViewId="0">
      <selection activeCell="H43" sqref="H43"/>
    </sheetView>
  </sheetViews>
  <sheetFormatPr baseColWidth="10" defaultColWidth="0" defaultRowHeight="13.2"/>
  <cols>
    <col min="1" max="1" width="1.21875" customWidth="1"/>
    <col min="2" max="2" width="3.44140625" customWidth="1"/>
    <col min="3" max="3" width="10.664062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21875" customWidth="1"/>
    <col min="9" max="9" width="2.21875" customWidth="1"/>
    <col min="10" max="10" width="3.21875" customWidth="1"/>
    <col min="11" max="11" width="0.6640625" customWidth="1"/>
    <col min="12" max="12" width="9.33203125" customWidth="1"/>
    <col min="13" max="13" width="2.21875" customWidth="1"/>
    <col min="14" max="14" width="3.21875" customWidth="1"/>
    <col min="15" max="15" width="0.6640625" customWidth="1"/>
    <col min="16" max="16" width="11.21875" customWidth="1"/>
    <col min="17" max="17" width="2.21875" customWidth="1"/>
    <col min="18" max="18" width="3.21875" customWidth="1"/>
    <col min="19" max="19" width="0.6640625" customWidth="1"/>
    <col min="20" max="20" width="11.6640625" customWidth="1"/>
    <col min="21" max="21" width="2.21875" customWidth="1"/>
    <col min="22" max="22" width="1" customWidth="1"/>
    <col min="23" max="16384" width="9.21875" hidden="1"/>
  </cols>
  <sheetData>
    <row r="1" spans="2:21" ht="3.75" customHeight="1"/>
    <row r="2" spans="2:21" ht="24.6">
      <c r="B2" s="378" t="s">
        <v>1824</v>
      </c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</row>
    <row r="3" spans="2:21" ht="11.25" customHeight="1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>
      <c r="P4" s="106"/>
      <c r="Q4" s="379"/>
      <c r="R4" s="379"/>
      <c r="S4" s="379"/>
      <c r="T4" s="379"/>
      <c r="U4" s="379"/>
    </row>
    <row r="5" spans="2:21" ht="11.25" customHeight="1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>
      <c r="B6" s="56"/>
      <c r="C6" s="110" t="s">
        <v>1788</v>
      </c>
      <c r="D6" s="110"/>
      <c r="E6" s="380">
        <f>+Spielzettel6!N2</f>
        <v>6</v>
      </c>
      <c r="F6" s="381"/>
      <c r="P6" s="110" t="s">
        <v>1825</v>
      </c>
      <c r="Q6" s="382">
        <f>+Spielzettel6!M1</f>
        <v>45808</v>
      </c>
      <c r="R6" s="383">
        <v>0</v>
      </c>
      <c r="S6" s="383">
        <v>0</v>
      </c>
      <c r="T6" s="384">
        <v>0</v>
      </c>
      <c r="U6" s="111"/>
    </row>
    <row r="7" spans="2:21">
      <c r="B7" s="56"/>
      <c r="C7" s="110"/>
      <c r="D7" s="110"/>
      <c r="U7" s="111"/>
    </row>
    <row r="8" spans="2:21">
      <c r="B8" s="56"/>
      <c r="C8" s="110" t="s">
        <v>1826</v>
      </c>
      <c r="D8" s="110"/>
      <c r="E8" s="388" t="str">
        <f>+Spielzettel6!E2</f>
        <v>Rosenheim In(n) Bowling</v>
      </c>
      <c r="F8" s="389"/>
      <c r="G8" s="389"/>
      <c r="H8" s="389">
        <v>0</v>
      </c>
      <c r="I8" s="389"/>
      <c r="J8" s="390"/>
      <c r="N8" s="110" t="s">
        <v>1827</v>
      </c>
      <c r="P8" s="388" t="str">
        <f>+Spielzettel6!E1</f>
        <v>Landesliga Jugend</v>
      </c>
      <c r="Q8" s="389"/>
      <c r="R8" s="389"/>
      <c r="S8" s="389"/>
      <c r="T8" s="390"/>
      <c r="U8" s="111"/>
    </row>
    <row r="9" spans="2:21" ht="11.25" customHeight="1" thickBot="1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3.8" thickBot="1"/>
    <row r="11" spans="2:21" s="2" customFormat="1" ht="30" customHeight="1" thickBot="1">
      <c r="B11" s="115"/>
      <c r="C11" s="372" t="s">
        <v>1828</v>
      </c>
      <c r="D11" s="372"/>
      <c r="E11" s="372"/>
      <c r="F11" s="372"/>
      <c r="G11" s="372"/>
      <c r="H11" s="372"/>
      <c r="I11" s="372"/>
      <c r="J11" s="372"/>
      <c r="K11" s="372"/>
      <c r="L11" s="372"/>
      <c r="M11" s="372"/>
      <c r="N11" s="372"/>
      <c r="O11" s="372"/>
      <c r="P11" s="372"/>
      <c r="Q11" s="372"/>
      <c r="R11" s="372"/>
      <c r="S11" s="372"/>
      <c r="T11" s="372"/>
      <c r="U11" s="116"/>
    </row>
    <row r="12" spans="2:21" ht="21.75" customHeight="1">
      <c r="B12" s="117"/>
      <c r="C12" s="373" t="s">
        <v>1829</v>
      </c>
      <c r="D12" s="373"/>
      <c r="E12" s="373"/>
      <c r="F12" s="373"/>
      <c r="G12" s="373"/>
      <c r="H12" s="373"/>
      <c r="I12" s="373"/>
      <c r="J12" s="373"/>
      <c r="L12" s="118"/>
      <c r="M12" s="119" t="s">
        <v>1830</v>
      </c>
      <c r="P12" s="89"/>
      <c r="U12" s="111"/>
    </row>
    <row r="13" spans="2:21" ht="6.75" customHeight="1" thickBot="1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>
      <c r="B14" s="56"/>
      <c r="U14" s="111"/>
    </row>
    <row r="15" spans="2:21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>
      <c r="B16" s="56"/>
      <c r="C16" s="121"/>
      <c r="D16" s="121"/>
      <c r="F16" s="7"/>
      <c r="J16" s="86"/>
      <c r="U16" s="111"/>
    </row>
    <row r="17" spans="2:21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4.950000000000003" customHeight="1">
      <c r="B19" s="56"/>
      <c r="C19" s="366"/>
      <c r="D19" s="367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4"/>
      <c r="T19" s="375"/>
      <c r="U19" s="111"/>
    </row>
    <row r="20" spans="2:21" ht="12.75" customHeight="1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>
      <c r="B21" s="56"/>
      <c r="C21" s="121" t="s">
        <v>1836</v>
      </c>
      <c r="D21" s="121"/>
      <c r="U21" s="111"/>
    </row>
    <row r="22" spans="2:21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4.950000000000003" customHeight="1">
      <c r="B24" s="56"/>
      <c r="C24" s="366"/>
      <c r="D24" s="367"/>
      <c r="E24" s="367"/>
      <c r="F24" s="367"/>
      <c r="G24" s="367"/>
      <c r="H24" s="367"/>
      <c r="I24" s="367"/>
      <c r="J24" s="367"/>
      <c r="K24" s="367"/>
      <c r="L24" s="367"/>
      <c r="M24" s="367"/>
      <c r="N24" s="367"/>
      <c r="O24" s="367"/>
      <c r="P24" s="367"/>
      <c r="Q24" s="367"/>
      <c r="R24" s="367"/>
      <c r="S24" s="367"/>
      <c r="T24" s="368"/>
      <c r="U24" s="111"/>
    </row>
    <row r="25" spans="2:21" ht="12.75" hidden="1" customHeight="1">
      <c r="B25" s="56"/>
      <c r="C25" s="127"/>
      <c r="D25" s="127"/>
      <c r="U25" s="111"/>
    </row>
    <row r="26" spans="2:21" ht="13.5" hidden="1" customHeight="1">
      <c r="B26" s="56"/>
      <c r="C26" s="121" t="s">
        <v>1838</v>
      </c>
      <c r="D26" s="121"/>
      <c r="U26" s="111"/>
    </row>
    <row r="27" spans="2:21" hidden="1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4.950000000000003" hidden="1" customHeight="1">
      <c r="B29" s="56"/>
      <c r="C29" s="366"/>
      <c r="D29" s="367"/>
      <c r="E29" s="367"/>
      <c r="F29" s="367"/>
      <c r="G29" s="367"/>
      <c r="H29" s="367"/>
      <c r="I29" s="367"/>
      <c r="J29" s="367"/>
      <c r="K29" s="367"/>
      <c r="L29" s="367"/>
      <c r="M29" s="367"/>
      <c r="N29" s="367"/>
      <c r="O29" s="367"/>
      <c r="P29" s="367"/>
      <c r="Q29" s="367"/>
      <c r="R29" s="367"/>
      <c r="S29" s="367"/>
      <c r="T29" s="368"/>
      <c r="U29" s="111"/>
    </row>
    <row r="30" spans="2:21" ht="12.75" customHeight="1" thickBot="1">
      <c r="B30" s="56"/>
      <c r="C30" s="127"/>
      <c r="D30" s="127"/>
      <c r="P30" s="128"/>
      <c r="U30" s="111"/>
    </row>
    <row r="31" spans="2:21" s="133" customFormat="1" ht="21.75" customHeight="1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>
      <c r="B33" s="135"/>
      <c r="U33" s="111"/>
    </row>
    <row r="34" spans="2:21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>
      <c r="B35" s="56"/>
      <c r="C35" s="121" t="s">
        <v>1843</v>
      </c>
      <c r="D35" s="121"/>
      <c r="F35" s="376"/>
      <c r="G35" s="376"/>
      <c r="H35" s="121"/>
      <c r="U35" s="111"/>
    </row>
    <row r="36" spans="2:21" ht="17.25" customHeight="1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4.950000000000003" customHeight="1">
      <c r="B37" s="56"/>
      <c r="C37" s="366"/>
      <c r="D37" s="367"/>
      <c r="E37" s="367"/>
      <c r="F37" s="367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8"/>
      <c r="U37" s="111"/>
    </row>
    <row r="38" spans="2:21">
      <c r="B38" s="56"/>
      <c r="C38" s="127"/>
      <c r="D38" s="127"/>
      <c r="U38" s="111"/>
    </row>
    <row r="39" spans="2:21" ht="6.75" customHeight="1">
      <c r="B39" s="56"/>
      <c r="C39" s="127"/>
      <c r="D39" s="127"/>
      <c r="U39" s="111"/>
    </row>
    <row r="40" spans="2:21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>
      <c r="B41" s="56"/>
      <c r="C41" s="137" t="s">
        <v>1849</v>
      </c>
      <c r="D41" s="137"/>
      <c r="F41" s="377"/>
      <c r="G41" s="377"/>
      <c r="H41" s="377"/>
      <c r="U41" s="111"/>
    </row>
    <row r="42" spans="2:21" ht="11.25" customHeight="1" thickBot="1">
      <c r="B42" s="56"/>
      <c r="U42" s="111"/>
    </row>
    <row r="43" spans="2:21" s="133" customFormat="1" ht="21.75" customHeight="1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>
      <c r="B45" s="135"/>
      <c r="U45" s="111"/>
    </row>
    <row r="46" spans="2:21" ht="13.8">
      <c r="B46" s="138" t="s">
        <v>1850</v>
      </c>
      <c r="U46" s="111"/>
    </row>
    <row r="47" spans="2:21" ht="9" customHeight="1">
      <c r="B47" s="56"/>
      <c r="U47" s="111"/>
    </row>
    <row r="48" spans="2:21" ht="80.25" customHeight="1">
      <c r="B48" s="56"/>
      <c r="C48" s="366"/>
      <c r="D48" s="367"/>
      <c r="E48" s="367"/>
      <c r="F48" s="367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8"/>
      <c r="U48" s="111"/>
    </row>
    <row r="49" spans="2:21" ht="11.25" customHeight="1" thickBot="1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3.8" thickBot="1"/>
    <row r="51" spans="2:21" s="2" customFormat="1" ht="30" customHeight="1" thickBot="1">
      <c r="B51" s="115"/>
      <c r="C51" s="372" t="s">
        <v>1851</v>
      </c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O51" s="372"/>
      <c r="P51" s="372"/>
      <c r="Q51" s="372"/>
      <c r="R51" s="372"/>
      <c r="S51" s="372"/>
      <c r="T51" s="372"/>
      <c r="U51" s="116"/>
    </row>
    <row r="52" spans="2:21" ht="9" customHeight="1">
      <c r="B52" s="56"/>
      <c r="U52" s="111"/>
    </row>
    <row r="53" spans="2:21" ht="13.8">
      <c r="B53" s="138"/>
      <c r="C53" s="89" t="s">
        <v>1852</v>
      </c>
      <c r="D53" s="89"/>
      <c r="U53" s="111"/>
    </row>
    <row r="54" spans="2:21" ht="9" customHeight="1">
      <c r="B54" s="56"/>
      <c r="U54" s="111"/>
    </row>
    <row r="55" spans="2:21" ht="36.75" customHeight="1">
      <c r="B55" s="56"/>
      <c r="C55" s="366"/>
      <c r="D55" s="367"/>
      <c r="E55" s="367"/>
      <c r="F55" s="367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8"/>
      <c r="U55" s="111"/>
    </row>
    <row r="56" spans="2:21" ht="12.75" customHeight="1">
      <c r="B56" s="56"/>
      <c r="C56" s="127"/>
      <c r="D56" s="127"/>
      <c r="U56" s="111"/>
    </row>
    <row r="57" spans="2:21" ht="12.75" customHeight="1">
      <c r="B57" s="138"/>
      <c r="C57" s="89" t="s">
        <v>1853</v>
      </c>
      <c r="D57" s="89"/>
      <c r="U57" s="111"/>
    </row>
    <row r="58" spans="2:21" ht="6.75" customHeight="1">
      <c r="B58" s="56"/>
      <c r="U58" s="111"/>
    </row>
    <row r="59" spans="2:21" ht="36.75" customHeight="1">
      <c r="B59" s="56"/>
      <c r="C59" s="366"/>
      <c r="D59" s="367"/>
      <c r="E59" s="367"/>
      <c r="F59" s="367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8"/>
      <c r="U59" s="111"/>
    </row>
    <row r="60" spans="2:21" ht="12.75" customHeight="1">
      <c r="B60" s="56"/>
      <c r="C60" s="127"/>
      <c r="D60" s="127"/>
      <c r="U60" s="111"/>
    </row>
    <row r="61" spans="2:21" ht="12.75" customHeight="1">
      <c r="B61" s="138"/>
      <c r="C61" s="89" t="s">
        <v>1854</v>
      </c>
      <c r="D61" s="89"/>
      <c r="U61" s="111"/>
    </row>
    <row r="62" spans="2:21" ht="6.75" customHeight="1">
      <c r="B62" s="56"/>
      <c r="U62" s="111"/>
    </row>
    <row r="63" spans="2:21" ht="36.75" customHeight="1">
      <c r="B63" s="56"/>
      <c r="C63" s="366"/>
      <c r="D63" s="367"/>
      <c r="E63" s="367"/>
      <c r="F63" s="367"/>
      <c r="G63" s="367"/>
      <c r="H63" s="367"/>
      <c r="I63" s="36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8"/>
      <c r="U63" s="111"/>
    </row>
    <row r="64" spans="2:21" ht="11.25" customHeight="1">
      <c r="B64" s="56"/>
      <c r="C64" s="127"/>
      <c r="D64" s="127"/>
      <c r="U64" s="111"/>
    </row>
    <row r="65" spans="1:21" ht="13.5" customHeight="1">
      <c r="B65" s="138"/>
      <c r="C65" s="89" t="s">
        <v>1855</v>
      </c>
      <c r="D65" s="89"/>
      <c r="U65" s="111"/>
    </row>
    <row r="66" spans="1:21" ht="6.75" customHeight="1">
      <c r="B66" s="56"/>
      <c r="U66" s="111"/>
    </row>
    <row r="67" spans="1:21" ht="36.75" customHeight="1">
      <c r="B67" s="56"/>
      <c r="C67" s="366"/>
      <c r="D67" s="367"/>
      <c r="E67" s="367"/>
      <c r="F67" s="367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8"/>
      <c r="U67" s="111"/>
    </row>
    <row r="68" spans="1:21" ht="11.25" customHeight="1">
      <c r="B68" s="56"/>
      <c r="C68" s="127"/>
      <c r="D68" s="127"/>
      <c r="U68" s="111"/>
    </row>
    <row r="69" spans="1:21" ht="13.8">
      <c r="B69" s="138"/>
      <c r="C69" s="89" t="s">
        <v>1856</v>
      </c>
      <c r="D69" s="89"/>
      <c r="U69" s="111"/>
    </row>
    <row r="70" spans="1:21" ht="6" customHeight="1">
      <c r="B70" s="56"/>
      <c r="U70" s="111"/>
    </row>
    <row r="71" spans="1:21" ht="36.75" customHeight="1">
      <c r="B71" s="56"/>
      <c r="C71" s="366"/>
      <c r="D71" s="367"/>
      <c r="E71" s="367"/>
      <c r="F71" s="367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8"/>
      <c r="U71" s="111"/>
    </row>
    <row r="72" spans="1:21" ht="12.75" customHeight="1">
      <c r="B72" s="56"/>
      <c r="C72" s="127"/>
      <c r="D72" s="127"/>
      <c r="U72" s="111"/>
    </row>
    <row r="73" spans="1:21" ht="12.75" customHeight="1">
      <c r="B73" s="138"/>
      <c r="C73" s="89" t="s">
        <v>1857</v>
      </c>
      <c r="D73" s="89"/>
      <c r="U73" s="111"/>
    </row>
    <row r="74" spans="1:21" ht="6.75" customHeight="1">
      <c r="B74" s="56"/>
      <c r="U74" s="111"/>
    </row>
    <row r="75" spans="1:21" ht="36.75" customHeight="1">
      <c r="B75" s="56"/>
      <c r="C75" s="366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8"/>
      <c r="U75" s="111"/>
    </row>
    <row r="76" spans="1:21" ht="11.25" customHeight="1" thickBot="1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>
      <c r="B78" s="135"/>
      <c r="U78" s="111"/>
    </row>
    <row r="79" spans="1:21" s="53" customFormat="1" ht="18" customHeight="1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>
      <c r="B80" s="56"/>
      <c r="P80" s="53"/>
      <c r="Q80" s="53"/>
      <c r="U80" s="111"/>
    </row>
    <row r="81" spans="2:21" ht="6" customHeight="1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4.950000000000003" customHeight="1">
      <c r="B82" s="56"/>
      <c r="C82" s="369"/>
      <c r="D82" s="370"/>
      <c r="E82" s="370"/>
      <c r="F82" s="370"/>
      <c r="G82" s="370"/>
      <c r="H82" s="370"/>
      <c r="I82" s="37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1"/>
      <c r="U82" s="111"/>
    </row>
    <row r="83" spans="2:21" ht="11.25" customHeight="1" thickBot="1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/>
    <row r="85" spans="2:21" ht="17.25" customHeight="1"/>
    <row r="86" spans="2:21">
      <c r="B86" s="89" t="s">
        <v>1862</v>
      </c>
      <c r="D86" s="466"/>
      <c r="E86" s="365"/>
      <c r="F86" s="365"/>
      <c r="G86" s="365"/>
      <c r="H86" s="365"/>
      <c r="I86" s="365"/>
      <c r="J86" s="365"/>
      <c r="K86" s="365"/>
      <c r="L86" s="365"/>
      <c r="M86" s="365"/>
      <c r="P86" s="365"/>
      <c r="Q86" s="365"/>
      <c r="R86" s="365"/>
      <c r="S86" s="365"/>
      <c r="T86" s="365"/>
      <c r="U86" s="365"/>
    </row>
    <row r="87" spans="2:21">
      <c r="C87" s="143"/>
      <c r="D87" s="53" t="s">
        <v>1860</v>
      </c>
      <c r="P87" s="144" t="s">
        <v>1861</v>
      </c>
    </row>
  </sheetData>
  <sheetProtection algorithmName="SHA-512" hashValue="rjOo7V4dLqK4Am7lEHA+ivpZ6o42a2DqUbbm6VS9Ntk6fCDlaO4vrIOVSHK0EDJTHsIxHFsor9rOoWDB3h+LHQ==" saltValue="wnJ8kz5mKVet0vNosMkpgg==" spinCount="100000" sheet="1" objects="1" scenarios="1" selectLockedCells="1"/>
  <mergeCells count="25"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0000"/>
  </sheetPr>
  <dimension ref="A1:AD200"/>
  <sheetViews>
    <sheetView view="pageBreakPreview" zoomScaleNormal="100" zoomScaleSheetLayoutView="100" workbookViewId="0">
      <selection activeCell="E8" sqref="E7:J9"/>
    </sheetView>
  </sheetViews>
  <sheetFormatPr baseColWidth="10" defaultRowHeight="13.2"/>
  <cols>
    <col min="1" max="1" width="4.44140625" customWidth="1"/>
    <col min="2" max="2" width="20.6640625" customWidth="1"/>
    <col min="3" max="3" width="13.6640625" customWidth="1"/>
    <col min="4" max="4" width="7.4414062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4414062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6">
        <f>Schlüssel!DI$1</f>
        <v>45808</v>
      </c>
      <c r="N1" s="406"/>
      <c r="O1" s="406"/>
      <c r="AD1" s="76" t="s">
        <v>1814</v>
      </c>
    </row>
    <row r="2" spans="1:30" ht="17.25" customHeight="1" thickBot="1">
      <c r="A2" s="53"/>
      <c r="B2" s="54">
        <v>1</v>
      </c>
      <c r="C2" s="35" t="s">
        <v>1787</v>
      </c>
      <c r="D2" s="35"/>
      <c r="E2" s="72" t="str">
        <f>Schlüssel!$CY$2</f>
        <v>Rosenheim In(n) Bowling</v>
      </c>
      <c r="G2" s="66"/>
      <c r="H2" s="66"/>
      <c r="I2" s="66"/>
      <c r="J2" s="66"/>
      <c r="L2" s="66"/>
      <c r="M2" s="34" t="s">
        <v>1785</v>
      </c>
      <c r="N2" s="38">
        <v>6</v>
      </c>
      <c r="O2" s="33"/>
      <c r="AD2" s="77">
        <v>11</v>
      </c>
    </row>
    <row r="3" spans="1:30" ht="15.75" customHeight="1" thickBot="1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3.8" thickBot="1">
      <c r="A4" s="6"/>
      <c r="B4" s="7"/>
      <c r="C4" s="43"/>
      <c r="D4" s="43"/>
      <c r="E4" s="47" t="s">
        <v>10</v>
      </c>
      <c r="F4" s="7">
        <f>VLOOKUP(B2,Schlüssel!$A$5:$DZ$12,113)</f>
        <v>16</v>
      </c>
      <c r="G4" s="51" t="s">
        <v>10</v>
      </c>
      <c r="H4" s="7">
        <f>VLOOKUP(B2,Schlüssel!$A$5:$DZ$12,114)</f>
        <v>12</v>
      </c>
      <c r="I4" s="51" t="s">
        <v>10</v>
      </c>
      <c r="J4" s="7">
        <f>VLOOKUP(B2,Schlüssel!$A$5:$DZ$12,115)</f>
        <v>18</v>
      </c>
      <c r="K4" s="51" t="s">
        <v>10</v>
      </c>
      <c r="L4" s="7">
        <f>VLOOKUP(B2,Schlüssel!$A$5:$DZ$12,116)</f>
        <v>11</v>
      </c>
      <c r="M4" s="51" t="s">
        <v>10</v>
      </c>
      <c r="N4" s="57">
        <f>VLOOKUP(B2,Schlüssel!$A$5:$DZ$12,117)</f>
        <v>15</v>
      </c>
    </row>
    <row r="5" spans="1:30" ht="20.25" customHeight="1">
      <c r="B5" s="44" t="s">
        <v>1</v>
      </c>
      <c r="C5" s="45"/>
      <c r="D5" s="45"/>
      <c r="E5" s="407" t="s">
        <v>1793</v>
      </c>
      <c r="F5" s="408"/>
      <c r="G5" s="407" t="s">
        <v>1794</v>
      </c>
      <c r="H5" s="408"/>
      <c r="I5" s="407" t="s">
        <v>1795</v>
      </c>
      <c r="J5" s="408"/>
      <c r="K5" s="407" t="s">
        <v>1796</v>
      </c>
      <c r="L5" s="408"/>
      <c r="M5" s="407" t="s">
        <v>1797</v>
      </c>
      <c r="N5" s="408"/>
      <c r="O5" s="409" t="s">
        <v>1792</v>
      </c>
      <c r="P5" s="410"/>
    </row>
    <row r="6" spans="1:30" ht="15" customHeight="1" thickBot="1">
      <c r="B6" s="9" t="s">
        <v>1798</v>
      </c>
      <c r="C6" s="48" t="s">
        <v>1799</v>
      </c>
      <c r="D6" s="48" t="s">
        <v>2264</v>
      </c>
      <c r="E6" s="464" t="s">
        <v>1800</v>
      </c>
      <c r="F6" s="465" t="s">
        <v>1801</v>
      </c>
      <c r="G6" s="464" t="s">
        <v>1800</v>
      </c>
      <c r="H6" s="465" t="s">
        <v>1801</v>
      </c>
      <c r="I6" s="464" t="s">
        <v>1800</v>
      </c>
      <c r="J6" s="465" t="s">
        <v>1801</v>
      </c>
      <c r="K6" s="464" t="s">
        <v>1800</v>
      </c>
      <c r="L6" s="465" t="s">
        <v>1801</v>
      </c>
      <c r="M6" s="464" t="s">
        <v>1800</v>
      </c>
      <c r="N6" s="465" t="s">
        <v>1801</v>
      </c>
      <c r="O6" s="464" t="s">
        <v>1800</v>
      </c>
      <c r="P6" s="465" t="s">
        <v>1801</v>
      </c>
    </row>
    <row r="7" spans="1:30" ht="16.95" customHeight="1">
      <c r="A7" s="403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58"/>
      <c r="F7" s="459"/>
      <c r="G7" s="458"/>
      <c r="H7" s="459"/>
      <c r="I7" s="458"/>
      <c r="J7" s="459"/>
      <c r="K7" s="458"/>
      <c r="L7" s="459"/>
      <c r="M7" s="458"/>
      <c r="N7" s="459"/>
      <c r="O7" s="458"/>
      <c r="P7" s="459"/>
    </row>
    <row r="8" spans="1:30" ht="16.95" customHeight="1">
      <c r="A8" s="404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60"/>
      <c r="F8" s="461"/>
      <c r="G8" s="460"/>
      <c r="H8" s="461"/>
      <c r="I8" s="460"/>
      <c r="J8" s="461"/>
      <c r="K8" s="460"/>
      <c r="L8" s="461"/>
      <c r="M8" s="460"/>
      <c r="N8" s="461"/>
      <c r="O8" s="460"/>
      <c r="P8" s="461"/>
    </row>
    <row r="9" spans="1:30" ht="16.95" customHeight="1" thickBot="1">
      <c r="A9" s="405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62"/>
      <c r="F9" s="463"/>
      <c r="G9" s="462"/>
      <c r="H9" s="463"/>
      <c r="I9" s="462"/>
      <c r="J9" s="463"/>
      <c r="K9" s="462"/>
      <c r="L9" s="463"/>
      <c r="M9" s="462"/>
      <c r="N9" s="463"/>
      <c r="O9" s="462"/>
      <c r="P9" s="463"/>
    </row>
    <row r="10" spans="1:30" ht="16.95" customHeight="1">
      <c r="A10" s="403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58"/>
      <c r="F10" s="459"/>
      <c r="G10" s="458"/>
      <c r="H10" s="459"/>
      <c r="I10" s="458"/>
      <c r="J10" s="459"/>
      <c r="K10" s="458"/>
      <c r="L10" s="459"/>
      <c r="M10" s="458"/>
      <c r="N10" s="459"/>
      <c r="O10" s="458"/>
      <c r="P10" s="459"/>
    </row>
    <row r="11" spans="1:30" ht="16.95" customHeight="1">
      <c r="A11" s="404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60"/>
      <c r="F11" s="461"/>
      <c r="G11" s="460"/>
      <c r="H11" s="461"/>
      <c r="I11" s="460"/>
      <c r="J11" s="461"/>
      <c r="K11" s="460"/>
      <c r="L11" s="461"/>
      <c r="M11" s="460"/>
      <c r="N11" s="461"/>
      <c r="O11" s="460"/>
      <c r="P11" s="461"/>
    </row>
    <row r="12" spans="1:30" ht="16.95" customHeight="1" thickBot="1">
      <c r="A12" s="405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62"/>
      <c r="F12" s="463"/>
      <c r="G12" s="462"/>
      <c r="H12" s="463"/>
      <c r="I12" s="462"/>
      <c r="J12" s="463"/>
      <c r="K12" s="462"/>
      <c r="L12" s="463"/>
      <c r="M12" s="462"/>
      <c r="N12" s="463"/>
      <c r="O12" s="462"/>
      <c r="P12" s="463"/>
    </row>
    <row r="13" spans="1:30" ht="16.95" customHeight="1">
      <c r="A13" s="403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58"/>
      <c r="F13" s="459"/>
      <c r="G13" s="458"/>
      <c r="H13" s="459"/>
      <c r="I13" s="458"/>
      <c r="J13" s="459"/>
      <c r="K13" s="458"/>
      <c r="L13" s="459"/>
      <c r="M13" s="458"/>
      <c r="N13" s="459"/>
      <c r="O13" s="458"/>
      <c r="P13" s="459"/>
    </row>
    <row r="14" spans="1:30" ht="16.95" customHeight="1">
      <c r="A14" s="404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60"/>
      <c r="F14" s="461"/>
      <c r="G14" s="460"/>
      <c r="H14" s="461"/>
      <c r="I14" s="460"/>
      <c r="J14" s="461"/>
      <c r="K14" s="460"/>
      <c r="L14" s="461"/>
      <c r="M14" s="460"/>
      <c r="N14" s="461"/>
      <c r="O14" s="460"/>
      <c r="P14" s="461"/>
    </row>
    <row r="15" spans="1:30" ht="16.95" customHeight="1" thickBot="1">
      <c r="A15" s="405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62"/>
      <c r="F15" s="463"/>
      <c r="G15" s="462"/>
      <c r="H15" s="463"/>
      <c r="I15" s="462"/>
      <c r="J15" s="463"/>
      <c r="K15" s="462"/>
      <c r="L15" s="463"/>
      <c r="M15" s="462"/>
      <c r="N15" s="463"/>
      <c r="O15" s="462"/>
      <c r="P15" s="463"/>
    </row>
    <row r="16" spans="1:30" ht="27.75" customHeight="1" thickBot="1">
      <c r="B16" s="11"/>
      <c r="C16" s="25"/>
      <c r="D16" s="204"/>
      <c r="E16" s="456"/>
      <c r="F16" s="457"/>
      <c r="G16" s="456"/>
      <c r="H16" s="457"/>
      <c r="I16" s="456"/>
      <c r="J16" s="457"/>
      <c r="K16" s="456"/>
      <c r="L16" s="457"/>
      <c r="M16" s="456"/>
      <c r="N16" s="457"/>
      <c r="O16" s="456"/>
      <c r="P16" s="457"/>
    </row>
    <row r="17" spans="1:30" ht="24" customHeight="1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>
      <c r="B19" s="211" t="s">
        <v>1790</v>
      </c>
      <c r="C19" s="42" t="s">
        <v>1791</v>
      </c>
      <c r="D19" s="42"/>
      <c r="E19" s="398">
        <f>VLOOKUP(B2,Schlüssel!$A$5:$DZ$12,103)</f>
        <v>2</v>
      </c>
      <c r="F19" s="398"/>
      <c r="G19" s="398">
        <f>VLOOKUP(B2,Schlüssel!$A$5:$DZ$12,104)</f>
        <v>3</v>
      </c>
      <c r="H19" s="398"/>
      <c r="I19" s="398">
        <f>VLOOKUP(B2,Schlüssel!$A$5:$DZ$12,105)</f>
        <v>8</v>
      </c>
      <c r="J19" s="398"/>
      <c r="K19" s="398">
        <f>VLOOKUP(B2,Schlüssel!$A$5:$DZ$12,106)</f>
        <v>7</v>
      </c>
      <c r="L19" s="398"/>
      <c r="M19" s="398">
        <f>VLOOKUP(B2,Schlüssel!$A$5:$DZ$12,107)</f>
        <v>4</v>
      </c>
      <c r="N19" s="398"/>
      <c r="O19" s="399"/>
      <c r="P19" s="399"/>
    </row>
    <row r="20" spans="1:30" ht="28.5" customHeight="1">
      <c r="B20" s="4"/>
      <c r="C20" s="1"/>
      <c r="D20" s="1"/>
      <c r="E20" s="395" t="str">
        <f>VLOOKUP(E19,Schlüssel!$A$5:$K$12,2)</f>
        <v>Highroller Rosenheim 1</v>
      </c>
      <c r="F20" s="396"/>
      <c r="G20" s="395" t="str">
        <f>VLOOKUP(G19,Schlüssel!$A$5:$K$12,2)</f>
        <v>Highroller Rosenheim 2</v>
      </c>
      <c r="H20" s="396"/>
      <c r="I20" s="395" t="str">
        <f>VLOOKUP(I19,Schlüssel!$A$5:$K$12,2)</f>
        <v>EMAX 1</v>
      </c>
      <c r="J20" s="396"/>
      <c r="K20" s="395" t="str">
        <f>VLOOKUP(K19,Schlüssel!$A$5:$K$12,2)</f>
        <v>BK München 1</v>
      </c>
      <c r="L20" s="396"/>
      <c r="M20" s="395" t="str">
        <f>VLOOKUP(M19,Schlüssel!$A$5:$K$12,2)</f>
        <v>Highroller Rosenheim 3</v>
      </c>
      <c r="N20" s="396"/>
      <c r="O20" s="397"/>
      <c r="P20" s="397"/>
    </row>
    <row r="21" spans="1:30" ht="12" customHeight="1">
      <c r="B21" s="4"/>
      <c r="C21" s="1"/>
      <c r="D21" s="1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53"/>
      <c r="P21" s="353"/>
    </row>
    <row r="22" spans="1:30" ht="16.2" customHeight="1">
      <c r="B22" s="39" t="s">
        <v>0</v>
      </c>
      <c r="C22" s="40"/>
      <c r="D22" s="40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3"/>
      <c r="P22" s="393"/>
    </row>
    <row r="23" spans="1:30" ht="16.2" customHeight="1">
      <c r="B23" s="39" t="s">
        <v>2</v>
      </c>
      <c r="C23" s="40"/>
      <c r="D23" s="40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3"/>
      <c r="P23" s="393"/>
    </row>
    <row r="24" spans="1:30" ht="16.2" customHeight="1">
      <c r="B24" s="39" t="s">
        <v>3</v>
      </c>
      <c r="C24" s="40"/>
      <c r="D24" s="40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3"/>
      <c r="P24" s="393"/>
    </row>
    <row r="25" spans="1:30" ht="16.2" customHeight="1">
      <c r="B25" s="41" t="s">
        <v>1792</v>
      </c>
      <c r="C25" s="42"/>
      <c r="D25" s="42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41"/>
      <c r="P25" s="341"/>
    </row>
    <row r="26" spans="1:30" ht="21" customHeight="1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6">
        <f>Schlüssel!DI$1</f>
        <v>45808</v>
      </c>
      <c r="N26" s="406"/>
      <c r="O26" s="406"/>
      <c r="AD26" s="76"/>
    </row>
    <row r="27" spans="1:30" ht="17.25" customHeight="1" thickBot="1">
      <c r="A27" s="53"/>
      <c r="B27" s="54">
        <f>+B2+1</f>
        <v>2</v>
      </c>
      <c r="C27" s="35" t="s">
        <v>1787</v>
      </c>
      <c r="D27" s="35"/>
      <c r="E27" s="72" t="str">
        <f>Schlüssel!$CY$2</f>
        <v>Rosenheim In(n) Bowling</v>
      </c>
      <c r="G27" s="66"/>
      <c r="H27" s="66"/>
      <c r="I27" s="66"/>
      <c r="J27" s="66"/>
      <c r="L27" s="66"/>
      <c r="M27" s="34" t="s">
        <v>1785</v>
      </c>
      <c r="N27" s="38">
        <v>6</v>
      </c>
      <c r="O27" s="33"/>
      <c r="AD27" s="77"/>
    </row>
    <row r="28" spans="1:30" ht="15.75" customHeight="1" thickBot="1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3.8" thickBot="1">
      <c r="A29" s="6"/>
      <c r="B29" s="7"/>
      <c r="C29" s="43"/>
      <c r="D29" s="43"/>
      <c r="E29" s="47" t="s">
        <v>10</v>
      </c>
      <c r="F29" s="7">
        <f>VLOOKUP(B27,Schlüssel!$A$5:$DZ$12,113)</f>
        <v>15</v>
      </c>
      <c r="G29" s="51" t="s">
        <v>10</v>
      </c>
      <c r="H29" s="7">
        <f>VLOOKUP(B27,Schlüssel!$A$5:$DZ$12,114)</f>
        <v>14</v>
      </c>
      <c r="I29" s="51" t="s">
        <v>10</v>
      </c>
      <c r="J29" s="7">
        <f>VLOOKUP(B27,Schlüssel!$A$5:$DZ$12,115)</f>
        <v>12</v>
      </c>
      <c r="K29" s="51" t="s">
        <v>10</v>
      </c>
      <c r="L29" s="7">
        <f>VLOOKUP(B27,Schlüssel!$A$5:$DZ$12,116)</f>
        <v>17</v>
      </c>
      <c r="M29" s="51" t="s">
        <v>10</v>
      </c>
      <c r="N29" s="57">
        <f>VLOOKUP(B27,Schlüssel!$A$5:$DZ$12,117)</f>
        <v>12</v>
      </c>
    </row>
    <row r="30" spans="1:30" ht="20.25" customHeight="1">
      <c r="B30" s="44" t="s">
        <v>1</v>
      </c>
      <c r="C30" s="45"/>
      <c r="D30" s="45"/>
      <c r="E30" s="407" t="s">
        <v>1793</v>
      </c>
      <c r="F30" s="408"/>
      <c r="G30" s="407" t="s">
        <v>1794</v>
      </c>
      <c r="H30" s="408"/>
      <c r="I30" s="407" t="s">
        <v>1795</v>
      </c>
      <c r="J30" s="408"/>
      <c r="K30" s="407" t="s">
        <v>1796</v>
      </c>
      <c r="L30" s="408"/>
      <c r="M30" s="407" t="s">
        <v>1797</v>
      </c>
      <c r="N30" s="408"/>
      <c r="O30" s="409" t="s">
        <v>1792</v>
      </c>
      <c r="P30" s="410"/>
    </row>
    <row r="31" spans="1:30" ht="15" customHeight="1" thickBot="1">
      <c r="B31" s="9" t="s">
        <v>1798</v>
      </c>
      <c r="C31" s="48" t="s">
        <v>1799</v>
      </c>
      <c r="D31" s="48" t="s">
        <v>2264</v>
      </c>
      <c r="E31" s="464" t="s">
        <v>1800</v>
      </c>
      <c r="F31" s="465" t="s">
        <v>1801</v>
      </c>
      <c r="G31" s="464" t="s">
        <v>1800</v>
      </c>
      <c r="H31" s="465" t="s">
        <v>1801</v>
      </c>
      <c r="I31" s="464" t="s">
        <v>1800</v>
      </c>
      <c r="J31" s="465" t="s">
        <v>1801</v>
      </c>
      <c r="K31" s="464" t="s">
        <v>1800</v>
      </c>
      <c r="L31" s="465" t="s">
        <v>1801</v>
      </c>
      <c r="M31" s="464" t="s">
        <v>1800</v>
      </c>
      <c r="N31" s="465" t="s">
        <v>1801</v>
      </c>
      <c r="O31" s="464" t="s">
        <v>1800</v>
      </c>
      <c r="P31" s="465" t="s">
        <v>1801</v>
      </c>
    </row>
    <row r="32" spans="1:30" ht="16.95" customHeight="1">
      <c r="A32" s="403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58"/>
      <c r="F32" s="459"/>
      <c r="G32" s="458"/>
      <c r="H32" s="459"/>
      <c r="I32" s="458"/>
      <c r="J32" s="459"/>
      <c r="K32" s="458"/>
      <c r="L32" s="459"/>
      <c r="M32" s="458"/>
      <c r="N32" s="459"/>
      <c r="O32" s="458"/>
      <c r="P32" s="459"/>
    </row>
    <row r="33" spans="1:16" ht="16.95" customHeight="1">
      <c r="A33" s="404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60"/>
      <c r="F33" s="461"/>
      <c r="G33" s="460"/>
      <c r="H33" s="461"/>
      <c r="I33" s="460"/>
      <c r="J33" s="461"/>
      <c r="K33" s="460"/>
      <c r="L33" s="461"/>
      <c r="M33" s="460"/>
      <c r="N33" s="461"/>
      <c r="O33" s="460"/>
      <c r="P33" s="461"/>
    </row>
    <row r="34" spans="1:16" ht="16.95" customHeight="1" thickBot="1">
      <c r="A34" s="405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62"/>
      <c r="F34" s="463"/>
      <c r="G34" s="462"/>
      <c r="H34" s="463"/>
      <c r="I34" s="462"/>
      <c r="J34" s="463"/>
      <c r="K34" s="462"/>
      <c r="L34" s="463"/>
      <c r="M34" s="462"/>
      <c r="N34" s="463"/>
      <c r="O34" s="462"/>
      <c r="P34" s="463"/>
    </row>
    <row r="35" spans="1:16" ht="16.95" customHeight="1">
      <c r="A35" s="403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58"/>
      <c r="F35" s="459"/>
      <c r="G35" s="458"/>
      <c r="H35" s="459"/>
      <c r="I35" s="458"/>
      <c r="J35" s="459"/>
      <c r="K35" s="458"/>
      <c r="L35" s="459"/>
      <c r="M35" s="458"/>
      <c r="N35" s="459"/>
      <c r="O35" s="458"/>
      <c r="P35" s="459"/>
    </row>
    <row r="36" spans="1:16" ht="16.95" customHeight="1">
      <c r="A36" s="404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60"/>
      <c r="F36" s="461"/>
      <c r="G36" s="460"/>
      <c r="H36" s="461"/>
      <c r="I36" s="460"/>
      <c r="J36" s="461"/>
      <c r="K36" s="460"/>
      <c r="L36" s="461"/>
      <c r="M36" s="460"/>
      <c r="N36" s="461"/>
      <c r="O36" s="460"/>
      <c r="P36" s="461"/>
    </row>
    <row r="37" spans="1:16" ht="16.95" customHeight="1" thickBot="1">
      <c r="A37" s="405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62"/>
      <c r="F37" s="463"/>
      <c r="G37" s="462"/>
      <c r="H37" s="463"/>
      <c r="I37" s="462"/>
      <c r="J37" s="463"/>
      <c r="K37" s="462"/>
      <c r="L37" s="463"/>
      <c r="M37" s="462"/>
      <c r="N37" s="463"/>
      <c r="O37" s="462"/>
      <c r="P37" s="463"/>
    </row>
    <row r="38" spans="1:16" ht="16.95" customHeight="1">
      <c r="A38" s="403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58"/>
      <c r="F38" s="459"/>
      <c r="G38" s="458"/>
      <c r="H38" s="459"/>
      <c r="I38" s="458"/>
      <c r="J38" s="459"/>
      <c r="K38" s="458"/>
      <c r="L38" s="459"/>
      <c r="M38" s="458"/>
      <c r="N38" s="459"/>
      <c r="O38" s="458"/>
      <c r="P38" s="459"/>
    </row>
    <row r="39" spans="1:16" ht="16.95" customHeight="1">
      <c r="A39" s="404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60"/>
      <c r="F39" s="461"/>
      <c r="G39" s="460"/>
      <c r="H39" s="461"/>
      <c r="I39" s="460"/>
      <c r="J39" s="461"/>
      <c r="K39" s="460"/>
      <c r="L39" s="461"/>
      <c r="M39" s="460"/>
      <c r="N39" s="461"/>
      <c r="O39" s="460"/>
      <c r="P39" s="461"/>
    </row>
    <row r="40" spans="1:16" ht="16.95" customHeight="1" thickBot="1">
      <c r="A40" s="405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62"/>
      <c r="F40" s="463"/>
      <c r="G40" s="462"/>
      <c r="H40" s="463"/>
      <c r="I40" s="462"/>
      <c r="J40" s="463"/>
      <c r="K40" s="462"/>
      <c r="L40" s="463"/>
      <c r="M40" s="462"/>
      <c r="N40" s="463"/>
      <c r="O40" s="462"/>
      <c r="P40" s="463"/>
    </row>
    <row r="41" spans="1:16" ht="27.75" customHeight="1" thickBot="1">
      <c r="B41" s="11"/>
      <c r="C41" s="25"/>
      <c r="D41" s="204"/>
      <c r="E41" s="456"/>
      <c r="F41" s="457"/>
      <c r="G41" s="456"/>
      <c r="H41" s="457"/>
      <c r="I41" s="456"/>
      <c r="J41" s="457"/>
      <c r="K41" s="456"/>
      <c r="L41" s="457"/>
      <c r="M41" s="456"/>
      <c r="N41" s="457"/>
      <c r="O41" s="456"/>
      <c r="P41" s="457"/>
    </row>
    <row r="42" spans="1:16" ht="24" customHeight="1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>
      <c r="B44" s="211" t="s">
        <v>1790</v>
      </c>
      <c r="C44" s="42" t="s">
        <v>1791</v>
      </c>
      <c r="D44" s="42"/>
      <c r="E44" s="398">
        <f>VLOOKUP(B27,Schlüssel!$A$5:$DZ$12,103)</f>
        <v>1</v>
      </c>
      <c r="F44" s="398"/>
      <c r="G44" s="398">
        <f>VLOOKUP(B27,Schlüssel!$A$5:$DZ$12,104)</f>
        <v>4</v>
      </c>
      <c r="H44" s="398"/>
      <c r="I44" s="398">
        <f>VLOOKUP(B27,Schlüssel!$A$5:$DZ$12,105)</f>
        <v>6</v>
      </c>
      <c r="J44" s="398"/>
      <c r="K44" s="398">
        <f>VLOOKUP(B27,Schlüssel!$A$5:$DZ$12,106)</f>
        <v>5</v>
      </c>
      <c r="L44" s="398"/>
      <c r="M44" s="398">
        <f>VLOOKUP(B27,Schlüssel!$A$5:$DZ$12,107)</f>
        <v>3</v>
      </c>
      <c r="N44" s="398"/>
      <c r="O44" s="399"/>
      <c r="P44" s="399"/>
    </row>
    <row r="45" spans="1:16" ht="28.5" customHeight="1">
      <c r="B45" s="4"/>
      <c r="C45" s="1"/>
      <c r="D45" s="1"/>
      <c r="E45" s="395" t="str">
        <f>VLOOKUP(E44,Schlüssel!$A$5:$K$12,2)</f>
        <v>Bad Tölz 1</v>
      </c>
      <c r="F45" s="396"/>
      <c r="G45" s="395" t="str">
        <f>VLOOKUP(G44,Schlüssel!$A$5:$K$12,2)</f>
        <v>Highroller Rosenheim 3</v>
      </c>
      <c r="H45" s="396"/>
      <c r="I45" s="395" t="str">
        <f>VLOOKUP(I44,Schlüssel!$A$5:$K$12,2)</f>
        <v>Bowling Jugend Bayern 1</v>
      </c>
      <c r="J45" s="396"/>
      <c r="K45" s="395" t="str">
        <f>VLOOKUP(K44,Schlüssel!$A$5:$K$12,2)</f>
        <v>Berchtesgaden 1</v>
      </c>
      <c r="L45" s="396"/>
      <c r="M45" s="395" t="str">
        <f>VLOOKUP(M44,Schlüssel!$A$5:$K$12,2)</f>
        <v>Highroller Rosenheim 2</v>
      </c>
      <c r="N45" s="396"/>
      <c r="O45" s="397"/>
      <c r="P45" s="397"/>
    </row>
    <row r="46" spans="1:16" ht="12" customHeight="1">
      <c r="B46" s="4"/>
      <c r="C46" s="1"/>
      <c r="D46" s="1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53"/>
      <c r="P46" s="353"/>
    </row>
    <row r="47" spans="1:16" ht="16.2" customHeight="1">
      <c r="B47" s="39" t="s">
        <v>0</v>
      </c>
      <c r="C47" s="40"/>
      <c r="D47" s="40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3"/>
      <c r="P47" s="393"/>
    </row>
    <row r="48" spans="1:16" ht="16.2" customHeight="1">
      <c r="B48" s="39" t="s">
        <v>2</v>
      </c>
      <c r="C48" s="40"/>
      <c r="D48" s="40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3"/>
      <c r="P48" s="393"/>
    </row>
    <row r="49" spans="1:30" ht="16.2" customHeight="1">
      <c r="B49" s="39" t="s">
        <v>3</v>
      </c>
      <c r="C49" s="40"/>
      <c r="D49" s="40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3"/>
      <c r="P49" s="393"/>
    </row>
    <row r="50" spans="1:30" ht="15.75" customHeight="1">
      <c r="B50" s="41" t="s">
        <v>1792</v>
      </c>
      <c r="C50" s="42"/>
      <c r="D50" s="42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41"/>
      <c r="P50" s="341"/>
    </row>
    <row r="51" spans="1:30" ht="21" customHeight="1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6">
        <f>Schlüssel!DI$1</f>
        <v>45808</v>
      </c>
      <c r="N51" s="406"/>
      <c r="O51" s="406"/>
      <c r="AD51" s="76"/>
    </row>
    <row r="52" spans="1:30" ht="17.25" customHeight="1" thickBot="1">
      <c r="A52" s="53"/>
      <c r="B52" s="54">
        <f>+B27+1</f>
        <v>3</v>
      </c>
      <c r="C52" s="35" t="s">
        <v>1787</v>
      </c>
      <c r="D52" s="35"/>
      <c r="E52" s="72" t="str">
        <f>Schlüssel!$CY$2</f>
        <v>Rosenheim In(n) Bowling</v>
      </c>
      <c r="G52" s="66"/>
      <c r="H52" s="66"/>
      <c r="I52" s="66"/>
      <c r="J52" s="66"/>
      <c r="L52" s="66"/>
      <c r="M52" s="34" t="s">
        <v>1785</v>
      </c>
      <c r="N52" s="38">
        <v>6</v>
      </c>
      <c r="O52" s="33"/>
      <c r="AD52" s="77"/>
    </row>
    <row r="53" spans="1:30" ht="15.75" customHeight="1" thickBot="1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3.8" thickBot="1">
      <c r="A54" s="6"/>
      <c r="B54" s="7"/>
      <c r="C54" s="43"/>
      <c r="D54" s="43"/>
      <c r="E54" s="47" t="s">
        <v>10</v>
      </c>
      <c r="F54" s="7">
        <f>VLOOKUP(B52,Schlüssel!$A$5:$DZ$12,113)</f>
        <v>18</v>
      </c>
      <c r="G54" s="51" t="s">
        <v>10</v>
      </c>
      <c r="H54" s="7">
        <f>VLOOKUP(B52,Schlüssel!$A$5:$DZ$12,114)</f>
        <v>11</v>
      </c>
      <c r="I54" s="51" t="s">
        <v>10</v>
      </c>
      <c r="J54" s="7">
        <f>VLOOKUP(B52,Schlüssel!$A$5:$DZ$12,115)</f>
        <v>13</v>
      </c>
      <c r="K54" s="51" t="s">
        <v>10</v>
      </c>
      <c r="L54" s="7">
        <f>VLOOKUP(B52,Schlüssel!$A$5:$DZ$12,116)</f>
        <v>16</v>
      </c>
      <c r="M54" s="51" t="s">
        <v>10</v>
      </c>
      <c r="N54" s="57">
        <f>VLOOKUP(B52,Schlüssel!$A$5:$DZ$12,117)</f>
        <v>11</v>
      </c>
    </row>
    <row r="55" spans="1:30" ht="20.25" customHeight="1">
      <c r="B55" s="44" t="s">
        <v>1</v>
      </c>
      <c r="C55" s="45"/>
      <c r="D55" s="45"/>
      <c r="E55" s="407" t="s">
        <v>1793</v>
      </c>
      <c r="F55" s="408"/>
      <c r="G55" s="407" t="s">
        <v>1794</v>
      </c>
      <c r="H55" s="408"/>
      <c r="I55" s="407" t="s">
        <v>1795</v>
      </c>
      <c r="J55" s="408"/>
      <c r="K55" s="407" t="s">
        <v>1796</v>
      </c>
      <c r="L55" s="408"/>
      <c r="M55" s="407" t="s">
        <v>1797</v>
      </c>
      <c r="N55" s="408"/>
      <c r="O55" s="409" t="s">
        <v>1792</v>
      </c>
      <c r="P55" s="410"/>
    </row>
    <row r="56" spans="1:30" ht="15" customHeight="1" thickBot="1">
      <c r="B56" s="9" t="s">
        <v>1798</v>
      </c>
      <c r="C56" s="48" t="s">
        <v>1799</v>
      </c>
      <c r="D56" s="48" t="s">
        <v>2264</v>
      </c>
      <c r="E56" s="464" t="s">
        <v>1800</v>
      </c>
      <c r="F56" s="465" t="s">
        <v>1801</v>
      </c>
      <c r="G56" s="464" t="s">
        <v>1800</v>
      </c>
      <c r="H56" s="465" t="s">
        <v>1801</v>
      </c>
      <c r="I56" s="464" t="s">
        <v>1800</v>
      </c>
      <c r="J56" s="465" t="s">
        <v>1801</v>
      </c>
      <c r="K56" s="464" t="s">
        <v>1800</v>
      </c>
      <c r="L56" s="465" t="s">
        <v>1801</v>
      </c>
      <c r="M56" s="464" t="s">
        <v>1800</v>
      </c>
      <c r="N56" s="465" t="s">
        <v>1801</v>
      </c>
      <c r="O56" s="464" t="s">
        <v>1800</v>
      </c>
      <c r="P56" s="465" t="s">
        <v>1801</v>
      </c>
    </row>
    <row r="57" spans="1:30" ht="16.95" customHeight="1">
      <c r="A57" s="403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58"/>
      <c r="F57" s="459"/>
      <c r="G57" s="458"/>
      <c r="H57" s="459"/>
      <c r="I57" s="458"/>
      <c r="J57" s="459"/>
      <c r="K57" s="458"/>
      <c r="L57" s="459"/>
      <c r="M57" s="458"/>
      <c r="N57" s="459"/>
      <c r="O57" s="458"/>
      <c r="P57" s="459"/>
    </row>
    <row r="58" spans="1:30" ht="16.95" customHeight="1">
      <c r="A58" s="404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60"/>
      <c r="F58" s="461"/>
      <c r="G58" s="460"/>
      <c r="H58" s="461"/>
      <c r="I58" s="460"/>
      <c r="J58" s="461"/>
      <c r="K58" s="460"/>
      <c r="L58" s="461"/>
      <c r="M58" s="460"/>
      <c r="N58" s="461"/>
      <c r="O58" s="460"/>
      <c r="P58" s="461"/>
    </row>
    <row r="59" spans="1:30" ht="16.95" customHeight="1" thickBot="1">
      <c r="A59" s="405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62"/>
      <c r="F59" s="463"/>
      <c r="G59" s="462"/>
      <c r="H59" s="463"/>
      <c r="I59" s="462"/>
      <c r="J59" s="463"/>
      <c r="K59" s="462"/>
      <c r="L59" s="463"/>
      <c r="M59" s="462"/>
      <c r="N59" s="463"/>
      <c r="O59" s="462"/>
      <c r="P59" s="463"/>
    </row>
    <row r="60" spans="1:30" ht="16.95" customHeight="1">
      <c r="A60" s="403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58"/>
      <c r="F60" s="459"/>
      <c r="G60" s="458"/>
      <c r="H60" s="459"/>
      <c r="I60" s="458"/>
      <c r="J60" s="459"/>
      <c r="K60" s="458"/>
      <c r="L60" s="459"/>
      <c r="M60" s="458"/>
      <c r="N60" s="459"/>
      <c r="O60" s="458"/>
      <c r="P60" s="459"/>
    </row>
    <row r="61" spans="1:30" ht="16.95" customHeight="1">
      <c r="A61" s="404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60"/>
      <c r="F61" s="461"/>
      <c r="G61" s="460"/>
      <c r="H61" s="461"/>
      <c r="I61" s="460"/>
      <c r="J61" s="461"/>
      <c r="K61" s="460"/>
      <c r="L61" s="461"/>
      <c r="M61" s="460"/>
      <c r="N61" s="461"/>
      <c r="O61" s="460"/>
      <c r="P61" s="461"/>
    </row>
    <row r="62" spans="1:30" ht="16.95" customHeight="1" thickBot="1">
      <c r="A62" s="405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62"/>
      <c r="F62" s="463"/>
      <c r="G62" s="462"/>
      <c r="H62" s="463"/>
      <c r="I62" s="462"/>
      <c r="J62" s="463"/>
      <c r="K62" s="462"/>
      <c r="L62" s="463"/>
      <c r="M62" s="462"/>
      <c r="N62" s="463"/>
      <c r="O62" s="462"/>
      <c r="P62" s="463"/>
    </row>
    <row r="63" spans="1:30" ht="16.95" customHeight="1">
      <c r="A63" s="403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58"/>
      <c r="F63" s="459"/>
      <c r="G63" s="458"/>
      <c r="H63" s="459"/>
      <c r="I63" s="458"/>
      <c r="J63" s="459"/>
      <c r="K63" s="458"/>
      <c r="L63" s="459"/>
      <c r="M63" s="458"/>
      <c r="N63" s="459"/>
      <c r="O63" s="458"/>
      <c r="P63" s="459"/>
    </row>
    <row r="64" spans="1:30" ht="16.95" customHeight="1">
      <c r="A64" s="404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60"/>
      <c r="F64" s="461"/>
      <c r="G64" s="460"/>
      <c r="H64" s="461"/>
      <c r="I64" s="460"/>
      <c r="J64" s="461"/>
      <c r="K64" s="460"/>
      <c r="L64" s="461"/>
      <c r="M64" s="460"/>
      <c r="N64" s="461"/>
      <c r="O64" s="460"/>
      <c r="P64" s="461"/>
    </row>
    <row r="65" spans="1:30" ht="16.95" customHeight="1" thickBot="1">
      <c r="A65" s="405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62"/>
      <c r="F65" s="463"/>
      <c r="G65" s="462"/>
      <c r="H65" s="463"/>
      <c r="I65" s="462"/>
      <c r="J65" s="463"/>
      <c r="K65" s="462"/>
      <c r="L65" s="463"/>
      <c r="M65" s="462"/>
      <c r="N65" s="463"/>
      <c r="O65" s="462"/>
      <c r="P65" s="463"/>
    </row>
    <row r="66" spans="1:30" ht="27.75" customHeight="1" thickBot="1">
      <c r="B66" s="11"/>
      <c r="C66" s="25"/>
      <c r="D66" s="204"/>
      <c r="E66" s="456"/>
      <c r="F66" s="457"/>
      <c r="G66" s="456"/>
      <c r="H66" s="457"/>
      <c r="I66" s="456"/>
      <c r="J66" s="457"/>
      <c r="K66" s="456"/>
      <c r="L66" s="457"/>
      <c r="M66" s="456"/>
      <c r="N66" s="457"/>
      <c r="O66" s="456"/>
      <c r="P66" s="457"/>
    </row>
    <row r="67" spans="1:30" ht="24" customHeight="1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>
      <c r="B69" s="211" t="s">
        <v>1790</v>
      </c>
      <c r="C69" s="42" t="s">
        <v>1791</v>
      </c>
      <c r="D69" s="42"/>
      <c r="E69" s="398">
        <f>VLOOKUP(B52,Schlüssel!$A$5:$DZ$12,103)</f>
        <v>4</v>
      </c>
      <c r="F69" s="398"/>
      <c r="G69" s="398">
        <f>VLOOKUP(B52,Schlüssel!$A$5:$DZ$12,104)</f>
        <v>1</v>
      </c>
      <c r="H69" s="398"/>
      <c r="I69" s="398">
        <f>VLOOKUP(B52,Schlüssel!$A$5:$DZ$12,105)</f>
        <v>7</v>
      </c>
      <c r="J69" s="398"/>
      <c r="K69" s="398">
        <f>VLOOKUP(B52,Schlüssel!$A$5:$DZ$12,106)</f>
        <v>8</v>
      </c>
      <c r="L69" s="398"/>
      <c r="M69" s="398">
        <f>VLOOKUP(B52,Schlüssel!$A$5:$DZ$12,107)</f>
        <v>2</v>
      </c>
      <c r="N69" s="398"/>
      <c r="O69" s="399"/>
      <c r="P69" s="399"/>
    </row>
    <row r="70" spans="1:30" ht="28.5" customHeight="1">
      <c r="B70" s="4"/>
      <c r="C70" s="1"/>
      <c r="D70" s="1"/>
      <c r="E70" s="395" t="str">
        <f>VLOOKUP(E69,Schlüssel!$A$5:$K$12,2)</f>
        <v>Highroller Rosenheim 3</v>
      </c>
      <c r="F70" s="396"/>
      <c r="G70" s="395" t="str">
        <f>VLOOKUP(G69,Schlüssel!$A$5:$K$12,2)</f>
        <v>Bad Tölz 1</v>
      </c>
      <c r="H70" s="396"/>
      <c r="I70" s="395" t="str">
        <f>VLOOKUP(I69,Schlüssel!$A$5:$K$12,2)</f>
        <v>BK München 1</v>
      </c>
      <c r="J70" s="396"/>
      <c r="K70" s="395" t="str">
        <f>VLOOKUP(K69,Schlüssel!$A$5:$K$12,2)</f>
        <v>EMAX 1</v>
      </c>
      <c r="L70" s="396"/>
      <c r="M70" s="395" t="str">
        <f>VLOOKUP(M69,Schlüssel!$A$5:$K$12,2)</f>
        <v>Highroller Rosenheim 1</v>
      </c>
      <c r="N70" s="396"/>
      <c r="O70" s="397"/>
      <c r="P70" s="397"/>
    </row>
    <row r="71" spans="1:30" ht="12" customHeight="1">
      <c r="B71" s="4"/>
      <c r="C71" s="1"/>
      <c r="D71" s="1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53"/>
      <c r="P71" s="353"/>
    </row>
    <row r="72" spans="1:30" ht="16.2" customHeight="1">
      <c r="B72" s="39" t="s">
        <v>0</v>
      </c>
      <c r="C72" s="40"/>
      <c r="D72" s="40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3"/>
      <c r="P72" s="393"/>
    </row>
    <row r="73" spans="1:30" ht="16.2" customHeight="1">
      <c r="B73" s="39" t="s">
        <v>2</v>
      </c>
      <c r="C73" s="40"/>
      <c r="D73" s="40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3"/>
      <c r="P73" s="393"/>
    </row>
    <row r="74" spans="1:30" ht="16.2" customHeight="1">
      <c r="B74" s="39" t="s">
        <v>3</v>
      </c>
      <c r="C74" s="40"/>
      <c r="D74" s="40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3"/>
      <c r="P74" s="393"/>
    </row>
    <row r="75" spans="1:30" ht="15.75" customHeight="1">
      <c r="B75" s="41" t="s">
        <v>1792</v>
      </c>
      <c r="C75" s="42"/>
      <c r="D75" s="42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41"/>
      <c r="P75" s="341"/>
    </row>
    <row r="76" spans="1:30" ht="21" customHeight="1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6">
        <f>Schlüssel!DI$1</f>
        <v>45808</v>
      </c>
      <c r="N76" s="406"/>
      <c r="O76" s="406"/>
      <c r="AD76" s="76"/>
    </row>
    <row r="77" spans="1:30" ht="17.25" customHeight="1" thickBot="1">
      <c r="A77" s="53"/>
      <c r="B77" s="54">
        <f>+B52+1</f>
        <v>4</v>
      </c>
      <c r="C77" s="35" t="s">
        <v>1787</v>
      </c>
      <c r="D77" s="35"/>
      <c r="E77" s="72" t="str">
        <f>Schlüssel!$CY$2</f>
        <v>Rosenheim In(n) Bowling</v>
      </c>
      <c r="G77" s="66"/>
      <c r="H77" s="66"/>
      <c r="I77" s="66"/>
      <c r="J77" s="66"/>
      <c r="L77" s="66"/>
      <c r="M77" s="34" t="s">
        <v>1785</v>
      </c>
      <c r="N77" s="38">
        <v>6</v>
      </c>
      <c r="O77" s="33"/>
      <c r="AD77" s="77"/>
    </row>
    <row r="78" spans="1:30" ht="15.75" customHeight="1" thickBot="1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3.8" thickBot="1">
      <c r="A79" s="6"/>
      <c r="B79" s="7"/>
      <c r="C79" s="43"/>
      <c r="D79" s="43"/>
      <c r="E79" s="47" t="s">
        <v>10</v>
      </c>
      <c r="F79" s="7">
        <f>VLOOKUP(B77,Schlüssel!$A$5:$DZ$12,113)</f>
        <v>17</v>
      </c>
      <c r="G79" s="51" t="s">
        <v>10</v>
      </c>
      <c r="H79" s="7">
        <f>VLOOKUP(B77,Schlüssel!$A$5:$DZ$12,114)</f>
        <v>13</v>
      </c>
      <c r="I79" s="51" t="s">
        <v>10</v>
      </c>
      <c r="J79" s="7">
        <f>VLOOKUP(B77,Schlüssel!$A$5:$DZ$12,115)</f>
        <v>15</v>
      </c>
      <c r="K79" s="51" t="s">
        <v>10</v>
      </c>
      <c r="L79" s="7">
        <f>VLOOKUP(B77,Schlüssel!$A$5:$DZ$12,116)</f>
        <v>14</v>
      </c>
      <c r="M79" s="51" t="s">
        <v>10</v>
      </c>
      <c r="N79" s="57">
        <f>VLOOKUP(B77,Schlüssel!$A$5:$DZ$12,117)</f>
        <v>16</v>
      </c>
    </row>
    <row r="80" spans="1:30" ht="20.25" customHeight="1">
      <c r="B80" s="44" t="s">
        <v>1</v>
      </c>
      <c r="C80" s="45"/>
      <c r="D80" s="45"/>
      <c r="E80" s="407" t="s">
        <v>1793</v>
      </c>
      <c r="F80" s="408"/>
      <c r="G80" s="407" t="s">
        <v>1794</v>
      </c>
      <c r="H80" s="408"/>
      <c r="I80" s="407" t="s">
        <v>1795</v>
      </c>
      <c r="J80" s="408"/>
      <c r="K80" s="407" t="s">
        <v>1796</v>
      </c>
      <c r="L80" s="408"/>
      <c r="M80" s="407" t="s">
        <v>1797</v>
      </c>
      <c r="N80" s="408"/>
      <c r="O80" s="409" t="s">
        <v>1792</v>
      </c>
      <c r="P80" s="410"/>
    </row>
    <row r="81" spans="1:16" ht="15" customHeight="1" thickBot="1">
      <c r="B81" s="9" t="s">
        <v>1798</v>
      </c>
      <c r="C81" s="48" t="s">
        <v>1799</v>
      </c>
      <c r="D81" s="48" t="s">
        <v>2264</v>
      </c>
      <c r="E81" s="464" t="s">
        <v>1800</v>
      </c>
      <c r="F81" s="465" t="s">
        <v>1801</v>
      </c>
      <c r="G81" s="464" t="s">
        <v>1800</v>
      </c>
      <c r="H81" s="465" t="s">
        <v>1801</v>
      </c>
      <c r="I81" s="464" t="s">
        <v>1800</v>
      </c>
      <c r="J81" s="465" t="s">
        <v>1801</v>
      </c>
      <c r="K81" s="464" t="s">
        <v>1800</v>
      </c>
      <c r="L81" s="465" t="s">
        <v>1801</v>
      </c>
      <c r="M81" s="464" t="s">
        <v>1800</v>
      </c>
      <c r="N81" s="465" t="s">
        <v>1801</v>
      </c>
      <c r="O81" s="464" t="s">
        <v>1800</v>
      </c>
      <c r="P81" s="465" t="s">
        <v>1801</v>
      </c>
    </row>
    <row r="82" spans="1:16" ht="16.95" customHeight="1">
      <c r="A82" s="403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58"/>
      <c r="F82" s="459"/>
      <c r="G82" s="458"/>
      <c r="H82" s="459"/>
      <c r="I82" s="458"/>
      <c r="J82" s="459"/>
      <c r="K82" s="458"/>
      <c r="L82" s="459"/>
      <c r="M82" s="458"/>
      <c r="N82" s="459"/>
      <c r="O82" s="458"/>
      <c r="P82" s="459"/>
    </row>
    <row r="83" spans="1:16" ht="16.95" customHeight="1">
      <c r="A83" s="404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60"/>
      <c r="F83" s="461"/>
      <c r="G83" s="460"/>
      <c r="H83" s="461"/>
      <c r="I83" s="460"/>
      <c r="J83" s="461"/>
      <c r="K83" s="460"/>
      <c r="L83" s="461"/>
      <c r="M83" s="460"/>
      <c r="N83" s="461"/>
      <c r="O83" s="460"/>
      <c r="P83" s="461"/>
    </row>
    <row r="84" spans="1:16" ht="16.95" customHeight="1" thickBot="1">
      <c r="A84" s="405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62"/>
      <c r="F84" s="463"/>
      <c r="G84" s="462"/>
      <c r="H84" s="463"/>
      <c r="I84" s="462"/>
      <c r="J84" s="463"/>
      <c r="K84" s="462"/>
      <c r="L84" s="463"/>
      <c r="M84" s="462"/>
      <c r="N84" s="463"/>
      <c r="O84" s="462"/>
      <c r="P84" s="463"/>
    </row>
    <row r="85" spans="1:16" ht="16.95" customHeight="1">
      <c r="A85" s="403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58"/>
      <c r="F85" s="459"/>
      <c r="G85" s="458"/>
      <c r="H85" s="459"/>
      <c r="I85" s="458"/>
      <c r="J85" s="459"/>
      <c r="K85" s="458"/>
      <c r="L85" s="459"/>
      <c r="M85" s="458"/>
      <c r="N85" s="459"/>
      <c r="O85" s="458"/>
      <c r="P85" s="459"/>
    </row>
    <row r="86" spans="1:16" ht="16.95" customHeight="1">
      <c r="A86" s="404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60"/>
      <c r="F86" s="461"/>
      <c r="G86" s="460"/>
      <c r="H86" s="461"/>
      <c r="I86" s="460"/>
      <c r="J86" s="461"/>
      <c r="K86" s="460"/>
      <c r="L86" s="461"/>
      <c r="M86" s="460"/>
      <c r="N86" s="461"/>
      <c r="O86" s="460"/>
      <c r="P86" s="461"/>
    </row>
    <row r="87" spans="1:16" ht="16.95" customHeight="1" thickBot="1">
      <c r="A87" s="405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62"/>
      <c r="F87" s="463"/>
      <c r="G87" s="462"/>
      <c r="H87" s="463"/>
      <c r="I87" s="462"/>
      <c r="J87" s="463"/>
      <c r="K87" s="462"/>
      <c r="L87" s="463"/>
      <c r="M87" s="462"/>
      <c r="N87" s="463"/>
      <c r="O87" s="462"/>
      <c r="P87" s="463"/>
    </row>
    <row r="88" spans="1:16" ht="16.95" customHeight="1">
      <c r="A88" s="403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58"/>
      <c r="F88" s="459"/>
      <c r="G88" s="458"/>
      <c r="H88" s="459"/>
      <c r="I88" s="458"/>
      <c r="J88" s="459"/>
      <c r="K88" s="458"/>
      <c r="L88" s="459"/>
      <c r="M88" s="458"/>
      <c r="N88" s="459"/>
      <c r="O88" s="458"/>
      <c r="P88" s="459"/>
    </row>
    <row r="89" spans="1:16" ht="16.95" customHeight="1">
      <c r="A89" s="404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60"/>
      <c r="F89" s="461"/>
      <c r="G89" s="460"/>
      <c r="H89" s="461"/>
      <c r="I89" s="460"/>
      <c r="J89" s="461"/>
      <c r="K89" s="460"/>
      <c r="L89" s="461"/>
      <c r="M89" s="460"/>
      <c r="N89" s="461"/>
      <c r="O89" s="460"/>
      <c r="P89" s="461"/>
    </row>
    <row r="90" spans="1:16" ht="16.95" customHeight="1" thickBot="1">
      <c r="A90" s="405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62"/>
      <c r="F90" s="463"/>
      <c r="G90" s="462"/>
      <c r="H90" s="463"/>
      <c r="I90" s="462"/>
      <c r="J90" s="463"/>
      <c r="K90" s="462"/>
      <c r="L90" s="463"/>
      <c r="M90" s="462"/>
      <c r="N90" s="463"/>
      <c r="O90" s="462"/>
      <c r="P90" s="463"/>
    </row>
    <row r="91" spans="1:16" ht="27.75" customHeight="1" thickBot="1">
      <c r="B91" s="11"/>
      <c r="C91" s="25"/>
      <c r="D91" s="204"/>
      <c r="E91" s="456"/>
      <c r="F91" s="457"/>
      <c r="G91" s="456"/>
      <c r="H91" s="457"/>
      <c r="I91" s="456"/>
      <c r="J91" s="457"/>
      <c r="K91" s="456"/>
      <c r="L91" s="457"/>
      <c r="M91" s="456"/>
      <c r="N91" s="457"/>
      <c r="O91" s="456"/>
      <c r="P91" s="457"/>
    </row>
    <row r="92" spans="1:16" ht="24" customHeight="1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>
      <c r="B94" s="211" t="s">
        <v>1790</v>
      </c>
      <c r="C94" s="42" t="s">
        <v>1791</v>
      </c>
      <c r="D94" s="42"/>
      <c r="E94" s="398">
        <f>VLOOKUP(B77,Schlüssel!$A$5:$DZ$12,103)</f>
        <v>3</v>
      </c>
      <c r="F94" s="398"/>
      <c r="G94" s="398">
        <f>VLOOKUP(B77,Schlüssel!$A$5:$DZ$12,104)</f>
        <v>2</v>
      </c>
      <c r="H94" s="398"/>
      <c r="I94" s="398">
        <f>VLOOKUP(B77,Schlüssel!$A$5:$DZ$12,105)</f>
        <v>5</v>
      </c>
      <c r="J94" s="398"/>
      <c r="K94" s="398">
        <f>VLOOKUP(B77,Schlüssel!$A$5:$DZ$12,106)</f>
        <v>6</v>
      </c>
      <c r="L94" s="398"/>
      <c r="M94" s="398">
        <f>VLOOKUP(B77,Schlüssel!$A$5:$DZ$12,107)</f>
        <v>1</v>
      </c>
      <c r="N94" s="398"/>
      <c r="O94" s="399"/>
      <c r="P94" s="399"/>
    </row>
    <row r="95" spans="1:16" ht="28.5" customHeight="1">
      <c r="B95" s="4"/>
      <c r="C95" s="1"/>
      <c r="D95" s="1"/>
      <c r="E95" s="395" t="str">
        <f>VLOOKUP(E94,Schlüssel!$A$5:$K$12,2)</f>
        <v>Highroller Rosenheim 2</v>
      </c>
      <c r="F95" s="396"/>
      <c r="G95" s="395" t="str">
        <f>VLOOKUP(G94,Schlüssel!$A$5:$K$12,2)</f>
        <v>Highroller Rosenheim 1</v>
      </c>
      <c r="H95" s="396"/>
      <c r="I95" s="395" t="str">
        <f>VLOOKUP(I94,Schlüssel!$A$5:$K$12,2)</f>
        <v>Berchtesgaden 1</v>
      </c>
      <c r="J95" s="396"/>
      <c r="K95" s="395" t="str">
        <f>VLOOKUP(K94,Schlüssel!$A$5:$K$12,2)</f>
        <v>Bowling Jugend Bayern 1</v>
      </c>
      <c r="L95" s="396"/>
      <c r="M95" s="395" t="str">
        <f>VLOOKUP(M94,Schlüssel!$A$5:$K$12,2)</f>
        <v>Bad Tölz 1</v>
      </c>
      <c r="N95" s="396"/>
      <c r="O95" s="397"/>
      <c r="P95" s="397"/>
    </row>
    <row r="96" spans="1:16" ht="12" customHeight="1">
      <c r="B96" s="4"/>
      <c r="C96" s="1"/>
      <c r="D96" s="1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53"/>
      <c r="P96" s="353"/>
    </row>
    <row r="97" spans="1:30" ht="16.2" customHeight="1">
      <c r="B97" s="39" t="s">
        <v>0</v>
      </c>
      <c r="C97" s="40"/>
      <c r="D97" s="40"/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393"/>
      <c r="P97" s="393"/>
    </row>
    <row r="98" spans="1:30" ht="16.2" customHeight="1">
      <c r="B98" s="39" t="s">
        <v>2</v>
      </c>
      <c r="C98" s="40"/>
      <c r="D98" s="40"/>
      <c r="E98" s="392"/>
      <c r="F98" s="392"/>
      <c r="G98" s="392"/>
      <c r="H98" s="392"/>
      <c r="I98" s="392"/>
      <c r="J98" s="392"/>
      <c r="K98" s="392"/>
      <c r="L98" s="392"/>
      <c r="M98" s="392"/>
      <c r="N98" s="392"/>
      <c r="O98" s="393"/>
      <c r="P98" s="393"/>
    </row>
    <row r="99" spans="1:30" ht="16.2" customHeight="1">
      <c r="B99" s="39" t="s">
        <v>3</v>
      </c>
      <c r="C99" s="40"/>
      <c r="D99" s="40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3"/>
      <c r="P99" s="393"/>
    </row>
    <row r="100" spans="1:30" ht="15.75" customHeight="1">
      <c r="B100" s="41" t="s">
        <v>1792</v>
      </c>
      <c r="C100" s="42"/>
      <c r="D100" s="42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41"/>
      <c r="P100" s="341"/>
    </row>
    <row r="101" spans="1:30" ht="21" customHeight="1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6">
        <f>Schlüssel!DI$1</f>
        <v>45808</v>
      </c>
      <c r="N101" s="406"/>
      <c r="O101" s="406"/>
      <c r="AD101" s="76"/>
    </row>
    <row r="102" spans="1:30" ht="17.25" customHeight="1" thickBot="1">
      <c r="A102" s="53"/>
      <c r="B102" s="54">
        <f>+B77+1</f>
        <v>5</v>
      </c>
      <c r="C102" s="35" t="s">
        <v>1787</v>
      </c>
      <c r="D102" s="35"/>
      <c r="E102" s="72" t="str">
        <f>Schlüssel!$CY$2</f>
        <v>Rosenheim In(n) Bowling</v>
      </c>
      <c r="G102" s="66"/>
      <c r="H102" s="66"/>
      <c r="I102" s="66"/>
      <c r="J102" s="66"/>
      <c r="L102" s="66"/>
      <c r="M102" s="34" t="s">
        <v>1785</v>
      </c>
      <c r="N102" s="38">
        <v>6</v>
      </c>
      <c r="O102" s="33"/>
      <c r="AD102" s="77"/>
    </row>
    <row r="103" spans="1:30" ht="15.75" customHeight="1" thickBot="1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3.8" thickBot="1">
      <c r="A104" s="6"/>
      <c r="B104" s="7"/>
      <c r="C104" s="43"/>
      <c r="D104" s="43"/>
      <c r="E104" s="47" t="s">
        <v>10</v>
      </c>
      <c r="F104" s="7">
        <f>VLOOKUP(B102,Schlüssel!$A$5:$DZ$12,113)</f>
        <v>14</v>
      </c>
      <c r="G104" s="51" t="s">
        <v>10</v>
      </c>
      <c r="H104" s="7">
        <f>VLOOKUP(B102,Schlüssel!$A$5:$DZ$12,114)</f>
        <v>18</v>
      </c>
      <c r="I104" s="51" t="s">
        <v>10</v>
      </c>
      <c r="J104" s="7">
        <f>VLOOKUP(B102,Schlüssel!$A$5:$DZ$12,115)</f>
        <v>16</v>
      </c>
      <c r="K104" s="51" t="s">
        <v>10</v>
      </c>
      <c r="L104" s="7">
        <f>VLOOKUP(B102,Schlüssel!$A$5:$DZ$12,116)</f>
        <v>18</v>
      </c>
      <c r="M104" s="51" t="s">
        <v>10</v>
      </c>
      <c r="N104" s="57">
        <f>VLOOKUP(B102,Schlüssel!$A$5:$DZ$12,117)</f>
        <v>13</v>
      </c>
    </row>
    <row r="105" spans="1:30" ht="20.25" customHeight="1">
      <c r="B105" s="44" t="s">
        <v>1</v>
      </c>
      <c r="C105" s="45"/>
      <c r="D105" s="45"/>
      <c r="E105" s="407" t="s">
        <v>1793</v>
      </c>
      <c r="F105" s="408"/>
      <c r="G105" s="407" t="s">
        <v>1794</v>
      </c>
      <c r="H105" s="408"/>
      <c r="I105" s="407" t="s">
        <v>1795</v>
      </c>
      <c r="J105" s="408"/>
      <c r="K105" s="407" t="s">
        <v>1796</v>
      </c>
      <c r="L105" s="408"/>
      <c r="M105" s="407" t="s">
        <v>1797</v>
      </c>
      <c r="N105" s="408"/>
      <c r="O105" s="409" t="s">
        <v>1792</v>
      </c>
      <c r="P105" s="410"/>
    </row>
    <row r="106" spans="1:30" ht="15" customHeight="1" thickBot="1">
      <c r="B106" s="9" t="s">
        <v>1798</v>
      </c>
      <c r="C106" s="48" t="s">
        <v>1799</v>
      </c>
      <c r="D106" s="48" t="s">
        <v>2264</v>
      </c>
      <c r="E106" s="464" t="s">
        <v>1800</v>
      </c>
      <c r="F106" s="465" t="s">
        <v>1801</v>
      </c>
      <c r="G106" s="464" t="s">
        <v>1800</v>
      </c>
      <c r="H106" s="465" t="s">
        <v>1801</v>
      </c>
      <c r="I106" s="464" t="s">
        <v>1800</v>
      </c>
      <c r="J106" s="465" t="s">
        <v>1801</v>
      </c>
      <c r="K106" s="464" t="s">
        <v>1800</v>
      </c>
      <c r="L106" s="465" t="s">
        <v>1801</v>
      </c>
      <c r="M106" s="464" t="s">
        <v>1800</v>
      </c>
      <c r="N106" s="465" t="s">
        <v>1801</v>
      </c>
      <c r="O106" s="464" t="s">
        <v>1800</v>
      </c>
      <c r="P106" s="465" t="s">
        <v>1801</v>
      </c>
    </row>
    <row r="107" spans="1:30" ht="16.95" customHeight="1">
      <c r="A107" s="403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58"/>
      <c r="F107" s="459"/>
      <c r="G107" s="458"/>
      <c r="H107" s="459"/>
      <c r="I107" s="458"/>
      <c r="J107" s="459"/>
      <c r="K107" s="458"/>
      <c r="L107" s="459"/>
      <c r="M107" s="458"/>
      <c r="N107" s="459"/>
      <c r="O107" s="458"/>
      <c r="P107" s="459"/>
    </row>
    <row r="108" spans="1:30" ht="16.95" customHeight="1">
      <c r="A108" s="404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60"/>
      <c r="F108" s="461"/>
      <c r="G108" s="460"/>
      <c r="H108" s="461"/>
      <c r="I108" s="460"/>
      <c r="J108" s="461"/>
      <c r="K108" s="460"/>
      <c r="L108" s="461"/>
      <c r="M108" s="460"/>
      <c r="N108" s="461"/>
      <c r="O108" s="460"/>
      <c r="P108" s="461"/>
    </row>
    <row r="109" spans="1:30" ht="16.95" customHeight="1" thickBot="1">
      <c r="A109" s="405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62"/>
      <c r="F109" s="463"/>
      <c r="G109" s="462"/>
      <c r="H109" s="463"/>
      <c r="I109" s="462"/>
      <c r="J109" s="463"/>
      <c r="K109" s="462"/>
      <c r="L109" s="463"/>
      <c r="M109" s="462"/>
      <c r="N109" s="463"/>
      <c r="O109" s="462"/>
      <c r="P109" s="463"/>
    </row>
    <row r="110" spans="1:30" ht="16.95" customHeight="1">
      <c r="A110" s="403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58"/>
      <c r="F110" s="459"/>
      <c r="G110" s="458"/>
      <c r="H110" s="459"/>
      <c r="I110" s="458"/>
      <c r="J110" s="459"/>
      <c r="K110" s="458"/>
      <c r="L110" s="459"/>
      <c r="M110" s="458"/>
      <c r="N110" s="459"/>
      <c r="O110" s="458"/>
      <c r="P110" s="459"/>
    </row>
    <row r="111" spans="1:30" ht="16.95" customHeight="1">
      <c r="A111" s="404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60"/>
      <c r="F111" s="461"/>
      <c r="G111" s="460"/>
      <c r="H111" s="461"/>
      <c r="I111" s="460"/>
      <c r="J111" s="461"/>
      <c r="K111" s="460"/>
      <c r="L111" s="461"/>
      <c r="M111" s="460"/>
      <c r="N111" s="461"/>
      <c r="O111" s="460"/>
      <c r="P111" s="461"/>
    </row>
    <row r="112" spans="1:30" ht="16.95" customHeight="1" thickBot="1">
      <c r="A112" s="405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62"/>
      <c r="F112" s="463"/>
      <c r="G112" s="462"/>
      <c r="H112" s="463"/>
      <c r="I112" s="462"/>
      <c r="J112" s="463"/>
      <c r="K112" s="462"/>
      <c r="L112" s="463"/>
      <c r="M112" s="462"/>
      <c r="N112" s="463"/>
      <c r="O112" s="462"/>
      <c r="P112" s="463"/>
    </row>
    <row r="113" spans="1:30" ht="16.95" customHeight="1">
      <c r="A113" s="403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58"/>
      <c r="F113" s="459"/>
      <c r="G113" s="458"/>
      <c r="H113" s="459"/>
      <c r="I113" s="458"/>
      <c r="J113" s="459"/>
      <c r="K113" s="458"/>
      <c r="L113" s="459"/>
      <c r="M113" s="458"/>
      <c r="N113" s="459"/>
      <c r="O113" s="458"/>
      <c r="P113" s="459"/>
    </row>
    <row r="114" spans="1:30" ht="16.95" customHeight="1">
      <c r="A114" s="404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60"/>
      <c r="F114" s="461"/>
      <c r="G114" s="460"/>
      <c r="H114" s="461"/>
      <c r="I114" s="460"/>
      <c r="J114" s="461"/>
      <c r="K114" s="460"/>
      <c r="L114" s="461"/>
      <c r="M114" s="460"/>
      <c r="N114" s="461"/>
      <c r="O114" s="460"/>
      <c r="P114" s="461"/>
    </row>
    <row r="115" spans="1:30" ht="16.95" customHeight="1" thickBot="1">
      <c r="A115" s="405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62"/>
      <c r="F115" s="463"/>
      <c r="G115" s="462"/>
      <c r="H115" s="463"/>
      <c r="I115" s="462"/>
      <c r="J115" s="463"/>
      <c r="K115" s="462"/>
      <c r="L115" s="463"/>
      <c r="M115" s="462"/>
      <c r="N115" s="463"/>
      <c r="O115" s="462"/>
      <c r="P115" s="463"/>
    </row>
    <row r="116" spans="1:30" ht="27.75" customHeight="1" thickBot="1">
      <c r="B116" s="11"/>
      <c r="C116" s="25"/>
      <c r="D116" s="204"/>
      <c r="E116" s="456"/>
      <c r="F116" s="457"/>
      <c r="G116" s="456"/>
      <c r="H116" s="457"/>
      <c r="I116" s="456"/>
      <c r="J116" s="457"/>
      <c r="K116" s="456"/>
      <c r="L116" s="457"/>
      <c r="M116" s="456"/>
      <c r="N116" s="457"/>
      <c r="O116" s="456"/>
      <c r="P116" s="457"/>
    </row>
    <row r="117" spans="1:30" ht="24" customHeight="1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>
      <c r="B119" s="211" t="s">
        <v>1790</v>
      </c>
      <c r="C119" s="42" t="s">
        <v>1791</v>
      </c>
      <c r="D119" s="42"/>
      <c r="E119" s="398">
        <f>VLOOKUP(B102,Schlüssel!$A$5:$DZ$12,103)</f>
        <v>6</v>
      </c>
      <c r="F119" s="398"/>
      <c r="G119" s="398">
        <f>VLOOKUP(B102,Schlüssel!$A$5:$DZ$12,104)</f>
        <v>7</v>
      </c>
      <c r="H119" s="398"/>
      <c r="I119" s="398">
        <f>VLOOKUP(B102,Schlüssel!$A$5:$DZ$12,105)</f>
        <v>4</v>
      </c>
      <c r="J119" s="398"/>
      <c r="K119" s="398">
        <f>VLOOKUP(B102,Schlüssel!$A$5:$DZ$12,106)</f>
        <v>2</v>
      </c>
      <c r="L119" s="398"/>
      <c r="M119" s="398">
        <f>VLOOKUP(B102,Schlüssel!$A$5:$DZ$12,107)</f>
        <v>8</v>
      </c>
      <c r="N119" s="398"/>
      <c r="O119" s="399"/>
      <c r="P119" s="399"/>
    </row>
    <row r="120" spans="1:30" ht="28.5" customHeight="1">
      <c r="B120" s="4"/>
      <c r="C120" s="1"/>
      <c r="D120" s="1"/>
      <c r="E120" s="395" t="str">
        <f>VLOOKUP(E119,Schlüssel!$A$5:$K$12,2)</f>
        <v>Bowling Jugend Bayern 1</v>
      </c>
      <c r="F120" s="396"/>
      <c r="G120" s="395" t="str">
        <f>VLOOKUP(G119,Schlüssel!$A$5:$K$12,2)</f>
        <v>BK München 1</v>
      </c>
      <c r="H120" s="396"/>
      <c r="I120" s="395" t="str">
        <f>VLOOKUP(I119,Schlüssel!$A$5:$K$12,2)</f>
        <v>Highroller Rosenheim 3</v>
      </c>
      <c r="J120" s="396"/>
      <c r="K120" s="395" t="str">
        <f>VLOOKUP(K119,Schlüssel!$A$5:$K$12,2)</f>
        <v>Highroller Rosenheim 1</v>
      </c>
      <c r="L120" s="396"/>
      <c r="M120" s="395" t="str">
        <f>VLOOKUP(M119,Schlüssel!$A$5:$K$12,2)</f>
        <v>EMAX 1</v>
      </c>
      <c r="N120" s="396"/>
      <c r="O120" s="397"/>
      <c r="P120" s="397"/>
    </row>
    <row r="121" spans="1:30" ht="12" customHeight="1">
      <c r="B121" s="4"/>
      <c r="C121" s="1"/>
      <c r="D121" s="1"/>
      <c r="E121" s="394"/>
      <c r="F121" s="394"/>
      <c r="G121" s="394"/>
      <c r="H121" s="394"/>
      <c r="I121" s="394"/>
      <c r="J121" s="394"/>
      <c r="K121" s="394"/>
      <c r="L121" s="394"/>
      <c r="M121" s="394"/>
      <c r="N121" s="394"/>
      <c r="O121" s="353"/>
      <c r="P121" s="353"/>
    </row>
    <row r="122" spans="1:30" ht="16.2" customHeight="1">
      <c r="B122" s="39" t="s">
        <v>0</v>
      </c>
      <c r="C122" s="40"/>
      <c r="D122" s="40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3"/>
      <c r="P122" s="393"/>
    </row>
    <row r="123" spans="1:30" ht="16.2" customHeight="1">
      <c r="B123" s="39" t="s">
        <v>2</v>
      </c>
      <c r="C123" s="40"/>
      <c r="D123" s="40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3"/>
      <c r="P123" s="393"/>
    </row>
    <row r="124" spans="1:30" ht="16.2" customHeight="1">
      <c r="B124" s="39" t="s">
        <v>3</v>
      </c>
      <c r="C124" s="40"/>
      <c r="D124" s="40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3"/>
      <c r="P124" s="393"/>
    </row>
    <row r="125" spans="1:30" ht="15.75" customHeight="1">
      <c r="B125" s="41" t="s">
        <v>1792</v>
      </c>
      <c r="C125" s="42"/>
      <c r="D125" s="42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41"/>
      <c r="P125" s="341"/>
    </row>
    <row r="126" spans="1:30" ht="21" customHeight="1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6">
        <f>Schlüssel!DI$1</f>
        <v>45808</v>
      </c>
      <c r="N126" s="406"/>
      <c r="O126" s="406"/>
      <c r="AD126" s="76"/>
    </row>
    <row r="127" spans="1:30" ht="17.25" customHeight="1" thickBot="1">
      <c r="A127" s="53"/>
      <c r="B127" s="54">
        <f>+B102+1</f>
        <v>6</v>
      </c>
      <c r="C127" s="35" t="s">
        <v>1787</v>
      </c>
      <c r="D127" s="35"/>
      <c r="E127" s="72" t="str">
        <f>Schlüssel!$CY$2</f>
        <v>Rosenheim In(n) Bowling</v>
      </c>
      <c r="G127" s="66"/>
      <c r="H127" s="66"/>
      <c r="I127" s="66"/>
      <c r="J127" s="66"/>
      <c r="L127" s="66"/>
      <c r="M127" s="34" t="s">
        <v>1785</v>
      </c>
      <c r="N127" s="38">
        <v>6</v>
      </c>
      <c r="O127" s="33"/>
      <c r="AD127" s="77"/>
    </row>
    <row r="128" spans="1:30" ht="15.75" customHeight="1" thickBot="1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3.8" thickBot="1">
      <c r="A129" s="6"/>
      <c r="B129" s="7"/>
      <c r="C129" s="43"/>
      <c r="D129" s="43"/>
      <c r="E129" s="47" t="s">
        <v>10</v>
      </c>
      <c r="F129" s="7">
        <f>VLOOKUP(B127,Schlüssel!$A$5:$DZ$12,113)</f>
        <v>13</v>
      </c>
      <c r="G129" s="51" t="s">
        <v>10</v>
      </c>
      <c r="H129" s="7">
        <f>VLOOKUP(B127,Schlüssel!$A$5:$DZ$12,114)</f>
        <v>16</v>
      </c>
      <c r="I129" s="51" t="s">
        <v>10</v>
      </c>
      <c r="J129" s="7">
        <f>VLOOKUP(B127,Schlüssel!$A$5:$DZ$12,115)</f>
        <v>11</v>
      </c>
      <c r="K129" s="51" t="s">
        <v>10</v>
      </c>
      <c r="L129" s="7">
        <f>VLOOKUP(B127,Schlüssel!$A$5:$DZ$12,116)</f>
        <v>13</v>
      </c>
      <c r="M129" s="51" t="s">
        <v>10</v>
      </c>
      <c r="N129" s="57">
        <f>VLOOKUP(B127,Schlüssel!$A$5:$DZ$12,117)</f>
        <v>18</v>
      </c>
    </row>
    <row r="130" spans="1:16" ht="20.25" customHeight="1">
      <c r="B130" s="44" t="s">
        <v>1</v>
      </c>
      <c r="C130" s="45"/>
      <c r="D130" s="45"/>
      <c r="E130" s="407" t="s">
        <v>1793</v>
      </c>
      <c r="F130" s="408"/>
      <c r="G130" s="407" t="s">
        <v>1794</v>
      </c>
      <c r="H130" s="408"/>
      <c r="I130" s="407" t="s">
        <v>1795</v>
      </c>
      <c r="J130" s="408"/>
      <c r="K130" s="407" t="s">
        <v>1796</v>
      </c>
      <c r="L130" s="408"/>
      <c r="M130" s="407" t="s">
        <v>1797</v>
      </c>
      <c r="N130" s="408"/>
      <c r="O130" s="409" t="s">
        <v>1792</v>
      </c>
      <c r="P130" s="410"/>
    </row>
    <row r="131" spans="1:16" ht="15" customHeight="1" thickBot="1">
      <c r="B131" s="9" t="s">
        <v>1798</v>
      </c>
      <c r="C131" s="48" t="s">
        <v>1799</v>
      </c>
      <c r="D131" s="48" t="s">
        <v>2264</v>
      </c>
      <c r="E131" s="464" t="s">
        <v>1800</v>
      </c>
      <c r="F131" s="465" t="s">
        <v>1801</v>
      </c>
      <c r="G131" s="464" t="s">
        <v>1800</v>
      </c>
      <c r="H131" s="465" t="s">
        <v>1801</v>
      </c>
      <c r="I131" s="464" t="s">
        <v>1800</v>
      </c>
      <c r="J131" s="465" t="s">
        <v>1801</v>
      </c>
      <c r="K131" s="464" t="s">
        <v>1800</v>
      </c>
      <c r="L131" s="465" t="s">
        <v>1801</v>
      </c>
      <c r="M131" s="464" t="s">
        <v>1800</v>
      </c>
      <c r="N131" s="465" t="s">
        <v>1801</v>
      </c>
      <c r="O131" s="464" t="s">
        <v>1800</v>
      </c>
      <c r="P131" s="465" t="s">
        <v>1801</v>
      </c>
    </row>
    <row r="132" spans="1:16" ht="16.95" customHeight="1">
      <c r="A132" s="403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58"/>
      <c r="F132" s="459"/>
      <c r="G132" s="458"/>
      <c r="H132" s="459"/>
      <c r="I132" s="458"/>
      <c r="J132" s="459"/>
      <c r="K132" s="458"/>
      <c r="L132" s="459"/>
      <c r="M132" s="458"/>
      <c r="N132" s="459"/>
      <c r="O132" s="458"/>
      <c r="P132" s="459"/>
    </row>
    <row r="133" spans="1:16" ht="16.95" customHeight="1">
      <c r="A133" s="404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60"/>
      <c r="F133" s="461"/>
      <c r="G133" s="460"/>
      <c r="H133" s="461"/>
      <c r="I133" s="460"/>
      <c r="J133" s="461"/>
      <c r="K133" s="460"/>
      <c r="L133" s="461"/>
      <c r="M133" s="460"/>
      <c r="N133" s="461"/>
      <c r="O133" s="460"/>
      <c r="P133" s="461"/>
    </row>
    <row r="134" spans="1:16" ht="16.95" customHeight="1" thickBot="1">
      <c r="A134" s="405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62"/>
      <c r="F134" s="463"/>
      <c r="G134" s="462"/>
      <c r="H134" s="463"/>
      <c r="I134" s="462"/>
      <c r="J134" s="463"/>
      <c r="K134" s="462"/>
      <c r="L134" s="463"/>
      <c r="M134" s="462"/>
      <c r="N134" s="463"/>
      <c r="O134" s="462"/>
      <c r="P134" s="463"/>
    </row>
    <row r="135" spans="1:16" ht="16.95" customHeight="1">
      <c r="A135" s="403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58"/>
      <c r="F135" s="459"/>
      <c r="G135" s="458"/>
      <c r="H135" s="459"/>
      <c r="I135" s="458"/>
      <c r="J135" s="459"/>
      <c r="K135" s="458"/>
      <c r="L135" s="459"/>
      <c r="M135" s="458"/>
      <c r="N135" s="459"/>
      <c r="O135" s="458"/>
      <c r="P135" s="459"/>
    </row>
    <row r="136" spans="1:16" ht="16.95" customHeight="1">
      <c r="A136" s="404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60"/>
      <c r="F136" s="461"/>
      <c r="G136" s="460"/>
      <c r="H136" s="461"/>
      <c r="I136" s="460"/>
      <c r="J136" s="461"/>
      <c r="K136" s="460"/>
      <c r="L136" s="461"/>
      <c r="M136" s="460"/>
      <c r="N136" s="461"/>
      <c r="O136" s="460"/>
      <c r="P136" s="461"/>
    </row>
    <row r="137" spans="1:16" ht="16.95" customHeight="1" thickBot="1">
      <c r="A137" s="405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62"/>
      <c r="F137" s="463"/>
      <c r="G137" s="462"/>
      <c r="H137" s="463"/>
      <c r="I137" s="462"/>
      <c r="J137" s="463"/>
      <c r="K137" s="462"/>
      <c r="L137" s="463"/>
      <c r="M137" s="462"/>
      <c r="N137" s="463"/>
      <c r="O137" s="462"/>
      <c r="P137" s="463"/>
    </row>
    <row r="138" spans="1:16" ht="16.95" customHeight="1">
      <c r="A138" s="403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58"/>
      <c r="F138" s="459"/>
      <c r="G138" s="458"/>
      <c r="H138" s="459"/>
      <c r="I138" s="458"/>
      <c r="J138" s="459"/>
      <c r="K138" s="458"/>
      <c r="L138" s="459"/>
      <c r="M138" s="458"/>
      <c r="N138" s="459"/>
      <c r="O138" s="458"/>
      <c r="P138" s="459"/>
    </row>
    <row r="139" spans="1:16" ht="16.95" customHeight="1">
      <c r="A139" s="404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60"/>
      <c r="F139" s="461"/>
      <c r="G139" s="460"/>
      <c r="H139" s="461"/>
      <c r="I139" s="460"/>
      <c r="J139" s="461"/>
      <c r="K139" s="460"/>
      <c r="L139" s="461"/>
      <c r="M139" s="460"/>
      <c r="N139" s="461"/>
      <c r="O139" s="460"/>
      <c r="P139" s="461"/>
    </row>
    <row r="140" spans="1:16" ht="16.95" customHeight="1" thickBot="1">
      <c r="A140" s="405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62"/>
      <c r="F140" s="463"/>
      <c r="G140" s="462"/>
      <c r="H140" s="463"/>
      <c r="I140" s="462"/>
      <c r="J140" s="463"/>
      <c r="K140" s="462"/>
      <c r="L140" s="463"/>
      <c r="M140" s="462"/>
      <c r="N140" s="463"/>
      <c r="O140" s="462"/>
      <c r="P140" s="463"/>
    </row>
    <row r="141" spans="1:16" ht="27.75" customHeight="1" thickBot="1">
      <c r="B141" s="11"/>
      <c r="C141" s="25"/>
      <c r="D141" s="204"/>
      <c r="E141" s="456"/>
      <c r="F141" s="457"/>
      <c r="G141" s="456"/>
      <c r="H141" s="457"/>
      <c r="I141" s="456"/>
      <c r="J141" s="457"/>
      <c r="K141" s="456"/>
      <c r="L141" s="457"/>
      <c r="M141" s="456"/>
      <c r="N141" s="457"/>
      <c r="O141" s="456"/>
      <c r="P141" s="457"/>
    </row>
    <row r="142" spans="1:16" ht="24" customHeight="1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>
      <c r="B144" s="211" t="s">
        <v>1790</v>
      </c>
      <c r="C144" s="42" t="s">
        <v>1791</v>
      </c>
      <c r="D144" s="42"/>
      <c r="E144" s="398">
        <f>VLOOKUP(B127,Schlüssel!$A$5:$DZ$12,103)</f>
        <v>5</v>
      </c>
      <c r="F144" s="398"/>
      <c r="G144" s="398">
        <f>VLOOKUP(B127,Schlüssel!$A$5:$DZ$12,104)</f>
        <v>8</v>
      </c>
      <c r="H144" s="398"/>
      <c r="I144" s="398">
        <f>VLOOKUP(B127,Schlüssel!$A$5:$DZ$12,105)</f>
        <v>2</v>
      </c>
      <c r="J144" s="398"/>
      <c r="K144" s="398">
        <f>VLOOKUP(B127,Schlüssel!$A$5:$DZ$12,106)</f>
        <v>4</v>
      </c>
      <c r="L144" s="398"/>
      <c r="M144" s="398">
        <f>VLOOKUP(B127,Schlüssel!$A$5:$DZ$12,107)</f>
        <v>7</v>
      </c>
      <c r="N144" s="398"/>
      <c r="O144" s="399"/>
      <c r="P144" s="399"/>
    </row>
    <row r="145" spans="1:30" ht="28.5" customHeight="1">
      <c r="B145" s="4"/>
      <c r="C145" s="1"/>
      <c r="D145" s="1"/>
      <c r="E145" s="395" t="str">
        <f>VLOOKUP(E144,Schlüssel!$A$5:$K$12,2)</f>
        <v>Berchtesgaden 1</v>
      </c>
      <c r="F145" s="396"/>
      <c r="G145" s="395" t="str">
        <f>VLOOKUP(G144,Schlüssel!$A$5:$K$12,2)</f>
        <v>EMAX 1</v>
      </c>
      <c r="H145" s="396"/>
      <c r="I145" s="395" t="str">
        <f>VLOOKUP(I144,Schlüssel!$A$5:$K$12,2)</f>
        <v>Highroller Rosenheim 1</v>
      </c>
      <c r="J145" s="396"/>
      <c r="K145" s="395" t="str">
        <f>VLOOKUP(K144,Schlüssel!$A$5:$K$12,2)</f>
        <v>Highroller Rosenheim 3</v>
      </c>
      <c r="L145" s="396"/>
      <c r="M145" s="395" t="str">
        <f>VLOOKUP(M144,Schlüssel!$A$5:$K$12,2)</f>
        <v>BK München 1</v>
      </c>
      <c r="N145" s="396"/>
      <c r="O145" s="397"/>
      <c r="P145" s="397"/>
    </row>
    <row r="146" spans="1:30" ht="12" customHeight="1">
      <c r="B146" s="4"/>
      <c r="C146" s="1"/>
      <c r="D146" s="1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53"/>
      <c r="P146" s="353"/>
    </row>
    <row r="147" spans="1:30" ht="16.2" customHeight="1">
      <c r="B147" s="39" t="s">
        <v>0</v>
      </c>
      <c r="C147" s="40"/>
      <c r="D147" s="40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3"/>
      <c r="P147" s="393"/>
    </row>
    <row r="148" spans="1:30" ht="16.2" customHeight="1">
      <c r="B148" s="39" t="s">
        <v>2</v>
      </c>
      <c r="C148" s="40"/>
      <c r="D148" s="40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3"/>
      <c r="P148" s="393"/>
    </row>
    <row r="149" spans="1:30" ht="16.2" customHeight="1">
      <c r="B149" s="39" t="s">
        <v>3</v>
      </c>
      <c r="C149" s="40"/>
      <c r="D149" s="40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3"/>
      <c r="P149" s="393"/>
    </row>
    <row r="150" spans="1:30" ht="15.75" customHeight="1">
      <c r="B150" s="41" t="s">
        <v>1792</v>
      </c>
      <c r="C150" s="42"/>
      <c r="D150" s="42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41"/>
      <c r="P150" s="341"/>
    </row>
    <row r="151" spans="1:30" ht="21" customHeight="1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6">
        <f>Schlüssel!DI$1</f>
        <v>45808</v>
      </c>
      <c r="N151" s="406"/>
      <c r="O151" s="406"/>
      <c r="AD151" s="76"/>
    </row>
    <row r="152" spans="1:30" ht="17.25" customHeight="1" thickBot="1">
      <c r="A152" s="53"/>
      <c r="B152" s="54">
        <f>+B127+1</f>
        <v>7</v>
      </c>
      <c r="C152" s="35" t="s">
        <v>1787</v>
      </c>
      <c r="D152" s="35"/>
      <c r="E152" s="72" t="str">
        <f>Schlüssel!$CY$2</f>
        <v>Rosenheim In(n) Bowling</v>
      </c>
      <c r="G152" s="66"/>
      <c r="H152" s="66"/>
      <c r="I152" s="66"/>
      <c r="J152" s="66"/>
      <c r="L152" s="66"/>
      <c r="M152" s="34" t="s">
        <v>1785</v>
      </c>
      <c r="N152" s="38">
        <v>6</v>
      </c>
      <c r="O152" s="33"/>
      <c r="AD152" s="77"/>
    </row>
    <row r="153" spans="1:30" ht="15.75" customHeight="1" thickBot="1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3.8" thickBot="1">
      <c r="A154" s="6"/>
      <c r="B154" s="7"/>
      <c r="C154" s="43"/>
      <c r="D154" s="43"/>
      <c r="E154" s="47" t="s">
        <v>10</v>
      </c>
      <c r="F154" s="7">
        <f>VLOOKUP(B152,Schlüssel!$A$5:$DZ$12,113)</f>
        <v>12</v>
      </c>
      <c r="G154" s="51" t="s">
        <v>10</v>
      </c>
      <c r="H154" s="7">
        <f>VLOOKUP(B152,Schlüssel!$A$5:$DZ$12,114)</f>
        <v>17</v>
      </c>
      <c r="I154" s="51" t="s">
        <v>10</v>
      </c>
      <c r="J154" s="7">
        <f>VLOOKUP(B152,Schlüssel!$A$5:$DZ$12,115)</f>
        <v>14</v>
      </c>
      <c r="K154" s="51" t="s">
        <v>10</v>
      </c>
      <c r="L154" s="7">
        <f>VLOOKUP(B152,Schlüssel!$A$5:$DZ$12,116)</f>
        <v>12</v>
      </c>
      <c r="M154" s="51" t="s">
        <v>10</v>
      </c>
      <c r="N154" s="57">
        <f>VLOOKUP(B152,Schlüssel!$A$5:$DZ$12,117)</f>
        <v>17</v>
      </c>
    </row>
    <row r="155" spans="1:30" ht="20.25" customHeight="1">
      <c r="B155" s="44" t="s">
        <v>1</v>
      </c>
      <c r="C155" s="45"/>
      <c r="D155" s="45"/>
      <c r="E155" s="407" t="s">
        <v>1793</v>
      </c>
      <c r="F155" s="408"/>
      <c r="G155" s="407" t="s">
        <v>1794</v>
      </c>
      <c r="H155" s="408"/>
      <c r="I155" s="407" t="s">
        <v>1795</v>
      </c>
      <c r="J155" s="408"/>
      <c r="K155" s="407" t="s">
        <v>1796</v>
      </c>
      <c r="L155" s="408"/>
      <c r="M155" s="407" t="s">
        <v>1797</v>
      </c>
      <c r="N155" s="408"/>
      <c r="O155" s="409" t="s">
        <v>1792</v>
      </c>
      <c r="P155" s="410"/>
    </row>
    <row r="156" spans="1:30" ht="15" customHeight="1" thickBot="1">
      <c r="B156" s="9" t="s">
        <v>1798</v>
      </c>
      <c r="C156" s="48" t="s">
        <v>1799</v>
      </c>
      <c r="D156" s="48" t="s">
        <v>2264</v>
      </c>
      <c r="E156" s="464" t="s">
        <v>1800</v>
      </c>
      <c r="F156" s="465" t="s">
        <v>1801</v>
      </c>
      <c r="G156" s="464" t="s">
        <v>1800</v>
      </c>
      <c r="H156" s="465" t="s">
        <v>1801</v>
      </c>
      <c r="I156" s="464" t="s">
        <v>1800</v>
      </c>
      <c r="J156" s="465" t="s">
        <v>1801</v>
      </c>
      <c r="K156" s="464" t="s">
        <v>1800</v>
      </c>
      <c r="L156" s="465" t="s">
        <v>1801</v>
      </c>
      <c r="M156" s="464" t="s">
        <v>1800</v>
      </c>
      <c r="N156" s="465" t="s">
        <v>1801</v>
      </c>
      <c r="O156" s="464" t="s">
        <v>1800</v>
      </c>
      <c r="P156" s="465" t="s">
        <v>1801</v>
      </c>
    </row>
    <row r="157" spans="1:30" ht="16.95" customHeight="1">
      <c r="A157" s="403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58"/>
      <c r="F157" s="459"/>
      <c r="G157" s="458"/>
      <c r="H157" s="459"/>
      <c r="I157" s="458"/>
      <c r="J157" s="459"/>
      <c r="K157" s="458"/>
      <c r="L157" s="459"/>
      <c r="M157" s="458"/>
      <c r="N157" s="459"/>
      <c r="O157" s="458"/>
      <c r="P157" s="459"/>
    </row>
    <row r="158" spans="1:30" ht="16.95" customHeight="1">
      <c r="A158" s="404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60"/>
      <c r="F158" s="461"/>
      <c r="G158" s="460"/>
      <c r="H158" s="461"/>
      <c r="I158" s="460"/>
      <c r="J158" s="461"/>
      <c r="K158" s="460"/>
      <c r="L158" s="461"/>
      <c r="M158" s="460"/>
      <c r="N158" s="461"/>
      <c r="O158" s="460"/>
      <c r="P158" s="461"/>
    </row>
    <row r="159" spans="1:30" ht="16.95" customHeight="1" thickBot="1">
      <c r="A159" s="405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62"/>
      <c r="F159" s="463"/>
      <c r="G159" s="462"/>
      <c r="H159" s="463"/>
      <c r="I159" s="462"/>
      <c r="J159" s="463"/>
      <c r="K159" s="462"/>
      <c r="L159" s="463"/>
      <c r="M159" s="462"/>
      <c r="N159" s="463"/>
      <c r="O159" s="462"/>
      <c r="P159" s="463"/>
    </row>
    <row r="160" spans="1:30" ht="16.95" customHeight="1">
      <c r="A160" s="403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58"/>
      <c r="F160" s="459"/>
      <c r="G160" s="458"/>
      <c r="H160" s="459"/>
      <c r="I160" s="458"/>
      <c r="J160" s="459"/>
      <c r="K160" s="458"/>
      <c r="L160" s="459"/>
      <c r="M160" s="458"/>
      <c r="N160" s="459"/>
      <c r="O160" s="458"/>
      <c r="P160" s="459"/>
    </row>
    <row r="161" spans="1:30" ht="16.95" customHeight="1">
      <c r="A161" s="404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60"/>
      <c r="F161" s="461"/>
      <c r="G161" s="460"/>
      <c r="H161" s="461"/>
      <c r="I161" s="460"/>
      <c r="J161" s="461"/>
      <c r="K161" s="460"/>
      <c r="L161" s="461"/>
      <c r="M161" s="460"/>
      <c r="N161" s="461"/>
      <c r="O161" s="460"/>
      <c r="P161" s="461"/>
    </row>
    <row r="162" spans="1:30" ht="16.95" customHeight="1" thickBot="1">
      <c r="A162" s="405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62"/>
      <c r="F162" s="463"/>
      <c r="G162" s="462"/>
      <c r="H162" s="463"/>
      <c r="I162" s="462"/>
      <c r="J162" s="463"/>
      <c r="K162" s="462"/>
      <c r="L162" s="463"/>
      <c r="M162" s="462"/>
      <c r="N162" s="463"/>
      <c r="O162" s="462"/>
      <c r="P162" s="463"/>
    </row>
    <row r="163" spans="1:30" ht="16.95" customHeight="1">
      <c r="A163" s="403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58"/>
      <c r="F163" s="459"/>
      <c r="G163" s="458"/>
      <c r="H163" s="459"/>
      <c r="I163" s="458"/>
      <c r="J163" s="459"/>
      <c r="K163" s="458"/>
      <c r="L163" s="459"/>
      <c r="M163" s="458"/>
      <c r="N163" s="459"/>
      <c r="O163" s="458"/>
      <c r="P163" s="459"/>
    </row>
    <row r="164" spans="1:30" ht="16.95" customHeight="1">
      <c r="A164" s="404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60"/>
      <c r="F164" s="461"/>
      <c r="G164" s="460"/>
      <c r="H164" s="461"/>
      <c r="I164" s="460"/>
      <c r="J164" s="461"/>
      <c r="K164" s="460"/>
      <c r="L164" s="461"/>
      <c r="M164" s="460"/>
      <c r="N164" s="461"/>
      <c r="O164" s="460"/>
      <c r="P164" s="461"/>
    </row>
    <row r="165" spans="1:30" ht="16.95" customHeight="1" thickBot="1">
      <c r="A165" s="405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62"/>
      <c r="F165" s="463"/>
      <c r="G165" s="462"/>
      <c r="H165" s="463"/>
      <c r="I165" s="462"/>
      <c r="J165" s="463"/>
      <c r="K165" s="462"/>
      <c r="L165" s="463"/>
      <c r="M165" s="462"/>
      <c r="N165" s="463"/>
      <c r="O165" s="462"/>
      <c r="P165" s="463"/>
    </row>
    <row r="166" spans="1:30" ht="27.75" customHeight="1" thickBot="1">
      <c r="B166" s="11"/>
      <c r="C166" s="25"/>
      <c r="D166" s="204"/>
      <c r="E166" s="456"/>
      <c r="F166" s="457"/>
      <c r="G166" s="456"/>
      <c r="H166" s="457"/>
      <c r="I166" s="456"/>
      <c r="J166" s="457"/>
      <c r="K166" s="456"/>
      <c r="L166" s="457"/>
      <c r="M166" s="456"/>
      <c r="N166" s="457"/>
      <c r="O166" s="456"/>
      <c r="P166" s="457"/>
    </row>
    <row r="167" spans="1:30" ht="24" customHeight="1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>
      <c r="B169" s="211" t="s">
        <v>1790</v>
      </c>
      <c r="C169" s="42" t="s">
        <v>1791</v>
      </c>
      <c r="D169" s="42"/>
      <c r="E169" s="398">
        <f>VLOOKUP(B152,Schlüssel!$A$5:$DZ$12,103)</f>
        <v>8</v>
      </c>
      <c r="F169" s="398"/>
      <c r="G169" s="398">
        <f>VLOOKUP(B152,Schlüssel!$A$5:$DZ$12,104)</f>
        <v>5</v>
      </c>
      <c r="H169" s="398"/>
      <c r="I169" s="398">
        <f>VLOOKUP(B152,Schlüssel!$A$5:$DZ$12,105)</f>
        <v>3</v>
      </c>
      <c r="J169" s="398"/>
      <c r="K169" s="398">
        <f>VLOOKUP(B152,Schlüssel!$A$5:$DZ$12,106)</f>
        <v>1</v>
      </c>
      <c r="L169" s="398"/>
      <c r="M169" s="398">
        <f>VLOOKUP(B152,Schlüssel!$A$5:$DZ$12,107)</f>
        <v>6</v>
      </c>
      <c r="N169" s="398"/>
      <c r="O169" s="399"/>
      <c r="P169" s="399"/>
    </row>
    <row r="170" spans="1:30" ht="28.5" customHeight="1">
      <c r="B170" s="4"/>
      <c r="C170" s="1"/>
      <c r="D170" s="1"/>
      <c r="E170" s="395" t="str">
        <f>VLOOKUP(E169,Schlüssel!$A$5:$K$12,2)</f>
        <v>EMAX 1</v>
      </c>
      <c r="F170" s="396"/>
      <c r="G170" s="395" t="str">
        <f>VLOOKUP(G169,Schlüssel!$A$5:$K$12,2)</f>
        <v>Berchtesgaden 1</v>
      </c>
      <c r="H170" s="396"/>
      <c r="I170" s="395" t="str">
        <f>VLOOKUP(I169,Schlüssel!$A$5:$K$12,2)</f>
        <v>Highroller Rosenheim 2</v>
      </c>
      <c r="J170" s="396"/>
      <c r="K170" s="395" t="str">
        <f>VLOOKUP(K169,Schlüssel!$A$5:$K$12,2)</f>
        <v>Bad Tölz 1</v>
      </c>
      <c r="L170" s="396"/>
      <c r="M170" s="395" t="str">
        <f>VLOOKUP(M169,Schlüssel!$A$5:$K$12,2)</f>
        <v>Bowling Jugend Bayern 1</v>
      </c>
      <c r="N170" s="396"/>
      <c r="O170" s="397"/>
      <c r="P170" s="397"/>
    </row>
    <row r="171" spans="1:30" ht="12" customHeight="1">
      <c r="B171" s="4"/>
      <c r="C171" s="1"/>
      <c r="D171" s="1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53"/>
      <c r="P171" s="353"/>
    </row>
    <row r="172" spans="1:30" ht="16.2" customHeight="1">
      <c r="B172" s="39" t="s">
        <v>0</v>
      </c>
      <c r="C172" s="40"/>
      <c r="D172" s="40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/>
      <c r="O172" s="393"/>
      <c r="P172" s="393"/>
    </row>
    <row r="173" spans="1:30" ht="16.2" customHeight="1">
      <c r="B173" s="39" t="s">
        <v>2</v>
      </c>
      <c r="C173" s="40"/>
      <c r="D173" s="40"/>
      <c r="E173" s="392"/>
      <c r="F173" s="392"/>
      <c r="G173" s="392"/>
      <c r="H173" s="392"/>
      <c r="I173" s="392"/>
      <c r="J173" s="392"/>
      <c r="K173" s="392"/>
      <c r="L173" s="392"/>
      <c r="M173" s="392"/>
      <c r="N173" s="392"/>
      <c r="O173" s="393"/>
      <c r="P173" s="393"/>
    </row>
    <row r="174" spans="1:30" ht="16.2" customHeight="1">
      <c r="B174" s="39" t="s">
        <v>3</v>
      </c>
      <c r="C174" s="40"/>
      <c r="D174" s="40"/>
      <c r="E174" s="392"/>
      <c r="F174" s="392"/>
      <c r="G174" s="392"/>
      <c r="H174" s="392"/>
      <c r="I174" s="392"/>
      <c r="J174" s="392"/>
      <c r="K174" s="392"/>
      <c r="L174" s="392"/>
      <c r="M174" s="392"/>
      <c r="N174" s="392"/>
      <c r="O174" s="393"/>
      <c r="P174" s="393"/>
    </row>
    <row r="175" spans="1:30" ht="15.75" customHeight="1">
      <c r="B175" s="41" t="s">
        <v>1792</v>
      </c>
      <c r="C175" s="42"/>
      <c r="D175" s="42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41"/>
      <c r="P175" s="341"/>
    </row>
    <row r="176" spans="1:30" ht="21" customHeight="1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6">
        <f>Schlüssel!DI$1</f>
        <v>45808</v>
      </c>
      <c r="N176" s="406"/>
      <c r="O176" s="406"/>
      <c r="AD176" s="76"/>
    </row>
    <row r="177" spans="1:30" ht="17.25" customHeight="1" thickBot="1">
      <c r="A177" s="53"/>
      <c r="B177" s="54">
        <f>+B152+1</f>
        <v>8</v>
      </c>
      <c r="C177" s="35" t="s">
        <v>1787</v>
      </c>
      <c r="D177" s="35"/>
      <c r="E177" s="72" t="str">
        <f>Schlüssel!$CY$2</f>
        <v>Rosenheim In(n) Bowling</v>
      </c>
      <c r="G177" s="66"/>
      <c r="H177" s="66"/>
      <c r="I177" s="66"/>
      <c r="J177" s="66"/>
      <c r="L177" s="66"/>
      <c r="M177" s="34" t="s">
        <v>1785</v>
      </c>
      <c r="N177" s="38">
        <v>6</v>
      </c>
      <c r="O177" s="33"/>
      <c r="AD177" s="77"/>
    </row>
    <row r="178" spans="1:30" ht="15.75" customHeight="1" thickBot="1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3.8" thickBot="1">
      <c r="A179" s="6"/>
      <c r="B179" s="7"/>
      <c r="C179" s="43"/>
      <c r="D179" s="43"/>
      <c r="E179" s="47" t="s">
        <v>10</v>
      </c>
      <c r="F179" s="7">
        <f>VLOOKUP(B177,Schlüssel!$A$5:$DZ$12,113)</f>
        <v>11</v>
      </c>
      <c r="G179" s="51" t="s">
        <v>10</v>
      </c>
      <c r="H179" s="7">
        <f>VLOOKUP(B177,Schlüssel!$A$5:$DZ$12,114)</f>
        <v>15</v>
      </c>
      <c r="I179" s="51" t="s">
        <v>10</v>
      </c>
      <c r="J179" s="7">
        <f>VLOOKUP(B177,Schlüssel!$A$5:$DZ$12,115)</f>
        <v>17</v>
      </c>
      <c r="K179" s="51" t="s">
        <v>10</v>
      </c>
      <c r="L179" s="7">
        <f>VLOOKUP(B177,Schlüssel!$A$5:$DZ$12,116)</f>
        <v>15</v>
      </c>
      <c r="M179" s="51" t="s">
        <v>10</v>
      </c>
      <c r="N179" s="57">
        <f>VLOOKUP(B177,Schlüssel!$A$5:$DZ$12,117)</f>
        <v>14</v>
      </c>
    </row>
    <row r="180" spans="1:30" ht="20.25" customHeight="1">
      <c r="B180" s="44" t="s">
        <v>1</v>
      </c>
      <c r="C180" s="45"/>
      <c r="D180" s="45"/>
      <c r="E180" s="407" t="s">
        <v>1793</v>
      </c>
      <c r="F180" s="408"/>
      <c r="G180" s="407" t="s">
        <v>1794</v>
      </c>
      <c r="H180" s="408"/>
      <c r="I180" s="407" t="s">
        <v>1795</v>
      </c>
      <c r="J180" s="408"/>
      <c r="K180" s="407" t="s">
        <v>1796</v>
      </c>
      <c r="L180" s="408"/>
      <c r="M180" s="407" t="s">
        <v>1797</v>
      </c>
      <c r="N180" s="408"/>
      <c r="O180" s="409" t="s">
        <v>1792</v>
      </c>
      <c r="P180" s="410"/>
    </row>
    <row r="181" spans="1:30" ht="15" customHeight="1" thickBot="1">
      <c r="B181" s="9" t="s">
        <v>1798</v>
      </c>
      <c r="C181" s="48" t="s">
        <v>1799</v>
      </c>
      <c r="D181" s="48" t="s">
        <v>2264</v>
      </c>
      <c r="E181" s="464" t="s">
        <v>1800</v>
      </c>
      <c r="F181" s="465" t="s">
        <v>1801</v>
      </c>
      <c r="G181" s="464" t="s">
        <v>1800</v>
      </c>
      <c r="H181" s="465" t="s">
        <v>1801</v>
      </c>
      <c r="I181" s="464" t="s">
        <v>1800</v>
      </c>
      <c r="J181" s="465" t="s">
        <v>1801</v>
      </c>
      <c r="K181" s="464" t="s">
        <v>1800</v>
      </c>
      <c r="L181" s="465" t="s">
        <v>1801</v>
      </c>
      <c r="M181" s="464" t="s">
        <v>1800</v>
      </c>
      <c r="N181" s="465" t="s">
        <v>1801</v>
      </c>
      <c r="O181" s="464" t="s">
        <v>1800</v>
      </c>
      <c r="P181" s="465" t="s">
        <v>1801</v>
      </c>
    </row>
    <row r="182" spans="1:30" ht="16.95" customHeight="1">
      <c r="A182" s="403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58"/>
      <c r="F182" s="459"/>
      <c r="G182" s="458"/>
      <c r="H182" s="459"/>
      <c r="I182" s="458"/>
      <c r="J182" s="459"/>
      <c r="K182" s="458"/>
      <c r="L182" s="459"/>
      <c r="M182" s="458"/>
      <c r="N182" s="459"/>
      <c r="O182" s="458"/>
      <c r="P182" s="459"/>
    </row>
    <row r="183" spans="1:30" ht="16.95" customHeight="1">
      <c r="A183" s="404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60"/>
      <c r="F183" s="461"/>
      <c r="G183" s="460"/>
      <c r="H183" s="461"/>
      <c r="I183" s="460"/>
      <c r="J183" s="461"/>
      <c r="K183" s="460"/>
      <c r="L183" s="461"/>
      <c r="M183" s="460"/>
      <c r="N183" s="461"/>
      <c r="O183" s="460"/>
      <c r="P183" s="461"/>
    </row>
    <row r="184" spans="1:30" ht="16.95" customHeight="1" thickBot="1">
      <c r="A184" s="405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62"/>
      <c r="F184" s="463"/>
      <c r="G184" s="462"/>
      <c r="H184" s="463"/>
      <c r="I184" s="462"/>
      <c r="J184" s="463"/>
      <c r="K184" s="462"/>
      <c r="L184" s="463"/>
      <c r="M184" s="462"/>
      <c r="N184" s="463"/>
      <c r="O184" s="462"/>
      <c r="P184" s="463"/>
    </row>
    <row r="185" spans="1:30" ht="16.95" customHeight="1">
      <c r="A185" s="403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58"/>
      <c r="F185" s="459"/>
      <c r="G185" s="458"/>
      <c r="H185" s="459"/>
      <c r="I185" s="458"/>
      <c r="J185" s="459"/>
      <c r="K185" s="458"/>
      <c r="L185" s="459"/>
      <c r="M185" s="458"/>
      <c r="N185" s="459"/>
      <c r="O185" s="458"/>
      <c r="P185" s="459"/>
    </row>
    <row r="186" spans="1:30" ht="16.95" customHeight="1">
      <c r="A186" s="404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60"/>
      <c r="F186" s="461"/>
      <c r="G186" s="460"/>
      <c r="H186" s="461"/>
      <c r="I186" s="460"/>
      <c r="J186" s="461"/>
      <c r="K186" s="460"/>
      <c r="L186" s="461"/>
      <c r="M186" s="460"/>
      <c r="N186" s="461"/>
      <c r="O186" s="460"/>
      <c r="P186" s="461"/>
    </row>
    <row r="187" spans="1:30" ht="16.95" customHeight="1" thickBot="1">
      <c r="A187" s="405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62"/>
      <c r="F187" s="463"/>
      <c r="G187" s="462"/>
      <c r="H187" s="463"/>
      <c r="I187" s="462"/>
      <c r="J187" s="463"/>
      <c r="K187" s="462"/>
      <c r="L187" s="463"/>
      <c r="M187" s="462"/>
      <c r="N187" s="463"/>
      <c r="O187" s="462"/>
      <c r="P187" s="463"/>
    </row>
    <row r="188" spans="1:30" ht="16.95" customHeight="1">
      <c r="A188" s="403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58"/>
      <c r="F188" s="459"/>
      <c r="G188" s="458"/>
      <c r="H188" s="459"/>
      <c r="I188" s="458"/>
      <c r="J188" s="459"/>
      <c r="K188" s="458"/>
      <c r="L188" s="459"/>
      <c r="M188" s="458"/>
      <c r="N188" s="459"/>
      <c r="O188" s="458"/>
      <c r="P188" s="459"/>
    </row>
    <row r="189" spans="1:30" ht="16.95" customHeight="1">
      <c r="A189" s="404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60"/>
      <c r="F189" s="461"/>
      <c r="G189" s="460"/>
      <c r="H189" s="461"/>
      <c r="I189" s="460"/>
      <c r="J189" s="461"/>
      <c r="K189" s="460"/>
      <c r="L189" s="461"/>
      <c r="M189" s="460"/>
      <c r="N189" s="461"/>
      <c r="O189" s="460"/>
      <c r="P189" s="461"/>
    </row>
    <row r="190" spans="1:30" ht="16.95" customHeight="1" thickBot="1">
      <c r="A190" s="405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62"/>
      <c r="F190" s="463"/>
      <c r="G190" s="462"/>
      <c r="H190" s="463"/>
      <c r="I190" s="462"/>
      <c r="J190" s="463"/>
      <c r="K190" s="462"/>
      <c r="L190" s="463"/>
      <c r="M190" s="462"/>
      <c r="N190" s="463"/>
      <c r="O190" s="462"/>
      <c r="P190" s="463"/>
    </row>
    <row r="191" spans="1:30" ht="27.75" customHeight="1" thickBot="1">
      <c r="B191" s="11"/>
      <c r="C191" s="25"/>
      <c r="D191" s="204"/>
      <c r="E191" s="456"/>
      <c r="F191" s="457"/>
      <c r="G191" s="456"/>
      <c r="H191" s="457"/>
      <c r="I191" s="456"/>
      <c r="J191" s="457"/>
      <c r="K191" s="456"/>
      <c r="L191" s="457"/>
      <c r="M191" s="456"/>
      <c r="N191" s="457"/>
      <c r="O191" s="456"/>
      <c r="P191" s="457"/>
    </row>
    <row r="192" spans="1:30" ht="24" customHeight="1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>
      <c r="B194" s="211" t="s">
        <v>1790</v>
      </c>
      <c r="C194" s="42" t="s">
        <v>1791</v>
      </c>
      <c r="D194" s="42"/>
      <c r="E194" s="398">
        <f>VLOOKUP(B177,Schlüssel!$A$5:$DZ$12,103)</f>
        <v>7</v>
      </c>
      <c r="F194" s="398"/>
      <c r="G194" s="398">
        <f>VLOOKUP(B177,Schlüssel!$A$5:$DZ$12,104)</f>
        <v>6</v>
      </c>
      <c r="H194" s="398"/>
      <c r="I194" s="398">
        <f>VLOOKUP(B177,Schlüssel!$A$5:$DZ$12,105)</f>
        <v>1</v>
      </c>
      <c r="J194" s="398"/>
      <c r="K194" s="398">
        <f>VLOOKUP(B177,Schlüssel!$A$5:$DZ$12,106)</f>
        <v>3</v>
      </c>
      <c r="L194" s="398"/>
      <c r="M194" s="398">
        <f>VLOOKUP(B177,Schlüssel!$A$5:$DZ$12,107)</f>
        <v>5</v>
      </c>
      <c r="N194" s="398"/>
      <c r="O194" s="399"/>
      <c r="P194" s="399"/>
    </row>
    <row r="195" spans="2:16" ht="28.5" customHeight="1">
      <c r="B195" s="4"/>
      <c r="C195" s="1"/>
      <c r="D195" s="1"/>
      <c r="E195" s="395" t="str">
        <f>VLOOKUP(E194,Schlüssel!$A$5:$K$12,2)</f>
        <v>BK München 1</v>
      </c>
      <c r="F195" s="396"/>
      <c r="G195" s="395" t="str">
        <f>VLOOKUP(G194,Schlüssel!$A$5:$K$12,2)</f>
        <v>Bowling Jugend Bayern 1</v>
      </c>
      <c r="H195" s="396"/>
      <c r="I195" s="395" t="str">
        <f>VLOOKUP(I194,Schlüssel!$A$5:$K$12,2)</f>
        <v>Bad Tölz 1</v>
      </c>
      <c r="J195" s="396"/>
      <c r="K195" s="395" t="str">
        <f>VLOOKUP(K194,Schlüssel!$A$5:$K$12,2)</f>
        <v>Highroller Rosenheim 2</v>
      </c>
      <c r="L195" s="396"/>
      <c r="M195" s="395" t="str">
        <f>VLOOKUP(M194,Schlüssel!$A$5:$K$12,2)</f>
        <v>Berchtesgaden 1</v>
      </c>
      <c r="N195" s="396"/>
      <c r="O195" s="397"/>
      <c r="P195" s="397"/>
    </row>
    <row r="196" spans="2:16" ht="12" customHeight="1">
      <c r="B196" s="4"/>
      <c r="C196" s="1"/>
      <c r="D196" s="1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53"/>
      <c r="P196" s="353"/>
    </row>
    <row r="197" spans="2:16" ht="16.2" customHeight="1">
      <c r="B197" s="39" t="s">
        <v>0</v>
      </c>
      <c r="C197" s="40"/>
      <c r="D197" s="40"/>
      <c r="E197" s="392"/>
      <c r="F197" s="392"/>
      <c r="G197" s="392"/>
      <c r="H197" s="392"/>
      <c r="I197" s="392"/>
      <c r="J197" s="392"/>
      <c r="K197" s="392"/>
      <c r="L197" s="392"/>
      <c r="M197" s="392"/>
      <c r="N197" s="392"/>
      <c r="O197" s="393"/>
      <c r="P197" s="393"/>
    </row>
    <row r="198" spans="2:16" ht="16.2" customHeight="1">
      <c r="B198" s="39" t="s">
        <v>2</v>
      </c>
      <c r="C198" s="40"/>
      <c r="D198" s="40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/>
      <c r="O198" s="393"/>
      <c r="P198" s="393"/>
    </row>
    <row r="199" spans="2:16" ht="16.2" customHeight="1">
      <c r="B199" s="39" t="s">
        <v>3</v>
      </c>
      <c r="C199" s="40"/>
      <c r="D199" s="40"/>
      <c r="E199" s="392"/>
      <c r="F199" s="392"/>
      <c r="G199" s="392"/>
      <c r="H199" s="392"/>
      <c r="I199" s="392"/>
      <c r="J199" s="392"/>
      <c r="K199" s="392"/>
      <c r="L199" s="392"/>
      <c r="M199" s="392"/>
      <c r="N199" s="392"/>
      <c r="O199" s="393"/>
      <c r="P199" s="393"/>
    </row>
    <row r="200" spans="2:16" ht="15.75" customHeight="1">
      <c r="B200" s="41" t="s">
        <v>1792</v>
      </c>
      <c r="C200" s="42"/>
      <c r="D200" s="42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41"/>
      <c r="P200" s="341"/>
    </row>
  </sheetData>
  <sheetProtection password="D19C" sheet="1" objects="1" scenarios="1"/>
  <mergeCells count="944">
    <mergeCell ref="I6:J6"/>
    <mergeCell ref="E8:F8"/>
    <mergeCell ref="G8:H8"/>
    <mergeCell ref="I8:J8"/>
    <mergeCell ref="K8:L8"/>
    <mergeCell ref="M8:N8"/>
    <mergeCell ref="O20:P20"/>
    <mergeCell ref="E19:F19"/>
    <mergeCell ref="G19:H19"/>
    <mergeCell ref="I19:J19"/>
    <mergeCell ref="K19:L19"/>
    <mergeCell ref="M19:N19"/>
    <mergeCell ref="O11:P11"/>
    <mergeCell ref="E10:F10"/>
    <mergeCell ref="G10:H10"/>
    <mergeCell ref="I10:J10"/>
    <mergeCell ref="K10:L10"/>
    <mergeCell ref="M10:N10"/>
    <mergeCell ref="O10:P10"/>
    <mergeCell ref="O12:P12"/>
    <mergeCell ref="E13:F13"/>
    <mergeCell ref="G13:H13"/>
    <mergeCell ref="I13:J13"/>
    <mergeCell ref="K13:L13"/>
    <mergeCell ref="A7:A9"/>
    <mergeCell ref="A13:A15"/>
    <mergeCell ref="O5:P5"/>
    <mergeCell ref="A10:A12"/>
    <mergeCell ref="K6:L6"/>
    <mergeCell ref="M6:N6"/>
    <mergeCell ref="O6:P6"/>
    <mergeCell ref="E7:F7"/>
    <mergeCell ref="G7:H7"/>
    <mergeCell ref="I7:J7"/>
    <mergeCell ref="E15:F15"/>
    <mergeCell ref="G15:H15"/>
    <mergeCell ref="I15:J15"/>
    <mergeCell ref="K7:L7"/>
    <mergeCell ref="M7:N7"/>
    <mergeCell ref="O7:P7"/>
    <mergeCell ref="E6:F6"/>
    <mergeCell ref="G6:H6"/>
    <mergeCell ref="O8:P8"/>
    <mergeCell ref="E11:F11"/>
    <mergeCell ref="G11:H11"/>
    <mergeCell ref="I11:J11"/>
    <mergeCell ref="K11:L11"/>
    <mergeCell ref="M11:N11"/>
    <mergeCell ref="E22:F22"/>
    <mergeCell ref="G22:H22"/>
    <mergeCell ref="I22:J22"/>
    <mergeCell ref="K22:L22"/>
    <mergeCell ref="M22:N22"/>
    <mergeCell ref="O22:P22"/>
    <mergeCell ref="M1:O1"/>
    <mergeCell ref="E5:F5"/>
    <mergeCell ref="G5:H5"/>
    <mergeCell ref="I5:J5"/>
    <mergeCell ref="K5:L5"/>
    <mergeCell ref="M5:N5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A38:A40"/>
    <mergeCell ref="E38:F38"/>
    <mergeCell ref="G38:H38"/>
    <mergeCell ref="I38:J38"/>
    <mergeCell ref="A35:A37"/>
    <mergeCell ref="A32:A34"/>
    <mergeCell ref="E32:F32"/>
    <mergeCell ref="G32:H32"/>
    <mergeCell ref="I32:J32"/>
    <mergeCell ref="E34:F34"/>
    <mergeCell ref="E33:F33"/>
    <mergeCell ref="G33:H33"/>
    <mergeCell ref="I33:J33"/>
    <mergeCell ref="E37:F37"/>
    <mergeCell ref="G37:H37"/>
    <mergeCell ref="I37:J37"/>
    <mergeCell ref="E40:F40"/>
    <mergeCell ref="G40:H40"/>
    <mergeCell ref="I40:J40"/>
    <mergeCell ref="G34:H34"/>
    <mergeCell ref="I34:J34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A63:A65"/>
    <mergeCell ref="E63:F63"/>
    <mergeCell ref="G63:H63"/>
    <mergeCell ref="I63:J63"/>
    <mergeCell ref="A60:A62"/>
    <mergeCell ref="A57:A59"/>
    <mergeCell ref="E57:F57"/>
    <mergeCell ref="G57:H57"/>
    <mergeCell ref="I57:J57"/>
    <mergeCell ref="E59:F59"/>
    <mergeCell ref="G59:H59"/>
    <mergeCell ref="I59:J59"/>
    <mergeCell ref="E65:F65"/>
    <mergeCell ref="G65:H65"/>
    <mergeCell ref="I65:J65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A88:A90"/>
    <mergeCell ref="E88:F88"/>
    <mergeCell ref="G88:H88"/>
    <mergeCell ref="I88:J88"/>
    <mergeCell ref="A85:A87"/>
    <mergeCell ref="A82:A84"/>
    <mergeCell ref="E82:F82"/>
    <mergeCell ref="G82:H82"/>
    <mergeCell ref="I82:J82"/>
    <mergeCell ref="E84:F84"/>
    <mergeCell ref="G84:H84"/>
    <mergeCell ref="I84:J84"/>
    <mergeCell ref="E90:F90"/>
    <mergeCell ref="G90:H90"/>
    <mergeCell ref="I90:J90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A113:A115"/>
    <mergeCell ref="E113:F113"/>
    <mergeCell ref="G113:H113"/>
    <mergeCell ref="I113:J113"/>
    <mergeCell ref="A110:A112"/>
    <mergeCell ref="A107:A109"/>
    <mergeCell ref="E107:F107"/>
    <mergeCell ref="G107:H107"/>
    <mergeCell ref="I107:J107"/>
    <mergeCell ref="E109:F109"/>
    <mergeCell ref="G109:H109"/>
    <mergeCell ref="I109:J109"/>
    <mergeCell ref="E115:F115"/>
    <mergeCell ref="G115:H115"/>
    <mergeCell ref="I115:J115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A138:A140"/>
    <mergeCell ref="E138:F138"/>
    <mergeCell ref="G138:H138"/>
    <mergeCell ref="I138:J138"/>
    <mergeCell ref="A135:A137"/>
    <mergeCell ref="A132:A134"/>
    <mergeCell ref="E132:F132"/>
    <mergeCell ref="G132:H132"/>
    <mergeCell ref="I132:J132"/>
    <mergeCell ref="E134:F134"/>
    <mergeCell ref="G134:H134"/>
    <mergeCell ref="I134:J134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9:F9"/>
    <mergeCell ref="G9:H9"/>
    <mergeCell ref="I9:J9"/>
    <mergeCell ref="K9:L9"/>
    <mergeCell ref="M9:N9"/>
    <mergeCell ref="O9:P9"/>
    <mergeCell ref="O13:P13"/>
    <mergeCell ref="E14:F14"/>
    <mergeCell ref="G14:H14"/>
    <mergeCell ref="I14:J14"/>
    <mergeCell ref="K14:L14"/>
    <mergeCell ref="M14:N14"/>
    <mergeCell ref="O14:P14"/>
    <mergeCell ref="E12:F12"/>
    <mergeCell ref="G12:H12"/>
    <mergeCell ref="I12:J12"/>
    <mergeCell ref="K12:L12"/>
    <mergeCell ref="M12:N12"/>
    <mergeCell ref="M13:N13"/>
    <mergeCell ref="E31:F31"/>
    <mergeCell ref="G31:H31"/>
    <mergeCell ref="I31:J31"/>
    <mergeCell ref="K31:L31"/>
    <mergeCell ref="M31:N31"/>
    <mergeCell ref="O31:P31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M26:O26"/>
    <mergeCell ref="E30:F30"/>
    <mergeCell ref="G30:H30"/>
    <mergeCell ref="I30:J30"/>
    <mergeCell ref="K30:L30"/>
    <mergeCell ref="M30:N30"/>
    <mergeCell ref="O30:P30"/>
    <mergeCell ref="E25:F25"/>
    <mergeCell ref="G25:H25"/>
    <mergeCell ref="K32:L32"/>
    <mergeCell ref="M32:N32"/>
    <mergeCell ref="O32:P32"/>
    <mergeCell ref="I25:J25"/>
    <mergeCell ref="K25:L25"/>
    <mergeCell ref="M25:N25"/>
    <mergeCell ref="O25:P25"/>
    <mergeCell ref="K33:L33"/>
    <mergeCell ref="M33:N33"/>
    <mergeCell ref="O33:P33"/>
    <mergeCell ref="K34:L34"/>
    <mergeCell ref="M34:N34"/>
    <mergeCell ref="O34:P34"/>
    <mergeCell ref="E35:F35"/>
    <mergeCell ref="G35:H35"/>
    <mergeCell ref="I35:J35"/>
    <mergeCell ref="K35:L35"/>
    <mergeCell ref="M35:N35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1:F141"/>
    <mergeCell ref="G141:H141"/>
    <mergeCell ref="I141:J141"/>
    <mergeCell ref="K141:L141"/>
    <mergeCell ref="M141:N141"/>
    <mergeCell ref="O141:P141"/>
    <mergeCell ref="E140:F140"/>
    <mergeCell ref="G140:H140"/>
    <mergeCell ref="I140:J140"/>
    <mergeCell ref="K140:L140"/>
    <mergeCell ref="M140:N140"/>
    <mergeCell ref="O140:P140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132" priority="22" stopIfTrue="1" operator="equal">
      <formula>0</formula>
    </cfRule>
  </conditionalFormatting>
  <conditionalFormatting sqref="D32:D40">
    <cfRule type="cellIs" dxfId="131" priority="19" stopIfTrue="1" operator="equal">
      <formula>0</formula>
    </cfRule>
  </conditionalFormatting>
  <conditionalFormatting sqref="D57:D65">
    <cfRule type="cellIs" dxfId="130" priority="16" stopIfTrue="1" operator="equal">
      <formula>0</formula>
    </cfRule>
  </conditionalFormatting>
  <conditionalFormatting sqref="D82:D90">
    <cfRule type="cellIs" dxfId="129" priority="13" stopIfTrue="1" operator="equal">
      <formula>0</formula>
    </cfRule>
  </conditionalFormatting>
  <conditionalFormatting sqref="D107:D115">
    <cfRule type="cellIs" dxfId="128" priority="10" stopIfTrue="1" operator="equal">
      <formula>0</formula>
    </cfRule>
  </conditionalFormatting>
  <conditionalFormatting sqref="D132:D140">
    <cfRule type="cellIs" dxfId="127" priority="7" stopIfTrue="1" operator="equal">
      <formula>0</formula>
    </cfRule>
  </conditionalFormatting>
  <conditionalFormatting sqref="D157:D165">
    <cfRule type="cellIs" dxfId="126" priority="4" stopIfTrue="1" operator="equal">
      <formula>0</formula>
    </cfRule>
  </conditionalFormatting>
  <conditionalFormatting sqref="D182:D190">
    <cfRule type="cellIs" dxfId="125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B63" sqref="B63"/>
    </sheetView>
  </sheetViews>
  <sheetFormatPr baseColWidth="10" defaultColWidth="11.44140625" defaultRowHeight="13.2"/>
  <cols>
    <col min="1" max="1" width="6.44140625" style="6" customWidth="1"/>
    <col min="2" max="2" width="27.44140625" customWidth="1"/>
    <col min="3" max="3" width="28.44140625" customWidth="1"/>
    <col min="4" max="9" width="6.6640625" style="6" customWidth="1"/>
    <col min="10" max="10" width="26.6640625" customWidth="1"/>
    <col min="11" max="11" width="2.44140625" bestFit="1" customWidth="1"/>
    <col min="12" max="12" width="33.44140625" style="87" bestFit="1" customWidth="1"/>
  </cols>
  <sheetData>
    <row r="1" spans="1:12" s="119" customFormat="1" ht="13.8">
      <c r="A1" s="361" t="str">
        <f>Schlüssel!C1&amp;"     -     Saison "&amp;Spielorte!C18</f>
        <v>Landesliga Jugend     -     Saison 2024/2025</v>
      </c>
      <c r="B1" s="361"/>
      <c r="C1" s="361"/>
      <c r="D1" s="361"/>
      <c r="E1" s="361"/>
      <c r="F1" s="361"/>
      <c r="G1" s="361"/>
      <c r="H1" s="361"/>
      <c r="I1" s="361"/>
      <c r="J1" s="361"/>
      <c r="L1" s="180"/>
    </row>
    <row r="2" spans="1:12" s="55" customFormat="1">
      <c r="A2" s="181"/>
      <c r="D2" s="181"/>
      <c r="E2" s="181"/>
      <c r="F2" s="181"/>
      <c r="G2" s="181"/>
      <c r="H2" s="181"/>
      <c r="I2" s="181"/>
      <c r="L2" s="182"/>
    </row>
    <row r="3" spans="1:12" s="133" customFormat="1" ht="13.8">
      <c r="A3" s="360" t="s">
        <v>1859</v>
      </c>
      <c r="B3" s="360"/>
      <c r="C3" s="362" t="s">
        <v>2387</v>
      </c>
      <c r="D3" s="363"/>
      <c r="E3" s="363"/>
      <c r="F3" s="363"/>
      <c r="G3" s="363"/>
      <c r="H3" s="363"/>
      <c r="I3" s="363"/>
      <c r="J3" s="363"/>
      <c r="L3" s="183"/>
    </row>
    <row r="4" spans="1:12" s="133" customFormat="1" ht="13.8">
      <c r="A4" s="360" t="s">
        <v>2070</v>
      </c>
      <c r="B4" s="360"/>
      <c r="C4" s="362" t="s">
        <v>2387</v>
      </c>
      <c r="D4" s="363"/>
      <c r="E4" s="363"/>
      <c r="F4" s="363"/>
      <c r="G4" s="363"/>
      <c r="H4" s="363"/>
      <c r="I4" s="363"/>
      <c r="J4" s="363"/>
      <c r="L4" s="183"/>
    </row>
    <row r="5" spans="1:12" s="55" customFormat="1">
      <c r="A5" s="181"/>
      <c r="D5" s="181"/>
      <c r="E5" s="181"/>
      <c r="F5" s="181"/>
      <c r="G5" s="181"/>
      <c r="H5" s="181"/>
      <c r="I5" s="181"/>
      <c r="L5" s="182"/>
    </row>
    <row r="6" spans="1:12" s="186" customFormat="1" ht="13.8">
      <c r="A6" s="359" t="s">
        <v>2069</v>
      </c>
      <c r="B6" s="359"/>
      <c r="C6" s="184">
        <v>1</v>
      </c>
      <c r="D6" s="185"/>
      <c r="E6" s="185"/>
      <c r="F6" s="185"/>
      <c r="G6" s="185"/>
      <c r="H6" s="185"/>
      <c r="I6" s="185"/>
      <c r="K6" s="358" t="s">
        <v>2059</v>
      </c>
      <c r="L6" s="358"/>
    </row>
    <row r="7" spans="1:12" ht="13.8">
      <c r="A7" s="187" t="s">
        <v>1815</v>
      </c>
      <c r="B7" s="188" t="s">
        <v>1798</v>
      </c>
      <c r="C7" s="188" t="s">
        <v>1823</v>
      </c>
      <c r="D7" s="187" t="s">
        <v>2071</v>
      </c>
      <c r="E7" s="187" t="s">
        <v>2072</v>
      </c>
      <c r="F7" s="187" t="s">
        <v>2073</v>
      </c>
      <c r="G7" s="187" t="s">
        <v>2074</v>
      </c>
      <c r="H7" s="187" t="s">
        <v>2075</v>
      </c>
      <c r="I7" s="187" t="s">
        <v>2076</v>
      </c>
      <c r="J7" s="189" t="s">
        <v>2077</v>
      </c>
      <c r="K7" s="181" t="s">
        <v>2060</v>
      </c>
      <c r="L7" s="87" t="s">
        <v>2061</v>
      </c>
    </row>
    <row r="8" spans="1:12">
      <c r="B8" t="str">
        <f>IFERROR(INDEX(Starter!B:B,MATCH(A8,Starter!A:A,0)),"")</f>
        <v/>
      </c>
      <c r="C8" t="str">
        <f>IFERROR(INDEX(Starter!C:C,MATCH(A8,Starter!A:A,0)),"")</f>
        <v/>
      </c>
      <c r="D8" s="181"/>
      <c r="E8" s="181"/>
      <c r="F8" s="181"/>
      <c r="G8" s="181"/>
      <c r="H8" s="181"/>
      <c r="K8" s="181" t="s">
        <v>2062</v>
      </c>
      <c r="L8" s="87" t="s">
        <v>2063</v>
      </c>
    </row>
    <row r="9" spans="1:12">
      <c r="B9" t="str">
        <f>IFERROR(INDEX(Starter!B:B,MATCH(A9,Starter!A:A,0)),"")</f>
        <v/>
      </c>
      <c r="C9" t="str">
        <f>IFERROR(INDEX(Starter!C:C,MATCH(A9,Starter!A:A,0)),"")</f>
        <v/>
      </c>
      <c r="K9" s="181" t="s">
        <v>2064</v>
      </c>
      <c r="L9" s="87" t="s">
        <v>2065</v>
      </c>
    </row>
    <row r="10" spans="1:12">
      <c r="B10" t="str">
        <f>IFERROR(INDEX(Starter!B:B,MATCH(A10,Starter!A:A,0)),"")</f>
        <v/>
      </c>
      <c r="C10" t="str">
        <f>IFERROR(INDEX(Starter!C:C,MATCH(A10,Starter!A:A,0)),"")</f>
        <v/>
      </c>
      <c r="K10" s="181" t="s">
        <v>44</v>
      </c>
      <c r="L10" s="87" t="s">
        <v>2066</v>
      </c>
    </row>
    <row r="11" spans="1:12">
      <c r="B11" t="str">
        <f>IFERROR(INDEX(Starter!B:B,MATCH(A11,Starter!A:A,0)),"")</f>
        <v/>
      </c>
      <c r="C11" t="str">
        <f>IFERROR(INDEX(Starter!C:C,MATCH(A11,Starter!A:A,0)),"")</f>
        <v/>
      </c>
      <c r="K11" s="181" t="s">
        <v>2067</v>
      </c>
      <c r="L11" s="87" t="s">
        <v>2068</v>
      </c>
    </row>
    <row r="12" spans="1:12">
      <c r="B12" t="str">
        <f>IFERROR(INDEX(Starter!B:B,MATCH(A12,Starter!A:A,0)),"")</f>
        <v/>
      </c>
      <c r="C12" t="str">
        <f>IFERROR(INDEX(Starter!C:C,MATCH(A12,Starter!A:A,0)),"")</f>
        <v/>
      </c>
    </row>
    <row r="13" spans="1:12">
      <c r="B13" t="str">
        <f>IFERROR(INDEX(Starter!B:B,MATCH(A13,Starter!A:A,0)),"")</f>
        <v/>
      </c>
      <c r="C13" t="str">
        <f>IFERROR(INDEX(Starter!C:C,MATCH(A13,Starter!A:A,0)),"")</f>
        <v/>
      </c>
    </row>
    <row r="14" spans="1:12">
      <c r="B14" t="str">
        <f>IFERROR(INDEX(Starter!B:B,MATCH(A14,Starter!A:A,0)),"")</f>
        <v/>
      </c>
      <c r="C14" t="str">
        <f>IFERROR(INDEX(Starter!C:C,MATCH(A14,Starter!A:A,0)),"")</f>
        <v/>
      </c>
    </row>
    <row r="15" spans="1:12">
      <c r="B15" t="str">
        <f>IFERROR(INDEX(Starter!B:B,MATCH(A15,Starter!A:A,0)),"")</f>
        <v/>
      </c>
      <c r="C15" t="str">
        <f>IFERROR(INDEX(Starter!C:C,MATCH(A15,Starter!A:A,0)),"")</f>
        <v/>
      </c>
    </row>
    <row r="16" spans="1:12">
      <c r="B16" t="str">
        <f>IFERROR(INDEX(Starter!B:B,MATCH(A16,Starter!A:A,0)),"")</f>
        <v/>
      </c>
      <c r="C16" t="str">
        <f>IFERROR(INDEX(Starter!C:C,MATCH(A16,Starter!A:A,0)),"")</f>
        <v/>
      </c>
    </row>
    <row r="17" spans="2:3">
      <c r="B17" t="str">
        <f>IFERROR(INDEX(Starter!B:B,MATCH(A17,Starter!A:A,0)),"")</f>
        <v/>
      </c>
      <c r="C17" t="str">
        <f>IFERROR(INDEX(Starter!C:C,MATCH(A17,Starter!A:A,0)),"")</f>
        <v/>
      </c>
    </row>
    <row r="18" spans="2:3">
      <c r="B18" t="str">
        <f>IFERROR(INDEX(Starter!B:B,MATCH(A18,Starter!A:A,0)),"")</f>
        <v/>
      </c>
      <c r="C18" t="str">
        <f>IFERROR(INDEX(Starter!C:C,MATCH(A18,Starter!A:A,0)),"")</f>
        <v/>
      </c>
    </row>
    <row r="19" spans="2:3">
      <c r="B19" t="str">
        <f>IFERROR(INDEX(Starter!B:B,MATCH(A19,Starter!A:A,0)),"")</f>
        <v/>
      </c>
      <c r="C19" t="str">
        <f>IFERROR(INDEX(Starter!C:C,MATCH(A19,Starter!A:A,0)),"")</f>
        <v/>
      </c>
    </row>
    <row r="20" spans="2:3">
      <c r="B20" t="str">
        <f>IFERROR(INDEX(Starter!B:B,MATCH(A20,Starter!A:A,0)),"")</f>
        <v/>
      </c>
      <c r="C20" t="str">
        <f>IFERROR(INDEX(Starter!C:C,MATCH(A20,Starter!A:A,0)),"")</f>
        <v/>
      </c>
    </row>
    <row r="21" spans="2:3">
      <c r="B21" t="str">
        <f>IFERROR(INDEX(Starter!B:B,MATCH(A21,Starter!A:A,0)),"")</f>
        <v/>
      </c>
      <c r="C21" t="str">
        <f>IFERROR(INDEX(Starter!C:C,MATCH(A21,Starter!A:A,0)),"")</f>
        <v/>
      </c>
    </row>
    <row r="22" spans="2:3">
      <c r="B22" t="str">
        <f>IFERROR(INDEX(Starter!B:B,MATCH(A22,Starter!A:A,0)),"")</f>
        <v/>
      </c>
      <c r="C22" t="str">
        <f>IFERROR(INDEX(Starter!C:C,MATCH(A22,Starter!A:A,0)),"")</f>
        <v/>
      </c>
    </row>
    <row r="23" spans="2:3">
      <c r="B23" t="str">
        <f>IFERROR(INDEX(Starter!B:B,MATCH(A23,Starter!A:A,0)),"")</f>
        <v/>
      </c>
      <c r="C23" t="str">
        <f>IFERROR(INDEX(Starter!C:C,MATCH(A23,Starter!A:A,0)),"")</f>
        <v/>
      </c>
    </row>
    <row r="24" spans="2:3">
      <c r="B24" t="str">
        <f>IFERROR(INDEX(Starter!B:B,MATCH(A24,Starter!A:A,0)),"")</f>
        <v/>
      </c>
      <c r="C24" t="str">
        <f>IFERROR(INDEX(Starter!C:C,MATCH(A24,Starter!A:A,0)),"")</f>
        <v/>
      </c>
    </row>
    <row r="25" spans="2:3">
      <c r="B25" t="str">
        <f>IFERROR(INDEX(Starter!B:B,MATCH(A25,Starter!A:A,0)),"")</f>
        <v/>
      </c>
      <c r="C25" t="str">
        <f>IFERROR(INDEX(Starter!C:C,MATCH(A25,Starter!A:A,0)),"")</f>
        <v/>
      </c>
    </row>
    <row r="26" spans="2:3">
      <c r="B26" t="str">
        <f>IFERROR(INDEX(Starter!B:B,MATCH(A26,Starter!A:A,0)),"")</f>
        <v/>
      </c>
      <c r="C26" t="str">
        <f>IFERROR(INDEX(Starter!C:C,MATCH(A26,Starter!A:A,0)),"")</f>
        <v/>
      </c>
    </row>
    <row r="27" spans="2:3">
      <c r="B27" t="str">
        <f>IFERROR(INDEX(Starter!B:B,MATCH(A27,Starter!A:A,0)),"")</f>
        <v/>
      </c>
      <c r="C27" t="str">
        <f>IFERROR(INDEX(Starter!C:C,MATCH(A27,Starter!A:A,0)),"")</f>
        <v/>
      </c>
    </row>
    <row r="28" spans="2:3">
      <c r="B28" t="str">
        <f>IFERROR(INDEX(Starter!B:B,MATCH(A28,Starter!A:A,0)),"")</f>
        <v/>
      </c>
      <c r="C28" t="str">
        <f>IFERROR(INDEX(Starter!C:C,MATCH(A28,Starter!A:A,0)),"")</f>
        <v/>
      </c>
    </row>
    <row r="29" spans="2:3">
      <c r="B29" t="str">
        <f>IFERROR(INDEX(Starter!B:B,MATCH(A29,Starter!A:A,0)),"")</f>
        <v/>
      </c>
      <c r="C29" t="str">
        <f>IFERROR(INDEX(Starter!C:C,MATCH(A29,Starter!A:A,0)),"")</f>
        <v/>
      </c>
    </row>
    <row r="30" spans="2:3">
      <c r="B30" t="str">
        <f>IFERROR(INDEX(Starter!B:B,MATCH(A30,Starter!A:A,0)),"")</f>
        <v/>
      </c>
      <c r="C30" t="str">
        <f>IFERROR(INDEX(Starter!C:C,MATCH(A30,Starter!A:A,0)),"")</f>
        <v/>
      </c>
    </row>
    <row r="31" spans="2:3">
      <c r="B31" t="str">
        <f>IFERROR(INDEX(Starter!B:B,MATCH(A31,Starter!A:A,0)),"")</f>
        <v/>
      </c>
      <c r="C31" t="str">
        <f>IFERROR(INDEX(Starter!C:C,MATCH(A31,Starter!A:A,0)),"")</f>
        <v/>
      </c>
    </row>
    <row r="32" spans="2:3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password="D19C" sheet="1" objects="1" scenarios="1"/>
  <mergeCells count="7">
    <mergeCell ref="K6:L6"/>
    <mergeCell ref="A6:B6"/>
    <mergeCell ref="A3:B3"/>
    <mergeCell ref="A4:B4"/>
    <mergeCell ref="A1:J1"/>
    <mergeCell ref="C3:J3"/>
    <mergeCell ref="C4:J4"/>
  </mergeCells>
  <conditionalFormatting sqref="D6:I65536 J7">
    <cfRule type="cellIs" dxfId="468" priority="4" operator="equal">
      <formula>"S"</formula>
    </cfRule>
    <cfRule type="cellIs" dxfId="467" priority="5" operator="equal">
      <formula>"R"</formula>
    </cfRule>
    <cfRule type="cellIs" dxfId="466" priority="6" operator="equal">
      <formula>"G"</formula>
    </cfRule>
  </conditionalFormatting>
  <conditionalFormatting sqref="K7:K11">
    <cfRule type="cellIs" dxfId="465" priority="1" operator="equal">
      <formula>"S"</formula>
    </cfRule>
    <cfRule type="cellIs" dxfId="464" priority="2" operator="equal">
      <formula>"R"</formula>
    </cfRule>
    <cfRule type="cellIs" dxfId="463" priority="3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BM208"/>
  <sheetViews>
    <sheetView view="pageBreakPreview" topLeftCell="A182" zoomScaleNormal="100" zoomScaleSheetLayoutView="100" workbookViewId="0">
      <selection activeCell="E8" sqref="E7:J9"/>
    </sheetView>
  </sheetViews>
  <sheetFormatPr baseColWidth="10" defaultRowHeight="13.2"/>
  <cols>
    <col min="1" max="1" width="4.44140625" customWidth="1"/>
    <col min="2" max="2" width="15.6640625" bestFit="1" customWidth="1"/>
    <col min="3" max="3" width="6.44140625" bestFit="1" customWidth="1"/>
    <col min="4" max="4" width="7.44140625" bestFit="1" customWidth="1"/>
    <col min="5" max="5" width="6.33203125" bestFit="1" customWidth="1"/>
    <col min="6" max="6" width="8.33203125" bestFit="1" customWidth="1"/>
    <col min="7" max="7" width="4.44140625" bestFit="1" customWidth="1"/>
    <col min="8" max="8" width="5.6640625" customWidth="1"/>
    <col min="9" max="9" width="8.33203125" bestFit="1" customWidth="1"/>
    <col min="10" max="10" width="4.44140625" bestFit="1" customWidth="1"/>
    <col min="11" max="11" width="5.6640625" customWidth="1"/>
    <col min="12" max="12" width="8.33203125" bestFit="1" customWidth="1"/>
    <col min="13" max="13" width="4.44140625" bestFit="1" customWidth="1"/>
    <col min="14" max="14" width="5.6640625" customWidth="1"/>
    <col min="15" max="15" width="8.33203125" bestFit="1" customWidth="1"/>
    <col min="16" max="16" width="4.44140625" bestFit="1" customWidth="1"/>
    <col min="17" max="17" width="5.6640625" bestFit="1" customWidth="1"/>
    <col min="18" max="18" width="8.33203125" bestFit="1" customWidth="1"/>
    <col min="19" max="19" width="4.44140625" bestFit="1" customWidth="1"/>
    <col min="20" max="20" width="4.6640625" bestFit="1" customWidth="1"/>
    <col min="21" max="21" width="8.33203125" bestFit="1" customWidth="1"/>
    <col min="22" max="22" width="4.4414062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3203125" hidden="1" customWidth="1"/>
    <col min="41" max="41" width="10.6640625" hidden="1" customWidth="1"/>
    <col min="42" max="42" width="11.33203125" hidden="1" customWidth="1"/>
    <col min="43" max="43" width="6.44140625" style="169" hidden="1" customWidth="1"/>
    <col min="44" max="44" width="11.33203125" style="169" hidden="1" customWidth="1"/>
    <col min="45" max="45" width="7.6640625" style="169" hidden="1" customWidth="1"/>
    <col min="46" max="46" width="5.44140625" style="169" hidden="1" customWidth="1"/>
    <col min="47" max="47" width="6.33203125" style="169" hidden="1" customWidth="1"/>
    <col min="48" max="48" width="5.44140625" style="169" hidden="1" customWidth="1"/>
    <col min="49" max="49" width="6" style="169" hidden="1" customWidth="1"/>
    <col min="50" max="50" width="8.44140625" style="169" hidden="1" customWidth="1"/>
    <col min="51" max="55" width="4.33203125" style="169" hidden="1" customWidth="1"/>
    <col min="56" max="56" width="14.6640625" style="169" hidden="1" customWidth="1"/>
    <col min="57" max="57" width="5.33203125" style="169" hidden="1" customWidth="1"/>
    <col min="58" max="58" width="9.44140625" style="169" hidden="1" customWidth="1"/>
    <col min="59" max="59" width="11" style="169" hidden="1" customWidth="1"/>
    <col min="60" max="60" width="17.33203125" style="169" hidden="1" customWidth="1"/>
    <col min="61" max="62" width="5.33203125" style="169" hidden="1" customWidth="1"/>
    <col min="63" max="63" width="7.6640625" style="169" hidden="1" customWidth="1"/>
    <col min="64" max="64" width="11.44140625" style="169" hidden="1" customWidth="1"/>
    <col min="65" max="65" width="5.33203125" style="169" hidden="1" customWidth="1"/>
    <col min="66" max="79" width="11.44140625" customWidth="1"/>
  </cols>
  <sheetData>
    <row r="1" spans="1:65" ht="21" customHeight="1">
      <c r="A1" s="255"/>
      <c r="B1" s="7" t="s">
        <v>1802</v>
      </c>
      <c r="C1" s="24"/>
      <c r="D1" s="24"/>
      <c r="E1" s="35" t="s">
        <v>1786</v>
      </c>
      <c r="F1" s="35"/>
      <c r="G1" s="427" t="str">
        <f>Schlüssel!$C$1</f>
        <v>Landesliga Jugend</v>
      </c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06">
        <f>Schlüssel!$DI$1</f>
        <v>45808</v>
      </c>
      <c r="T1" s="406"/>
      <c r="U1" s="406"/>
      <c r="V1" s="406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>
      <c r="A2" s="53"/>
      <c r="B2" s="54">
        <v>1</v>
      </c>
      <c r="E2" s="35" t="s">
        <v>1787</v>
      </c>
      <c r="F2" s="35"/>
      <c r="G2" s="413" t="str">
        <f>Schlüssel!$CY$2</f>
        <v>Rosenheim In(n) Bowling</v>
      </c>
      <c r="H2" s="413"/>
      <c r="I2" s="413"/>
      <c r="J2" s="413"/>
      <c r="K2" s="413"/>
      <c r="L2" s="413"/>
      <c r="M2" s="413"/>
      <c r="N2" s="413"/>
      <c r="O2" s="413"/>
      <c r="P2" s="66"/>
      <c r="Q2" s="411" t="s">
        <v>1785</v>
      </c>
      <c r="R2" s="412"/>
      <c r="S2" s="38">
        <v>6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>
      <c r="B3" s="414" t="str">
        <f>VLOOKUP(B2,Schlüssel!$A$5:$B$12,2)</f>
        <v>Bad Tölz 1</v>
      </c>
      <c r="C3" s="415"/>
      <c r="D3" s="415"/>
      <c r="E3" s="415"/>
      <c r="F3" s="415"/>
      <c r="G3" s="416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3.8" hidden="1" thickBot="1">
      <c r="A4" s="6"/>
      <c r="B4" s="7"/>
      <c r="C4" s="43"/>
      <c r="D4" s="43"/>
      <c r="E4" s="162" t="s">
        <v>10</v>
      </c>
      <c r="F4" s="220"/>
      <c r="G4" s="159">
        <f>VLOOKUP(B2,Schlüssel!$A$5:$EK$12,113)</f>
        <v>16</v>
      </c>
      <c r="H4" s="161" t="s">
        <v>10</v>
      </c>
      <c r="I4" s="220"/>
      <c r="J4" s="159">
        <f>VLOOKUP(B2,Schlüssel!$A$5:$EK$12,114)</f>
        <v>12</v>
      </c>
      <c r="K4" s="161" t="s">
        <v>10</v>
      </c>
      <c r="L4" s="220"/>
      <c r="M4" s="159">
        <f>VLOOKUP(B2,Schlüssel!$A$5:$EK$12,115)</f>
        <v>18</v>
      </c>
      <c r="N4" s="161" t="s">
        <v>10</v>
      </c>
      <c r="O4" s="220"/>
      <c r="P4" s="159">
        <f>VLOOKUP(B2,Schlüssel!$A$5:$EK$12,116)</f>
        <v>11</v>
      </c>
      <c r="Q4" s="161" t="s">
        <v>10</v>
      </c>
      <c r="R4" s="220"/>
      <c r="S4" s="160">
        <f>VLOOKUP(B2,Schlüssel!$A$5:$EK$12,117)</f>
        <v>15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>
      <c r="B5" s="44" t="s">
        <v>1</v>
      </c>
      <c r="C5" s="208"/>
      <c r="D5" s="217"/>
      <c r="E5" s="423" t="s">
        <v>1793</v>
      </c>
      <c r="F5" s="423"/>
      <c r="G5" s="408"/>
      <c r="H5" s="407" t="s">
        <v>1794</v>
      </c>
      <c r="I5" s="423"/>
      <c r="J5" s="408"/>
      <c r="K5" s="407" t="s">
        <v>1795</v>
      </c>
      <c r="L5" s="423"/>
      <c r="M5" s="408"/>
      <c r="N5" s="407" t="s">
        <v>1796</v>
      </c>
      <c r="O5" s="423"/>
      <c r="P5" s="408"/>
      <c r="Q5" s="407" t="s">
        <v>1797</v>
      </c>
      <c r="R5" s="423"/>
      <c r="S5" s="437"/>
      <c r="T5" s="439" t="s">
        <v>1792</v>
      </c>
      <c r="U5" s="440"/>
      <c r="V5" s="410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6.95" customHeight="1">
      <c r="A7" s="403" t="s">
        <v>0</v>
      </c>
      <c r="B7" s="58" t="str">
        <f>IF(C7=0,"",VLOOKUP(C7,Starter!$A$1:$D$196,2,FALSE))</f>
        <v/>
      </c>
      <c r="C7" s="232"/>
      <c r="D7" s="238">
        <f t="shared" ref="D7:D15" si="0">+AP7</f>
        <v>0</v>
      </c>
      <c r="E7" s="221"/>
      <c r="F7" s="240">
        <f t="shared" ref="F7:F15" si="1">IF(E7&gt;0,E7+$D7,0)</f>
        <v>0</v>
      </c>
      <c r="G7" s="428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8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8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8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8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400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IF(AU7=0,0,IFERROR(INDEX(RanglisteST6!K:K,MATCH(AU7,RanglisteST6!A:A,0)),0))</f>
        <v>0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0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6.95" customHeight="1">
      <c r="A8" s="404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9"/>
      <c r="H8" s="222"/>
      <c r="I8" s="241">
        <f t="shared" si="2"/>
        <v>0</v>
      </c>
      <c r="J8" s="429"/>
      <c r="K8" s="222"/>
      <c r="L8" s="241">
        <f t="shared" si="3"/>
        <v>0</v>
      </c>
      <c r="M8" s="429"/>
      <c r="N8" s="222"/>
      <c r="O8" s="241">
        <f t="shared" si="4"/>
        <v>0</v>
      </c>
      <c r="P8" s="429"/>
      <c r="Q8" s="222"/>
      <c r="R8" s="241">
        <f t="shared" si="5"/>
        <v>0</v>
      </c>
      <c r="S8" s="429"/>
      <c r="T8" s="222">
        <f t="shared" si="6"/>
        <v>0</v>
      </c>
      <c r="U8" s="241">
        <f t="shared" si="6"/>
        <v>0</v>
      </c>
      <c r="V8" s="401"/>
      <c r="W8" s="79"/>
      <c r="X8" s="79"/>
      <c r="Y8" s="79"/>
      <c r="Z8" s="79"/>
      <c r="AA8" s="79"/>
      <c r="AB8" s="79"/>
      <c r="AL8" s="169">
        <f>IF(AU8=0,0,IFERROR(INDEX(RanglisteST6!K:K,MATCH(AU8,RanglisteST6!A:A,0)),0))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6.95" customHeight="1" thickBot="1">
      <c r="A9" s="405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30"/>
      <c r="H9" s="224"/>
      <c r="I9" s="242">
        <f t="shared" si="2"/>
        <v>0</v>
      </c>
      <c r="J9" s="430"/>
      <c r="K9" s="224"/>
      <c r="L9" s="242">
        <f t="shared" si="3"/>
        <v>0</v>
      </c>
      <c r="M9" s="430"/>
      <c r="N9" s="224"/>
      <c r="O9" s="242">
        <f t="shared" si="4"/>
        <v>0</v>
      </c>
      <c r="P9" s="430"/>
      <c r="Q9" s="224"/>
      <c r="R9" s="242">
        <f t="shared" si="5"/>
        <v>0</v>
      </c>
      <c r="S9" s="430"/>
      <c r="T9" s="224">
        <f t="shared" si="6"/>
        <v>0</v>
      </c>
      <c r="U9" s="242">
        <f t="shared" si="6"/>
        <v>0</v>
      </c>
      <c r="V9" s="402"/>
      <c r="W9" s="79"/>
      <c r="X9" s="79"/>
      <c r="Y9" s="79"/>
      <c r="Z9" s="79"/>
      <c r="AA9" s="79"/>
      <c r="AB9" s="79"/>
      <c r="AL9" s="169">
        <f>IF(AU9=0,0,IFERROR(INDEX(RanglisteST6!K:K,MATCH(AU9,RanglisteST6!A:A,0)),0))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6.95" customHeight="1">
      <c r="A10" s="403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8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8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8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8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8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400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IF(AU10=0,0,IFERROR(INDEX(RanglisteST6!K:K,MATCH(AU10,RanglisteST6!A:A,0)),0))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6.95" customHeight="1">
      <c r="A11" s="404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9"/>
      <c r="H11" s="222"/>
      <c r="I11" s="241">
        <f t="shared" si="2"/>
        <v>0</v>
      </c>
      <c r="J11" s="429"/>
      <c r="K11" s="222"/>
      <c r="L11" s="241">
        <f t="shared" si="3"/>
        <v>0</v>
      </c>
      <c r="M11" s="429"/>
      <c r="N11" s="222"/>
      <c r="O11" s="241">
        <f t="shared" si="4"/>
        <v>0</v>
      </c>
      <c r="P11" s="429"/>
      <c r="Q11" s="222"/>
      <c r="R11" s="241">
        <f t="shared" si="5"/>
        <v>0</v>
      </c>
      <c r="S11" s="429"/>
      <c r="T11" s="222">
        <f t="shared" si="6"/>
        <v>0</v>
      </c>
      <c r="U11" s="241">
        <f t="shared" si="6"/>
        <v>0</v>
      </c>
      <c r="V11" s="401"/>
      <c r="W11" s="79"/>
      <c r="X11" s="79"/>
      <c r="Y11" s="79"/>
      <c r="Z11" s="79"/>
      <c r="AA11" s="79"/>
      <c r="AB11" s="79"/>
      <c r="AL11" s="169">
        <f>IF(AU11=0,0,IFERROR(INDEX(RanglisteST6!K:K,MATCH(AU11,RanglisteST6!A:A,0)),0))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6.95" customHeight="1" thickBot="1">
      <c r="A12" s="405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30"/>
      <c r="H12" s="224"/>
      <c r="I12" s="242">
        <f t="shared" si="2"/>
        <v>0</v>
      </c>
      <c r="J12" s="430"/>
      <c r="K12" s="224"/>
      <c r="L12" s="242">
        <f t="shared" si="3"/>
        <v>0</v>
      </c>
      <c r="M12" s="430"/>
      <c r="N12" s="224"/>
      <c r="O12" s="242">
        <f t="shared" si="4"/>
        <v>0</v>
      </c>
      <c r="P12" s="430"/>
      <c r="Q12" s="224"/>
      <c r="R12" s="242">
        <f t="shared" si="5"/>
        <v>0</v>
      </c>
      <c r="S12" s="430"/>
      <c r="T12" s="224">
        <f t="shared" si="6"/>
        <v>0</v>
      </c>
      <c r="U12" s="242">
        <f t="shared" si="6"/>
        <v>0</v>
      </c>
      <c r="V12" s="402"/>
      <c r="W12" s="79"/>
      <c r="X12" s="79"/>
      <c r="Y12" s="79"/>
      <c r="Z12" s="79"/>
      <c r="AA12" s="79"/>
      <c r="AB12" s="79"/>
      <c r="AL12" s="169">
        <f>IF(AU12=0,0,IFERROR(INDEX(RanglisteST6!K:K,MATCH(AU12,RanglisteST6!A:A,0)),0))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6.95" customHeight="1">
      <c r="A13" s="403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8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8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8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8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8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400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IF(AU13=0,0,IFERROR(INDEX(RanglisteST6!K:K,MATCH(AU13,RanglisteST6!A:A,0)),0))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6.95" customHeight="1">
      <c r="A14" s="404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9"/>
      <c r="H14" s="222"/>
      <c r="I14" s="241">
        <f t="shared" si="2"/>
        <v>0</v>
      </c>
      <c r="J14" s="429"/>
      <c r="K14" s="222"/>
      <c r="L14" s="241">
        <f t="shared" si="3"/>
        <v>0</v>
      </c>
      <c r="M14" s="429"/>
      <c r="N14" s="222"/>
      <c r="O14" s="241">
        <f t="shared" si="4"/>
        <v>0</v>
      </c>
      <c r="P14" s="429"/>
      <c r="Q14" s="222"/>
      <c r="R14" s="241">
        <f t="shared" si="5"/>
        <v>0</v>
      </c>
      <c r="S14" s="429"/>
      <c r="T14" s="222">
        <f t="shared" si="6"/>
        <v>0</v>
      </c>
      <c r="U14" s="241">
        <f t="shared" si="6"/>
        <v>0</v>
      </c>
      <c r="V14" s="401"/>
      <c r="W14" s="79"/>
      <c r="X14" s="79"/>
      <c r="Y14" s="79"/>
      <c r="Z14" s="79"/>
      <c r="AA14" s="79"/>
      <c r="AB14" s="79"/>
      <c r="AL14" s="169">
        <f>IF(AU14=0,0,IFERROR(INDEX(RanglisteST6!K:K,MATCH(AU14,RanglisteST6!A:A,0)),0))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6.95" customHeight="1" thickBot="1">
      <c r="A15" s="405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30"/>
      <c r="H15" s="224"/>
      <c r="I15" s="242">
        <f t="shared" si="2"/>
        <v>0</v>
      </c>
      <c r="J15" s="430"/>
      <c r="K15" s="224"/>
      <c r="L15" s="242">
        <f t="shared" si="3"/>
        <v>0</v>
      </c>
      <c r="M15" s="430"/>
      <c r="N15" s="224"/>
      <c r="O15" s="242">
        <f t="shared" si="4"/>
        <v>0</v>
      </c>
      <c r="P15" s="430"/>
      <c r="Q15" s="224"/>
      <c r="R15" s="242">
        <f t="shared" si="5"/>
        <v>0</v>
      </c>
      <c r="S15" s="430"/>
      <c r="T15" s="224">
        <f t="shared" si="6"/>
        <v>0</v>
      </c>
      <c r="U15" s="242">
        <f t="shared" si="6"/>
        <v>0</v>
      </c>
      <c r="V15" s="402"/>
      <c r="W15" s="79"/>
      <c r="X15" s="79"/>
      <c r="Y15" s="79"/>
      <c r="Z15" s="79"/>
      <c r="AA15" s="79"/>
      <c r="AB15" s="79"/>
      <c r="AL15" s="169">
        <f>IF(AU15=0,0,IFERROR(INDEX(RanglisteST6!K:K,MATCH(AU15,RanglisteST6!A:A,0)),0))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>
      <c r="B19" s="231" t="s">
        <v>1790</v>
      </c>
      <c r="C19" s="210"/>
      <c r="D19" s="42"/>
      <c r="E19" s="434">
        <f>VLOOKUP($B2,Schlüssel!$A$5:$EK$12,103)</f>
        <v>2</v>
      </c>
      <c r="F19" s="435"/>
      <c r="G19" s="436"/>
      <c r="H19" s="434">
        <f>VLOOKUP($B2,Schlüssel!$A$5:$EK$12,104)</f>
        <v>3</v>
      </c>
      <c r="I19" s="435"/>
      <c r="J19" s="436"/>
      <c r="K19" s="434">
        <f>VLOOKUP($B2,Schlüssel!$A$5:$EK$12,105)</f>
        <v>8</v>
      </c>
      <c r="L19" s="435"/>
      <c r="M19" s="436"/>
      <c r="N19" s="434">
        <f>VLOOKUP($B2,Schlüssel!$A$5:$EK$12,106)</f>
        <v>7</v>
      </c>
      <c r="O19" s="435"/>
      <c r="P19" s="436"/>
      <c r="Q19" s="434">
        <f>VLOOKUP($B2,Schlüssel!$A$5:$EK$12,107)</f>
        <v>4</v>
      </c>
      <c r="R19" s="435"/>
      <c r="S19" s="436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>
      <c r="B20" s="3" t="s">
        <v>9</v>
      </c>
      <c r="C20" s="1"/>
      <c r="D20" s="1"/>
      <c r="E20" s="395" t="str">
        <f>VLOOKUP(E19,Schlüssel!$A$5:$K$12,2)</f>
        <v>Highroller Rosenheim 1</v>
      </c>
      <c r="F20" s="438"/>
      <c r="G20" s="396"/>
      <c r="H20" s="395" t="str">
        <f>VLOOKUP(H19,Schlüssel!$A$5:$K$12,2)</f>
        <v>Highroller Rosenheim 2</v>
      </c>
      <c r="I20" s="438"/>
      <c r="J20" s="396"/>
      <c r="K20" s="395" t="str">
        <f>VLOOKUP(K19,Schlüssel!$A$5:$K$12,2)</f>
        <v>EMAX 1</v>
      </c>
      <c r="L20" s="438"/>
      <c r="M20" s="396"/>
      <c r="N20" s="395" t="str">
        <f>VLOOKUP(N19,Schlüssel!$A$5:$K$12,2)</f>
        <v>BK München 1</v>
      </c>
      <c r="O20" s="438"/>
      <c r="P20" s="396"/>
      <c r="Q20" s="395" t="str">
        <f>VLOOKUP(Q19,Schlüssel!$A$5:$K$12,2)</f>
        <v>Highroller Rosenheim 3</v>
      </c>
      <c r="R20" s="438"/>
      <c r="S20" s="396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" customHeight="1">
      <c r="B22" s="417" t="s">
        <v>2275</v>
      </c>
      <c r="C22" s="418"/>
      <c r="D22" s="419"/>
      <c r="E22" s="431">
        <f>ABS(INDEX(F:F,MATCH(E19,$B:$B,0)+5)+INDEX(F:F,MATCH(E19,$B:$B,0)+6)+INDEX(F:F,MATCH(E19,$B:$B,0)+7))</f>
        <v>0</v>
      </c>
      <c r="F22" s="432"/>
      <c r="G22" s="433"/>
      <c r="H22" s="431">
        <f>ABS(INDEX(I:I,MATCH(H19,$B:$B,0)+5)+INDEX(I:I,MATCH(H19,$B:$B,0)+6)+INDEX(I:I,MATCH(H19,$B:$B,0)+7))</f>
        <v>0</v>
      </c>
      <c r="I22" s="432"/>
      <c r="J22" s="433"/>
      <c r="K22" s="431">
        <f>ABS(INDEX(L:L,MATCH(K19,$B:$B,0)+5)+INDEX(L:L,MATCH(K19,$B:$B,0)+6)+INDEX(L:L,MATCH(K19,$B:$B,0)+7))</f>
        <v>0</v>
      </c>
      <c r="L22" s="432"/>
      <c r="M22" s="433"/>
      <c r="N22" s="431">
        <f>ABS(INDEX(O:O,MATCH(N19,$B:$B,0)+5)+INDEX(O:O,MATCH(N19,$B:$B,0)+6)+INDEX(O:O,MATCH(N19,$B:$B,0)+7))</f>
        <v>0</v>
      </c>
      <c r="O22" s="432"/>
      <c r="P22" s="433"/>
      <c r="Q22" s="431">
        <f>ABS(INDEX(R:R,MATCH(Q19,$B:$B,0)+5)+INDEX(R:R,MATCH(Q19,$B:$B,0)+6)+INDEX(R:R,MATCH(Q19,$B:$B,0)+7))</f>
        <v>0</v>
      </c>
      <c r="R22" s="432"/>
      <c r="S22" s="433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" customHeight="1">
      <c r="B23" s="417" t="s">
        <v>2276</v>
      </c>
      <c r="C23" s="418"/>
      <c r="D23" s="419"/>
      <c r="E23" s="424">
        <f>ABS(INDEX(F:F,MATCH(E19,$B:$B,0)+8)+INDEX(F:F,MATCH(E19,$B:$B,0)+9)+INDEX(F:F,MATCH(E19,$B:$B,0)+10))</f>
        <v>0</v>
      </c>
      <c r="F23" s="425"/>
      <c r="G23" s="426"/>
      <c r="H23" s="424">
        <f>ABS(INDEX(I:I,MATCH(H19,$B:$B,0)+8)+INDEX(I:I,MATCH(H19,$B:$B,0)+9)+INDEX(I:I,MATCH(H19,$B:$B,0)+10))</f>
        <v>0</v>
      </c>
      <c r="I23" s="425"/>
      <c r="J23" s="426"/>
      <c r="K23" s="424">
        <f>ABS(INDEX(L:L,MATCH(K19,$B:$B,0)+8)+INDEX(L:L,MATCH(K19,$B:$B,0)+9)+INDEX(L:L,MATCH(K19,$B:$B,0)+10))</f>
        <v>0</v>
      </c>
      <c r="L23" s="425"/>
      <c r="M23" s="426"/>
      <c r="N23" s="424">
        <f>ABS(INDEX(O:O,MATCH(N19,$B:$B,0)+8)+INDEX(O:O,MATCH(N19,$B:$B,0)+9)+INDEX(O:O,MATCH(N19,$B:$B,0)+10))</f>
        <v>0</v>
      </c>
      <c r="O23" s="425"/>
      <c r="P23" s="426"/>
      <c r="Q23" s="424">
        <f>ABS(INDEX(R:R,MATCH(Q19,$B:$B,0)+8)+INDEX(R:R,MATCH(Q19,$B:$B,0)+9)+INDEX(R:R,MATCH(Q19,$B:$B,0)+10))</f>
        <v>0</v>
      </c>
      <c r="R23" s="425"/>
      <c r="S23" s="426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" customHeight="1">
      <c r="B24" s="417" t="s">
        <v>2277</v>
      </c>
      <c r="C24" s="418"/>
      <c r="D24" s="419"/>
      <c r="E24" s="424">
        <f>ABS(INDEX(F:F,MATCH(E19,$B:$B,0)+11)+INDEX(F:F,MATCH(E19,$B:$B,0)+12)+INDEX(F:F,MATCH(E19,$B:$B,0)+13))</f>
        <v>0</v>
      </c>
      <c r="F24" s="425"/>
      <c r="G24" s="426"/>
      <c r="H24" s="424">
        <f>ABS(INDEX(I:I,MATCH(H19,$B:$B,0)+11)+INDEX(I:I,MATCH(H19,$B:$B,0)+12)+INDEX(I:I,MATCH(H19,$B:$B,0)+13))</f>
        <v>0</v>
      </c>
      <c r="I24" s="425"/>
      <c r="J24" s="426"/>
      <c r="K24" s="424">
        <f>ABS(INDEX(L:L,MATCH(K19,$B:$B,0)+11)+INDEX(L:L,MATCH(K19,$B:$B,0)+12)+INDEX(L:L,MATCH(K19,$B:$B,0)+13))</f>
        <v>0</v>
      </c>
      <c r="L24" s="425"/>
      <c r="M24" s="426"/>
      <c r="N24" s="424">
        <f>ABS(INDEX(O:O,MATCH(N19,$B:$B,0)+11)+INDEX(O:O,MATCH(N19,$B:$B,0)+12)+INDEX(O:O,MATCH(N19,$B:$B,0)+13))</f>
        <v>0</v>
      </c>
      <c r="O24" s="425"/>
      <c r="P24" s="426"/>
      <c r="Q24" s="424">
        <f>ABS(INDEX(R:R,MATCH(Q19,$B:$B,0)+11)+INDEX(R:R,MATCH(Q19,$B:$B,0)+12)+INDEX(R:R,MATCH(Q19,$B:$B,0)+13))</f>
        <v>0</v>
      </c>
      <c r="R24" s="425"/>
      <c r="S24" s="426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" customHeight="1">
      <c r="B25" s="420" t="s">
        <v>2278</v>
      </c>
      <c r="C25" s="421"/>
      <c r="D25" s="422"/>
      <c r="E25" s="407">
        <f>SUM(E22:E24)</f>
        <v>0</v>
      </c>
      <c r="F25" s="423"/>
      <c r="G25" s="408"/>
      <c r="H25" s="407">
        <f>SUM(H22:H24)</f>
        <v>0</v>
      </c>
      <c r="I25" s="423"/>
      <c r="J25" s="408"/>
      <c r="K25" s="407">
        <f>SUM(K22:K24)</f>
        <v>0</v>
      </c>
      <c r="L25" s="423"/>
      <c r="M25" s="408"/>
      <c r="N25" s="407">
        <f>SUM(N22:N24)</f>
        <v>0</v>
      </c>
      <c r="O25" s="423"/>
      <c r="P25" s="408"/>
      <c r="Q25" s="407">
        <f>SUM(Q22:Q24)</f>
        <v>0</v>
      </c>
      <c r="R25" s="423"/>
      <c r="S25" s="408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>
      <c r="A27" s="255"/>
      <c r="B27" s="7" t="s">
        <v>1802</v>
      </c>
      <c r="C27" s="24"/>
      <c r="D27" s="24"/>
      <c r="E27" s="35" t="s">
        <v>1786</v>
      </c>
      <c r="F27" s="35"/>
      <c r="G27" s="427" t="str">
        <f>Schlüssel!$C$1</f>
        <v>Landesliga Jugend</v>
      </c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06">
        <f>Schlüssel!$DI$1</f>
        <v>45808</v>
      </c>
      <c r="T27" s="406"/>
      <c r="U27" s="406"/>
      <c r="V27" s="406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>
      <c r="A28" s="53"/>
      <c r="B28" s="54">
        <v>2</v>
      </c>
      <c r="E28" s="35" t="s">
        <v>1787</v>
      </c>
      <c r="F28" s="35"/>
      <c r="G28" s="413" t="str">
        <f>Schlüssel!$CY$2</f>
        <v>Rosenheim In(n) Bowling</v>
      </c>
      <c r="H28" s="413"/>
      <c r="I28" s="413"/>
      <c r="J28" s="413"/>
      <c r="K28" s="413"/>
      <c r="L28" s="413"/>
      <c r="M28" s="413"/>
      <c r="N28" s="413"/>
      <c r="O28" s="413"/>
      <c r="P28" s="66"/>
      <c r="Q28" s="411" t="s">
        <v>1785</v>
      </c>
      <c r="R28" s="412"/>
      <c r="S28" s="38">
        <v>6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>
      <c r="B29" s="414" t="str">
        <f>VLOOKUP(B28,Schlüssel!$A$5:$B$12,2)</f>
        <v>Highroller Rosenheim 1</v>
      </c>
      <c r="C29" s="415"/>
      <c r="D29" s="415"/>
      <c r="E29" s="415"/>
      <c r="F29" s="415"/>
      <c r="G29" s="416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3.8" hidden="1" thickBot="1">
      <c r="A30" s="6"/>
      <c r="B30" s="7"/>
      <c r="C30" s="43"/>
      <c r="D30" s="43"/>
      <c r="E30" s="162" t="s">
        <v>10</v>
      </c>
      <c r="F30" s="220"/>
      <c r="G30" s="159">
        <f>VLOOKUP(B28,Schlüssel!$A$5:$EK$12,113)</f>
        <v>15</v>
      </c>
      <c r="H30" s="161" t="s">
        <v>10</v>
      </c>
      <c r="I30" s="220"/>
      <c r="J30" s="159">
        <f>VLOOKUP(B28,Schlüssel!$A$5:$EK$12,114)</f>
        <v>14</v>
      </c>
      <c r="K30" s="161" t="s">
        <v>10</v>
      </c>
      <c r="L30" s="220"/>
      <c r="M30" s="159">
        <f>VLOOKUP(B28,Schlüssel!$A$5:$EK$12,115)</f>
        <v>12</v>
      </c>
      <c r="N30" s="161" t="s">
        <v>10</v>
      </c>
      <c r="O30" s="220"/>
      <c r="P30" s="159">
        <f>VLOOKUP(B28,Schlüssel!$A$5:$EK$12,116)</f>
        <v>17</v>
      </c>
      <c r="Q30" s="161" t="s">
        <v>10</v>
      </c>
      <c r="R30" s="220"/>
      <c r="S30" s="160">
        <f>VLOOKUP(B28,Schlüssel!$A$5:$EK$12,117)</f>
        <v>12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>
      <c r="B31" s="44" t="s">
        <v>1</v>
      </c>
      <c r="C31" s="208"/>
      <c r="D31" s="217"/>
      <c r="E31" s="423" t="s">
        <v>1793</v>
      </c>
      <c r="F31" s="423"/>
      <c r="G31" s="408"/>
      <c r="H31" s="407" t="s">
        <v>1794</v>
      </c>
      <c r="I31" s="423"/>
      <c r="J31" s="408"/>
      <c r="K31" s="407" t="s">
        <v>1795</v>
      </c>
      <c r="L31" s="423"/>
      <c r="M31" s="408"/>
      <c r="N31" s="407" t="s">
        <v>1796</v>
      </c>
      <c r="O31" s="423"/>
      <c r="P31" s="408"/>
      <c r="Q31" s="407" t="s">
        <v>1797</v>
      </c>
      <c r="R31" s="423"/>
      <c r="S31" s="437"/>
      <c r="T31" s="439" t="s">
        <v>1792</v>
      </c>
      <c r="U31" s="440"/>
      <c r="V31" s="410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6.95" customHeight="1">
      <c r="A33" s="403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8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8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8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8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8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400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IF(AU33=0,0,IFERROR(INDEX(RanglisteST6!K:K,MATCH(AU33,RanglisteST6!A:A,0)),0))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6.95" customHeight="1">
      <c r="A34" s="404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9"/>
      <c r="H34" s="222"/>
      <c r="I34" s="241">
        <f t="shared" si="26"/>
        <v>0</v>
      </c>
      <c r="J34" s="429"/>
      <c r="K34" s="222"/>
      <c r="L34" s="241">
        <f t="shared" si="27"/>
        <v>0</v>
      </c>
      <c r="M34" s="429"/>
      <c r="N34" s="222"/>
      <c r="O34" s="241">
        <f t="shared" si="28"/>
        <v>0</v>
      </c>
      <c r="P34" s="429"/>
      <c r="Q34" s="222"/>
      <c r="R34" s="241">
        <f t="shared" si="29"/>
        <v>0</v>
      </c>
      <c r="S34" s="429"/>
      <c r="T34" s="222">
        <f t="shared" si="30"/>
        <v>0</v>
      </c>
      <c r="U34" s="241">
        <f t="shared" si="30"/>
        <v>0</v>
      </c>
      <c r="V34" s="401"/>
      <c r="W34" s="79"/>
      <c r="X34" s="79"/>
      <c r="Y34" s="79"/>
      <c r="Z34" s="79"/>
      <c r="AA34" s="79"/>
      <c r="AB34" s="79"/>
      <c r="AL34" s="169">
        <f>IF(AU34=0,0,IFERROR(INDEX(RanglisteST6!K:K,MATCH(AU34,RanglisteST6!A:A,0)),0))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6.95" customHeight="1" thickBot="1">
      <c r="A35" s="405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30"/>
      <c r="H35" s="224"/>
      <c r="I35" s="242">
        <f t="shared" si="26"/>
        <v>0</v>
      </c>
      <c r="J35" s="430"/>
      <c r="K35" s="224"/>
      <c r="L35" s="242">
        <f t="shared" si="27"/>
        <v>0</v>
      </c>
      <c r="M35" s="430"/>
      <c r="N35" s="224"/>
      <c r="O35" s="242">
        <f t="shared" si="28"/>
        <v>0</v>
      </c>
      <c r="P35" s="430"/>
      <c r="Q35" s="224"/>
      <c r="R35" s="242">
        <f t="shared" si="29"/>
        <v>0</v>
      </c>
      <c r="S35" s="430"/>
      <c r="T35" s="224">
        <f t="shared" si="30"/>
        <v>0</v>
      </c>
      <c r="U35" s="242">
        <f t="shared" si="30"/>
        <v>0</v>
      </c>
      <c r="V35" s="402"/>
      <c r="W35" s="79"/>
      <c r="X35" s="79"/>
      <c r="Y35" s="79"/>
      <c r="Z35" s="79"/>
      <c r="AA35" s="79"/>
      <c r="AB35" s="79"/>
      <c r="AL35" s="169">
        <f>IF(AU35=0,0,IFERROR(INDEX(RanglisteST6!K:K,MATCH(AU35,RanglisteST6!A:A,0)),0))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6.95" customHeight="1">
      <c r="A36" s="403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8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8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8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8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8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400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IF(AU36=0,0,IFERROR(INDEX(RanglisteST6!K:K,MATCH(AU36,RanglisteST6!A:A,0)),0))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6.95" customHeight="1">
      <c r="A37" s="404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9"/>
      <c r="H37" s="222"/>
      <c r="I37" s="241">
        <f t="shared" si="26"/>
        <v>0</v>
      </c>
      <c r="J37" s="429"/>
      <c r="K37" s="222"/>
      <c r="L37" s="241">
        <f t="shared" si="27"/>
        <v>0</v>
      </c>
      <c r="M37" s="429"/>
      <c r="N37" s="222"/>
      <c r="O37" s="241">
        <f t="shared" si="28"/>
        <v>0</v>
      </c>
      <c r="P37" s="429"/>
      <c r="Q37" s="222"/>
      <c r="R37" s="241">
        <f t="shared" si="29"/>
        <v>0</v>
      </c>
      <c r="S37" s="429"/>
      <c r="T37" s="222">
        <f t="shared" si="30"/>
        <v>0</v>
      </c>
      <c r="U37" s="241">
        <f t="shared" si="30"/>
        <v>0</v>
      </c>
      <c r="V37" s="401"/>
      <c r="W37" s="79"/>
      <c r="X37" s="79"/>
      <c r="Y37" s="79"/>
      <c r="Z37" s="79"/>
      <c r="AA37" s="79"/>
      <c r="AB37" s="79"/>
      <c r="AL37" s="169">
        <f>IF(AU37=0,0,IFERROR(INDEX(RanglisteST6!K:K,MATCH(AU37,RanglisteST6!A:A,0)),0))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6.95" customHeight="1" thickBot="1">
      <c r="A38" s="405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30"/>
      <c r="H38" s="224"/>
      <c r="I38" s="242">
        <f t="shared" si="26"/>
        <v>0</v>
      </c>
      <c r="J38" s="430"/>
      <c r="K38" s="224"/>
      <c r="L38" s="242">
        <f t="shared" si="27"/>
        <v>0</v>
      </c>
      <c r="M38" s="430"/>
      <c r="N38" s="224"/>
      <c r="O38" s="242">
        <f t="shared" si="28"/>
        <v>0</v>
      </c>
      <c r="P38" s="430"/>
      <c r="Q38" s="224"/>
      <c r="R38" s="242">
        <f t="shared" si="29"/>
        <v>0</v>
      </c>
      <c r="S38" s="430"/>
      <c r="T38" s="224">
        <f t="shared" si="30"/>
        <v>0</v>
      </c>
      <c r="U38" s="242">
        <f t="shared" si="30"/>
        <v>0</v>
      </c>
      <c r="V38" s="402"/>
      <c r="W38" s="79"/>
      <c r="X38" s="79"/>
      <c r="Y38" s="79"/>
      <c r="Z38" s="79"/>
      <c r="AA38" s="79"/>
      <c r="AB38" s="79"/>
      <c r="AL38" s="169">
        <f>IF(AU38=0,0,IFERROR(INDEX(RanglisteST6!K:K,MATCH(AU38,RanglisteST6!A:A,0)),0))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6.95" customHeight="1">
      <c r="A39" s="403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8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8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8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8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8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400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IF(AU39=0,0,IFERROR(INDEX(RanglisteST6!K:K,MATCH(AU39,RanglisteST6!A:A,0)),0))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6.95" customHeight="1">
      <c r="A40" s="404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9"/>
      <c r="H40" s="222"/>
      <c r="I40" s="241">
        <f t="shared" si="26"/>
        <v>0</v>
      </c>
      <c r="J40" s="429"/>
      <c r="K40" s="222"/>
      <c r="L40" s="241">
        <f t="shared" si="27"/>
        <v>0</v>
      </c>
      <c r="M40" s="429"/>
      <c r="N40" s="222"/>
      <c r="O40" s="241">
        <f t="shared" si="28"/>
        <v>0</v>
      </c>
      <c r="P40" s="429"/>
      <c r="Q40" s="222"/>
      <c r="R40" s="241">
        <f t="shared" si="29"/>
        <v>0</v>
      </c>
      <c r="S40" s="429"/>
      <c r="T40" s="222">
        <f t="shared" si="30"/>
        <v>0</v>
      </c>
      <c r="U40" s="241">
        <f t="shared" si="30"/>
        <v>0</v>
      </c>
      <c r="V40" s="401"/>
      <c r="W40" s="79"/>
      <c r="X40" s="79"/>
      <c r="Y40" s="79"/>
      <c r="Z40" s="79"/>
      <c r="AA40" s="79"/>
      <c r="AB40" s="79"/>
      <c r="AL40" s="169">
        <f>IF(AU40=0,0,IFERROR(INDEX(RanglisteST6!K:K,MATCH(AU40,RanglisteST6!A:A,0)),0))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6.95" customHeight="1" thickBot="1">
      <c r="A41" s="405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30"/>
      <c r="H41" s="224"/>
      <c r="I41" s="242">
        <f t="shared" si="26"/>
        <v>0</v>
      </c>
      <c r="J41" s="430"/>
      <c r="K41" s="224"/>
      <c r="L41" s="242">
        <f t="shared" si="27"/>
        <v>0</v>
      </c>
      <c r="M41" s="430"/>
      <c r="N41" s="224"/>
      <c r="O41" s="242">
        <f t="shared" si="28"/>
        <v>0</v>
      </c>
      <c r="P41" s="430"/>
      <c r="Q41" s="224"/>
      <c r="R41" s="242">
        <f t="shared" si="29"/>
        <v>0</v>
      </c>
      <c r="S41" s="430"/>
      <c r="T41" s="224">
        <f t="shared" si="30"/>
        <v>0</v>
      </c>
      <c r="U41" s="242">
        <f t="shared" si="30"/>
        <v>0</v>
      </c>
      <c r="V41" s="402"/>
      <c r="W41" s="79"/>
      <c r="X41" s="79"/>
      <c r="Y41" s="79"/>
      <c r="Z41" s="79"/>
      <c r="AA41" s="79"/>
      <c r="AB41" s="79"/>
      <c r="AL41" s="169">
        <f>IF(AU41=0,0,IFERROR(INDEX(RanglisteST6!K:K,MATCH(AU41,RanglisteST6!A:A,0)),0))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>
      <c r="B45" s="231" t="s">
        <v>1790</v>
      </c>
      <c r="C45" s="210"/>
      <c r="D45" s="42"/>
      <c r="E45" s="434">
        <f>VLOOKUP($B28,Schlüssel!$A$5:$EK$12,103)</f>
        <v>1</v>
      </c>
      <c r="F45" s="435"/>
      <c r="G45" s="436"/>
      <c r="H45" s="434">
        <f>VLOOKUP($B28,Schlüssel!$A$5:$EK$12,104)</f>
        <v>4</v>
      </c>
      <c r="I45" s="435"/>
      <c r="J45" s="436"/>
      <c r="K45" s="434">
        <f>VLOOKUP($B28,Schlüssel!$A$5:$EK$12,105)</f>
        <v>6</v>
      </c>
      <c r="L45" s="435"/>
      <c r="M45" s="436"/>
      <c r="N45" s="434">
        <f>VLOOKUP($B28,Schlüssel!$A$5:$EK$12,106)</f>
        <v>5</v>
      </c>
      <c r="O45" s="435"/>
      <c r="P45" s="436"/>
      <c r="Q45" s="434">
        <f>VLOOKUP($B28,Schlüssel!$A$5:$EK$12,107)</f>
        <v>3</v>
      </c>
      <c r="R45" s="435"/>
      <c r="S45" s="436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>
      <c r="B46" s="3" t="s">
        <v>9</v>
      </c>
      <c r="C46" s="1"/>
      <c r="D46" s="1"/>
      <c r="E46" s="395" t="str">
        <f>VLOOKUP(E45,Schlüssel!$A$5:$K$12,2)</f>
        <v>Bad Tölz 1</v>
      </c>
      <c r="F46" s="438"/>
      <c r="G46" s="396"/>
      <c r="H46" s="395" t="str">
        <f>VLOOKUP(H45,Schlüssel!$A$5:$K$12,2)</f>
        <v>Highroller Rosenheim 3</v>
      </c>
      <c r="I46" s="438"/>
      <c r="J46" s="396"/>
      <c r="K46" s="395" t="str">
        <f>VLOOKUP(K45,Schlüssel!$A$5:$K$12,2)</f>
        <v>Bowling Jugend Bayern 1</v>
      </c>
      <c r="L46" s="438"/>
      <c r="M46" s="396"/>
      <c r="N46" s="395" t="str">
        <f>VLOOKUP(N45,Schlüssel!$A$5:$K$12,2)</f>
        <v>Berchtesgaden 1</v>
      </c>
      <c r="O46" s="438"/>
      <c r="P46" s="396"/>
      <c r="Q46" s="395" t="str">
        <f>VLOOKUP(Q45,Schlüssel!$A$5:$K$12,2)</f>
        <v>Highroller Rosenheim 2</v>
      </c>
      <c r="R46" s="438"/>
      <c r="S46" s="396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" customHeight="1">
      <c r="B48" s="417" t="s">
        <v>2275</v>
      </c>
      <c r="C48" s="418"/>
      <c r="D48" s="419"/>
      <c r="E48" s="431">
        <f>ABS(INDEX(F:F,MATCH(E45,$B:$B,0)+5)+INDEX(F:F,MATCH(E45,$B:$B,0)+6)+INDEX(F:F,MATCH(E45,$B:$B,0)+7))</f>
        <v>0</v>
      </c>
      <c r="F48" s="432"/>
      <c r="G48" s="433"/>
      <c r="H48" s="431">
        <f>ABS(INDEX(I:I,MATCH(H45,$B:$B,0)+5)+INDEX(I:I,MATCH(H45,$B:$B,0)+6)+INDEX(I:I,MATCH(H45,$B:$B,0)+7))</f>
        <v>0</v>
      </c>
      <c r="I48" s="432"/>
      <c r="J48" s="433"/>
      <c r="K48" s="431">
        <f>ABS(INDEX(L:L,MATCH(K45,$B:$B,0)+5)+INDEX(L:L,MATCH(K45,$B:$B,0)+6)+INDEX(L:L,MATCH(K45,$B:$B,0)+7))</f>
        <v>0</v>
      </c>
      <c r="L48" s="432"/>
      <c r="M48" s="433"/>
      <c r="N48" s="431">
        <f>ABS(INDEX(O:O,MATCH(N45,$B:$B,0)+5)+INDEX(O:O,MATCH(N45,$B:$B,0)+6)+INDEX(O:O,MATCH(N45,$B:$B,0)+7))</f>
        <v>0</v>
      </c>
      <c r="O48" s="432"/>
      <c r="P48" s="433"/>
      <c r="Q48" s="431">
        <f>ABS(INDEX(R:R,MATCH(Q45,$B:$B,0)+5)+INDEX(R:R,MATCH(Q45,$B:$B,0)+6)+INDEX(R:R,MATCH(Q45,$B:$B,0)+7))</f>
        <v>0</v>
      </c>
      <c r="R48" s="432"/>
      <c r="S48" s="433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" customHeight="1">
      <c r="B49" s="417" t="s">
        <v>2276</v>
      </c>
      <c r="C49" s="418"/>
      <c r="D49" s="419"/>
      <c r="E49" s="424">
        <f>ABS(INDEX(F:F,MATCH(E45,$B:$B,0)+8)+INDEX(F:F,MATCH(E45,$B:$B,0)+9)+INDEX(F:F,MATCH(E45,$B:$B,0)+10))</f>
        <v>0</v>
      </c>
      <c r="F49" s="425"/>
      <c r="G49" s="426"/>
      <c r="H49" s="424">
        <f>ABS(INDEX(I:I,MATCH(H45,$B:$B,0)+8)+INDEX(I:I,MATCH(H45,$B:$B,0)+9)+INDEX(I:I,MATCH(H45,$B:$B,0)+10))</f>
        <v>0</v>
      </c>
      <c r="I49" s="425"/>
      <c r="J49" s="426"/>
      <c r="K49" s="424">
        <f>ABS(INDEX(L:L,MATCH(K45,$B:$B,0)+8)+INDEX(L:L,MATCH(K45,$B:$B,0)+9)+INDEX(L:L,MATCH(K45,$B:$B,0)+10))</f>
        <v>0</v>
      </c>
      <c r="L49" s="425"/>
      <c r="M49" s="426"/>
      <c r="N49" s="424">
        <f>ABS(INDEX(O:O,MATCH(N45,$B:$B,0)+8)+INDEX(O:O,MATCH(N45,$B:$B,0)+9)+INDEX(O:O,MATCH(N45,$B:$B,0)+10))</f>
        <v>0</v>
      </c>
      <c r="O49" s="425"/>
      <c r="P49" s="426"/>
      <c r="Q49" s="424">
        <f>ABS(INDEX(R:R,MATCH(Q45,$B:$B,0)+8)+INDEX(R:R,MATCH(Q45,$B:$B,0)+9)+INDEX(R:R,MATCH(Q45,$B:$B,0)+10))</f>
        <v>0</v>
      </c>
      <c r="R49" s="425"/>
      <c r="S49" s="426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" customHeight="1">
      <c r="B50" s="417" t="s">
        <v>2277</v>
      </c>
      <c r="C50" s="418"/>
      <c r="D50" s="419"/>
      <c r="E50" s="424">
        <f>ABS(INDEX(F:F,MATCH(E45,$B:$B,0)+11)+INDEX(F:F,MATCH(E45,$B:$B,0)+12)+INDEX(F:F,MATCH(E45,$B:$B,0)+13))</f>
        <v>0</v>
      </c>
      <c r="F50" s="425"/>
      <c r="G50" s="426"/>
      <c r="H50" s="424">
        <f>ABS(INDEX(I:I,MATCH(H45,$B:$B,0)+11)+INDEX(I:I,MATCH(H45,$B:$B,0)+12)+INDEX(I:I,MATCH(H45,$B:$B,0)+13))</f>
        <v>0</v>
      </c>
      <c r="I50" s="425"/>
      <c r="J50" s="426"/>
      <c r="K50" s="424">
        <f>ABS(INDEX(L:L,MATCH(K45,$B:$B,0)+11)+INDEX(L:L,MATCH(K45,$B:$B,0)+12)+INDEX(L:L,MATCH(K45,$B:$B,0)+13))</f>
        <v>0</v>
      </c>
      <c r="L50" s="425"/>
      <c r="M50" s="426"/>
      <c r="N50" s="424">
        <f>ABS(INDEX(O:O,MATCH(N45,$B:$B,0)+11)+INDEX(O:O,MATCH(N45,$B:$B,0)+12)+INDEX(O:O,MATCH(N45,$B:$B,0)+13))</f>
        <v>0</v>
      </c>
      <c r="O50" s="425"/>
      <c r="P50" s="426"/>
      <c r="Q50" s="424">
        <f>ABS(INDEX(R:R,MATCH(Q45,$B:$B,0)+11)+INDEX(R:R,MATCH(Q45,$B:$B,0)+12)+INDEX(R:R,MATCH(Q45,$B:$B,0)+13))</f>
        <v>0</v>
      </c>
      <c r="R50" s="425"/>
      <c r="S50" s="426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" customHeight="1">
      <c r="B51" s="420" t="s">
        <v>2278</v>
      </c>
      <c r="C51" s="421"/>
      <c r="D51" s="422"/>
      <c r="E51" s="407">
        <f>SUM(E48:E50)</f>
        <v>0</v>
      </c>
      <c r="F51" s="423"/>
      <c r="G51" s="408"/>
      <c r="H51" s="407">
        <f>SUM(H48:H50)</f>
        <v>0</v>
      </c>
      <c r="I51" s="423"/>
      <c r="J51" s="408"/>
      <c r="K51" s="407">
        <f>SUM(K48:K50)</f>
        <v>0</v>
      </c>
      <c r="L51" s="423"/>
      <c r="M51" s="408"/>
      <c r="N51" s="407">
        <f>SUM(N48:N50)</f>
        <v>0</v>
      </c>
      <c r="O51" s="423"/>
      <c r="P51" s="408"/>
      <c r="Q51" s="407">
        <f>SUM(Q48:Q50)</f>
        <v>0</v>
      </c>
      <c r="R51" s="423"/>
      <c r="S51" s="408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>
      <c r="A53" s="255"/>
      <c r="B53" s="7" t="s">
        <v>1802</v>
      </c>
      <c r="C53" s="24"/>
      <c r="D53" s="24"/>
      <c r="E53" s="35" t="s">
        <v>1786</v>
      </c>
      <c r="F53" s="35"/>
      <c r="G53" s="427" t="str">
        <f>Schlüssel!$C$1</f>
        <v>Landesliga Jugend</v>
      </c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  <c r="S53" s="406">
        <f>Schlüssel!$DI$1</f>
        <v>45808</v>
      </c>
      <c r="T53" s="406"/>
      <c r="U53" s="406"/>
      <c r="V53" s="406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>
      <c r="A54" s="53"/>
      <c r="B54" s="54">
        <v>3</v>
      </c>
      <c r="E54" s="35" t="s">
        <v>1787</v>
      </c>
      <c r="F54" s="35"/>
      <c r="G54" s="413" t="str">
        <f>Schlüssel!$CY$2</f>
        <v>Rosenheim In(n) Bowling</v>
      </c>
      <c r="H54" s="413"/>
      <c r="I54" s="413"/>
      <c r="J54" s="413"/>
      <c r="K54" s="413"/>
      <c r="L54" s="413"/>
      <c r="M54" s="413"/>
      <c r="N54" s="413"/>
      <c r="O54" s="413"/>
      <c r="P54" s="66"/>
      <c r="Q54" s="411" t="s">
        <v>1785</v>
      </c>
      <c r="R54" s="412"/>
      <c r="S54" s="38">
        <v>6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>
      <c r="B55" s="414" t="str">
        <f>VLOOKUP(B54,Schlüssel!$A$5:$B$12,2)</f>
        <v>Highroller Rosenheim 2</v>
      </c>
      <c r="C55" s="415"/>
      <c r="D55" s="415"/>
      <c r="E55" s="415"/>
      <c r="F55" s="415"/>
      <c r="G55" s="416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3.8" hidden="1" thickBot="1">
      <c r="A56" s="6"/>
      <c r="B56" s="7"/>
      <c r="C56" s="43"/>
      <c r="D56" s="43"/>
      <c r="E56" s="162" t="s">
        <v>10</v>
      </c>
      <c r="F56" s="220"/>
      <c r="G56" s="159">
        <f>VLOOKUP(B54,Schlüssel!$A$5:$EK$12,113)</f>
        <v>18</v>
      </c>
      <c r="H56" s="161" t="s">
        <v>10</v>
      </c>
      <c r="I56" s="220"/>
      <c r="J56" s="159">
        <f>VLOOKUP(B54,Schlüssel!$A$5:$EK$12,114)</f>
        <v>11</v>
      </c>
      <c r="K56" s="161" t="s">
        <v>10</v>
      </c>
      <c r="L56" s="220"/>
      <c r="M56" s="159">
        <f>VLOOKUP(B54,Schlüssel!$A$5:$EK$12,115)</f>
        <v>13</v>
      </c>
      <c r="N56" s="161" t="s">
        <v>10</v>
      </c>
      <c r="O56" s="220"/>
      <c r="P56" s="159">
        <f>VLOOKUP(B54,Schlüssel!$A$5:$EK$12,116)</f>
        <v>16</v>
      </c>
      <c r="Q56" s="161" t="s">
        <v>10</v>
      </c>
      <c r="R56" s="220"/>
      <c r="S56" s="160">
        <f>VLOOKUP(B54,Schlüssel!$A$5:$EK$12,117)</f>
        <v>11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>
      <c r="B57" s="44" t="s">
        <v>1</v>
      </c>
      <c r="C57" s="208"/>
      <c r="D57" s="217"/>
      <c r="E57" s="423" t="s">
        <v>1793</v>
      </c>
      <c r="F57" s="423"/>
      <c r="G57" s="408"/>
      <c r="H57" s="407" t="s">
        <v>1794</v>
      </c>
      <c r="I57" s="423"/>
      <c r="J57" s="408"/>
      <c r="K57" s="407" t="s">
        <v>1795</v>
      </c>
      <c r="L57" s="423"/>
      <c r="M57" s="408"/>
      <c r="N57" s="407" t="s">
        <v>1796</v>
      </c>
      <c r="O57" s="423"/>
      <c r="P57" s="408"/>
      <c r="Q57" s="407" t="s">
        <v>1797</v>
      </c>
      <c r="R57" s="423"/>
      <c r="S57" s="437"/>
      <c r="T57" s="439" t="s">
        <v>1792</v>
      </c>
      <c r="U57" s="440"/>
      <c r="V57" s="410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6.95" customHeight="1">
      <c r="A59" s="403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8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8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8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8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8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400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IF(AU59=0,0,IFERROR(INDEX(RanglisteST6!K:K,MATCH(AU59,RanglisteST6!A:A,0)),0))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6.95" customHeight="1">
      <c r="A60" s="404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9"/>
      <c r="H60" s="222"/>
      <c r="I60" s="241">
        <f t="shared" si="50"/>
        <v>0</v>
      </c>
      <c r="J60" s="429"/>
      <c r="K60" s="222"/>
      <c r="L60" s="241">
        <f t="shared" si="51"/>
        <v>0</v>
      </c>
      <c r="M60" s="429"/>
      <c r="N60" s="222"/>
      <c r="O60" s="241">
        <f t="shared" si="52"/>
        <v>0</v>
      </c>
      <c r="P60" s="429"/>
      <c r="Q60" s="222"/>
      <c r="R60" s="241">
        <f t="shared" si="53"/>
        <v>0</v>
      </c>
      <c r="S60" s="429"/>
      <c r="T60" s="222">
        <f t="shared" si="54"/>
        <v>0</v>
      </c>
      <c r="U60" s="241">
        <f t="shared" si="54"/>
        <v>0</v>
      </c>
      <c r="V60" s="401"/>
      <c r="W60" s="79"/>
      <c r="X60" s="79"/>
      <c r="Y60" s="79"/>
      <c r="Z60" s="79"/>
      <c r="AA60" s="79"/>
      <c r="AB60" s="79"/>
      <c r="AL60" s="169">
        <f>IF(AU60=0,0,IFERROR(INDEX(RanglisteST6!K:K,MATCH(AU60,RanglisteST6!A:A,0)),0))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6.95" customHeight="1" thickBot="1">
      <c r="A61" s="405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30"/>
      <c r="H61" s="224"/>
      <c r="I61" s="242">
        <f t="shared" si="50"/>
        <v>0</v>
      </c>
      <c r="J61" s="430"/>
      <c r="K61" s="224"/>
      <c r="L61" s="242">
        <f t="shared" si="51"/>
        <v>0</v>
      </c>
      <c r="M61" s="430"/>
      <c r="N61" s="224"/>
      <c r="O61" s="242">
        <f t="shared" si="52"/>
        <v>0</v>
      </c>
      <c r="P61" s="430"/>
      <c r="Q61" s="224"/>
      <c r="R61" s="242">
        <f t="shared" si="53"/>
        <v>0</v>
      </c>
      <c r="S61" s="430"/>
      <c r="T61" s="224">
        <f t="shared" si="54"/>
        <v>0</v>
      </c>
      <c r="U61" s="242">
        <f t="shared" si="54"/>
        <v>0</v>
      </c>
      <c r="V61" s="402"/>
      <c r="W61" s="79"/>
      <c r="X61" s="79"/>
      <c r="Y61" s="79"/>
      <c r="Z61" s="79"/>
      <c r="AA61" s="79"/>
      <c r="AB61" s="79"/>
      <c r="AL61" s="169">
        <f>IF(AU61=0,0,IFERROR(INDEX(RanglisteST6!K:K,MATCH(AU61,RanglisteST6!A:A,0)),0))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6.95" customHeight="1">
      <c r="A62" s="403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8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8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8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8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8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400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IF(AU62=0,0,IFERROR(INDEX(RanglisteST6!K:K,MATCH(AU62,RanglisteST6!A:A,0)),0))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6.95" customHeight="1">
      <c r="A63" s="404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9"/>
      <c r="H63" s="222"/>
      <c r="I63" s="241">
        <f t="shared" si="50"/>
        <v>0</v>
      </c>
      <c r="J63" s="429"/>
      <c r="K63" s="222"/>
      <c r="L63" s="241">
        <f t="shared" si="51"/>
        <v>0</v>
      </c>
      <c r="M63" s="429"/>
      <c r="N63" s="222"/>
      <c r="O63" s="241">
        <f t="shared" si="52"/>
        <v>0</v>
      </c>
      <c r="P63" s="429"/>
      <c r="Q63" s="222"/>
      <c r="R63" s="241">
        <f t="shared" si="53"/>
        <v>0</v>
      </c>
      <c r="S63" s="429"/>
      <c r="T63" s="222">
        <f t="shared" si="54"/>
        <v>0</v>
      </c>
      <c r="U63" s="241">
        <f t="shared" si="54"/>
        <v>0</v>
      </c>
      <c r="V63" s="401"/>
      <c r="W63" s="79"/>
      <c r="X63" s="79"/>
      <c r="Y63" s="79"/>
      <c r="Z63" s="79"/>
      <c r="AA63" s="79"/>
      <c r="AB63" s="79"/>
      <c r="AL63" s="169">
        <f>IF(AU63=0,0,IFERROR(INDEX(RanglisteST6!K:K,MATCH(AU63,RanglisteST6!A:A,0)),0))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6.95" customHeight="1" thickBot="1">
      <c r="A64" s="405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30"/>
      <c r="H64" s="224"/>
      <c r="I64" s="242">
        <f t="shared" si="50"/>
        <v>0</v>
      </c>
      <c r="J64" s="430"/>
      <c r="K64" s="224"/>
      <c r="L64" s="242">
        <f t="shared" si="51"/>
        <v>0</v>
      </c>
      <c r="M64" s="430"/>
      <c r="N64" s="224"/>
      <c r="O64" s="242">
        <f t="shared" si="52"/>
        <v>0</v>
      </c>
      <c r="P64" s="430"/>
      <c r="Q64" s="224"/>
      <c r="R64" s="242">
        <f t="shared" si="53"/>
        <v>0</v>
      </c>
      <c r="S64" s="430"/>
      <c r="T64" s="224">
        <f t="shared" si="54"/>
        <v>0</v>
      </c>
      <c r="U64" s="242">
        <f t="shared" si="54"/>
        <v>0</v>
      </c>
      <c r="V64" s="402"/>
      <c r="W64" s="79"/>
      <c r="X64" s="79"/>
      <c r="Y64" s="79"/>
      <c r="Z64" s="79"/>
      <c r="AA64" s="79"/>
      <c r="AB64" s="79"/>
      <c r="AL64" s="169">
        <f>IF(AU64=0,0,IFERROR(INDEX(RanglisteST6!K:K,MATCH(AU64,RanglisteST6!A:A,0)),0))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6.95" customHeight="1">
      <c r="A65" s="403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8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8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8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8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8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400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IF(AU65=0,0,IFERROR(INDEX(RanglisteST6!K:K,MATCH(AU65,RanglisteST6!A:A,0)),0))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6.95" customHeight="1">
      <c r="A66" s="404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9"/>
      <c r="H66" s="222"/>
      <c r="I66" s="241">
        <f t="shared" si="50"/>
        <v>0</v>
      </c>
      <c r="J66" s="429"/>
      <c r="K66" s="222"/>
      <c r="L66" s="241">
        <f t="shared" si="51"/>
        <v>0</v>
      </c>
      <c r="M66" s="429"/>
      <c r="N66" s="222"/>
      <c r="O66" s="241">
        <f t="shared" si="52"/>
        <v>0</v>
      </c>
      <c r="P66" s="429"/>
      <c r="Q66" s="222"/>
      <c r="R66" s="241">
        <f t="shared" si="53"/>
        <v>0</v>
      </c>
      <c r="S66" s="429"/>
      <c r="T66" s="222">
        <f t="shared" si="54"/>
        <v>0</v>
      </c>
      <c r="U66" s="241">
        <f t="shared" si="54"/>
        <v>0</v>
      </c>
      <c r="V66" s="401"/>
      <c r="W66" s="79"/>
      <c r="X66" s="79"/>
      <c r="Y66" s="79"/>
      <c r="Z66" s="79"/>
      <c r="AA66" s="79"/>
      <c r="AB66" s="79"/>
      <c r="AL66" s="169">
        <f>IF(AU66=0,0,IFERROR(INDEX(RanglisteST6!K:K,MATCH(AU66,RanglisteST6!A:A,0)),0))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6.95" customHeight="1" thickBot="1">
      <c r="A67" s="405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30"/>
      <c r="H67" s="224"/>
      <c r="I67" s="242">
        <f t="shared" si="50"/>
        <v>0</v>
      </c>
      <c r="J67" s="430"/>
      <c r="K67" s="224"/>
      <c r="L67" s="242">
        <f t="shared" si="51"/>
        <v>0</v>
      </c>
      <c r="M67" s="430"/>
      <c r="N67" s="224"/>
      <c r="O67" s="242">
        <f t="shared" si="52"/>
        <v>0</v>
      </c>
      <c r="P67" s="430"/>
      <c r="Q67" s="224"/>
      <c r="R67" s="242">
        <f t="shared" si="53"/>
        <v>0</v>
      </c>
      <c r="S67" s="430"/>
      <c r="T67" s="224">
        <f t="shared" si="54"/>
        <v>0</v>
      </c>
      <c r="U67" s="242">
        <f t="shared" si="54"/>
        <v>0</v>
      </c>
      <c r="V67" s="402"/>
      <c r="W67" s="79"/>
      <c r="X67" s="79"/>
      <c r="Y67" s="79"/>
      <c r="Z67" s="79"/>
      <c r="AA67" s="79"/>
      <c r="AB67" s="79"/>
      <c r="AL67" s="169">
        <f>IF(AU67=0,0,IFERROR(INDEX(RanglisteST6!K:K,MATCH(AU67,RanglisteST6!A:A,0)),0))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>
      <c r="B71" s="231" t="s">
        <v>1790</v>
      </c>
      <c r="C71" s="210"/>
      <c r="D71" s="42"/>
      <c r="E71" s="434">
        <f>VLOOKUP($B54,Schlüssel!$A$5:$EK$12,103)</f>
        <v>4</v>
      </c>
      <c r="F71" s="435"/>
      <c r="G71" s="436"/>
      <c r="H71" s="434">
        <f>VLOOKUP($B54,Schlüssel!$A$5:$EK$12,104)</f>
        <v>1</v>
      </c>
      <c r="I71" s="435"/>
      <c r="J71" s="436"/>
      <c r="K71" s="434">
        <f>VLOOKUP($B54,Schlüssel!$A$5:$EK$12,105)</f>
        <v>7</v>
      </c>
      <c r="L71" s="435"/>
      <c r="M71" s="436"/>
      <c r="N71" s="434">
        <f>VLOOKUP($B54,Schlüssel!$A$5:$EK$12,106)</f>
        <v>8</v>
      </c>
      <c r="O71" s="435"/>
      <c r="P71" s="436"/>
      <c r="Q71" s="434">
        <f>VLOOKUP($B54,Schlüssel!$A$5:$EK$12,107)</f>
        <v>2</v>
      </c>
      <c r="R71" s="435"/>
      <c r="S71" s="436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>
      <c r="B72" s="3" t="s">
        <v>9</v>
      </c>
      <c r="C72" s="1"/>
      <c r="D72" s="1"/>
      <c r="E72" s="395" t="str">
        <f>VLOOKUP(E71,Schlüssel!$A$5:$K$12,2)</f>
        <v>Highroller Rosenheim 3</v>
      </c>
      <c r="F72" s="438"/>
      <c r="G72" s="396"/>
      <c r="H72" s="395" t="str">
        <f>VLOOKUP(H71,Schlüssel!$A$5:$K$12,2)</f>
        <v>Bad Tölz 1</v>
      </c>
      <c r="I72" s="438"/>
      <c r="J72" s="396"/>
      <c r="K72" s="395" t="str">
        <f>VLOOKUP(K71,Schlüssel!$A$5:$K$12,2)</f>
        <v>BK München 1</v>
      </c>
      <c r="L72" s="438"/>
      <c r="M72" s="396"/>
      <c r="N72" s="395" t="str">
        <f>VLOOKUP(N71,Schlüssel!$A$5:$K$12,2)</f>
        <v>EMAX 1</v>
      </c>
      <c r="O72" s="438"/>
      <c r="P72" s="396"/>
      <c r="Q72" s="395" t="str">
        <f>VLOOKUP(Q71,Schlüssel!$A$5:$K$12,2)</f>
        <v>Highroller Rosenheim 1</v>
      </c>
      <c r="R72" s="438"/>
      <c r="S72" s="396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" customHeight="1">
      <c r="B74" s="417" t="s">
        <v>2275</v>
      </c>
      <c r="C74" s="418"/>
      <c r="D74" s="419"/>
      <c r="E74" s="431">
        <f>ABS(INDEX(F:F,MATCH(E71,$B:$B,0)+5)+INDEX(F:F,MATCH(E71,$B:$B,0)+6)+INDEX(F:F,MATCH(E71,$B:$B,0)+7))</f>
        <v>0</v>
      </c>
      <c r="F74" s="432"/>
      <c r="G74" s="433"/>
      <c r="H74" s="431">
        <f>ABS(INDEX(I:I,MATCH(H71,$B:$B,0)+5)+INDEX(I:I,MATCH(H71,$B:$B,0)+6)+INDEX(I:I,MATCH(H71,$B:$B,0)+7))</f>
        <v>0</v>
      </c>
      <c r="I74" s="432"/>
      <c r="J74" s="433"/>
      <c r="K74" s="431">
        <f>ABS(INDEX(L:L,MATCH(K71,$B:$B,0)+5)+INDEX(L:L,MATCH(K71,$B:$B,0)+6)+INDEX(L:L,MATCH(K71,$B:$B,0)+7))</f>
        <v>0</v>
      </c>
      <c r="L74" s="432"/>
      <c r="M74" s="433"/>
      <c r="N74" s="431">
        <f>ABS(INDEX(O:O,MATCH(N71,$B:$B,0)+5)+INDEX(O:O,MATCH(N71,$B:$B,0)+6)+INDEX(O:O,MATCH(N71,$B:$B,0)+7))</f>
        <v>0</v>
      </c>
      <c r="O74" s="432"/>
      <c r="P74" s="433"/>
      <c r="Q74" s="431">
        <f>ABS(INDEX(R:R,MATCH(Q71,$B:$B,0)+5)+INDEX(R:R,MATCH(Q71,$B:$B,0)+6)+INDEX(R:R,MATCH(Q71,$B:$B,0)+7))</f>
        <v>0</v>
      </c>
      <c r="R74" s="432"/>
      <c r="S74" s="433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" customHeight="1">
      <c r="B75" s="417" t="s">
        <v>2276</v>
      </c>
      <c r="C75" s="418"/>
      <c r="D75" s="419"/>
      <c r="E75" s="424">
        <f>ABS(INDEX(F:F,MATCH(E71,$B:$B,0)+8)+INDEX(F:F,MATCH(E71,$B:$B,0)+9)+INDEX(F:F,MATCH(E71,$B:$B,0)+10))</f>
        <v>0</v>
      </c>
      <c r="F75" s="425"/>
      <c r="G75" s="426"/>
      <c r="H75" s="424">
        <f>ABS(INDEX(I:I,MATCH(H71,$B:$B,0)+8)+INDEX(I:I,MATCH(H71,$B:$B,0)+9)+INDEX(I:I,MATCH(H71,$B:$B,0)+10))</f>
        <v>0</v>
      </c>
      <c r="I75" s="425"/>
      <c r="J75" s="426"/>
      <c r="K75" s="424">
        <f>ABS(INDEX(L:L,MATCH(K71,$B:$B,0)+8)+INDEX(L:L,MATCH(K71,$B:$B,0)+9)+INDEX(L:L,MATCH(K71,$B:$B,0)+10))</f>
        <v>0</v>
      </c>
      <c r="L75" s="425"/>
      <c r="M75" s="426"/>
      <c r="N75" s="424">
        <f>ABS(INDEX(O:O,MATCH(N71,$B:$B,0)+8)+INDEX(O:O,MATCH(N71,$B:$B,0)+9)+INDEX(O:O,MATCH(N71,$B:$B,0)+10))</f>
        <v>0</v>
      </c>
      <c r="O75" s="425"/>
      <c r="P75" s="426"/>
      <c r="Q75" s="424">
        <f>ABS(INDEX(R:R,MATCH(Q71,$B:$B,0)+8)+INDEX(R:R,MATCH(Q71,$B:$B,0)+9)+INDEX(R:R,MATCH(Q71,$B:$B,0)+10))</f>
        <v>0</v>
      </c>
      <c r="R75" s="425"/>
      <c r="S75" s="426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" customHeight="1">
      <c r="B76" s="417" t="s">
        <v>2277</v>
      </c>
      <c r="C76" s="418"/>
      <c r="D76" s="419"/>
      <c r="E76" s="424">
        <f>ABS(INDEX(F:F,MATCH(E71,$B:$B,0)+11)+INDEX(F:F,MATCH(E71,$B:$B,0)+12)+INDEX(F:F,MATCH(E71,$B:$B,0)+13))</f>
        <v>0</v>
      </c>
      <c r="F76" s="425"/>
      <c r="G76" s="426"/>
      <c r="H76" s="424">
        <f>ABS(INDEX(I:I,MATCH(H71,$B:$B,0)+11)+INDEX(I:I,MATCH(H71,$B:$B,0)+12)+INDEX(I:I,MATCH(H71,$B:$B,0)+13))</f>
        <v>0</v>
      </c>
      <c r="I76" s="425"/>
      <c r="J76" s="426"/>
      <c r="K76" s="424">
        <f>ABS(INDEX(L:L,MATCH(K71,$B:$B,0)+11)+INDEX(L:L,MATCH(K71,$B:$B,0)+12)+INDEX(L:L,MATCH(K71,$B:$B,0)+13))</f>
        <v>0</v>
      </c>
      <c r="L76" s="425"/>
      <c r="M76" s="426"/>
      <c r="N76" s="424">
        <f>ABS(INDEX(O:O,MATCH(N71,$B:$B,0)+11)+INDEX(O:O,MATCH(N71,$B:$B,0)+12)+INDEX(O:O,MATCH(N71,$B:$B,0)+13))</f>
        <v>0</v>
      </c>
      <c r="O76" s="425"/>
      <c r="P76" s="426"/>
      <c r="Q76" s="424">
        <f>ABS(INDEX(R:R,MATCH(Q71,$B:$B,0)+11)+INDEX(R:R,MATCH(Q71,$B:$B,0)+12)+INDEX(R:R,MATCH(Q71,$B:$B,0)+13))</f>
        <v>0</v>
      </c>
      <c r="R76" s="425"/>
      <c r="S76" s="426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" customHeight="1">
      <c r="B77" s="420" t="s">
        <v>2278</v>
      </c>
      <c r="C77" s="421"/>
      <c r="D77" s="422"/>
      <c r="E77" s="407">
        <f>SUM(E74:E76)</f>
        <v>0</v>
      </c>
      <c r="F77" s="423"/>
      <c r="G77" s="408"/>
      <c r="H77" s="407">
        <f>SUM(H74:H76)</f>
        <v>0</v>
      </c>
      <c r="I77" s="423"/>
      <c r="J77" s="408"/>
      <c r="K77" s="407">
        <f>SUM(K74:K76)</f>
        <v>0</v>
      </c>
      <c r="L77" s="423"/>
      <c r="M77" s="408"/>
      <c r="N77" s="407">
        <f>SUM(N74:N76)</f>
        <v>0</v>
      </c>
      <c r="O77" s="423"/>
      <c r="P77" s="408"/>
      <c r="Q77" s="407">
        <f>SUM(Q74:Q76)</f>
        <v>0</v>
      </c>
      <c r="R77" s="423"/>
      <c r="S77" s="408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>
      <c r="A79" s="255"/>
      <c r="B79" s="7" t="s">
        <v>1802</v>
      </c>
      <c r="C79" s="24"/>
      <c r="D79" s="24"/>
      <c r="E79" s="35" t="s">
        <v>1786</v>
      </c>
      <c r="F79" s="35"/>
      <c r="G79" s="427" t="str">
        <f>Schlüssel!$C$1</f>
        <v>Landesliga Jugend</v>
      </c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  <c r="S79" s="406">
        <f>Schlüssel!$DI$1</f>
        <v>45808</v>
      </c>
      <c r="T79" s="406"/>
      <c r="U79" s="406"/>
      <c r="V79" s="406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>
      <c r="A80" s="53"/>
      <c r="B80" s="54">
        <v>4</v>
      </c>
      <c r="E80" s="35" t="s">
        <v>1787</v>
      </c>
      <c r="F80" s="35"/>
      <c r="G80" s="413" t="str">
        <f>Schlüssel!$CY$2</f>
        <v>Rosenheim In(n) Bowling</v>
      </c>
      <c r="H80" s="413"/>
      <c r="I80" s="413"/>
      <c r="J80" s="413"/>
      <c r="K80" s="413"/>
      <c r="L80" s="413"/>
      <c r="M80" s="413"/>
      <c r="N80" s="413"/>
      <c r="O80" s="413"/>
      <c r="P80" s="66"/>
      <c r="Q80" s="411" t="s">
        <v>1785</v>
      </c>
      <c r="R80" s="412"/>
      <c r="S80" s="38">
        <v>6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>
      <c r="B81" s="414" t="str">
        <f>VLOOKUP(B80,Schlüssel!$A$5:$B$12,2)</f>
        <v>Highroller Rosenheim 3</v>
      </c>
      <c r="C81" s="415"/>
      <c r="D81" s="415"/>
      <c r="E81" s="415"/>
      <c r="F81" s="415"/>
      <c r="G81" s="416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3.8" hidden="1" thickBot="1">
      <c r="A82" s="6"/>
      <c r="B82" s="7"/>
      <c r="C82" s="43"/>
      <c r="D82" s="43"/>
      <c r="E82" s="162" t="s">
        <v>10</v>
      </c>
      <c r="F82" s="220"/>
      <c r="G82" s="159">
        <f>VLOOKUP(B80,Schlüssel!$A$5:$EK$12,113)</f>
        <v>17</v>
      </c>
      <c r="H82" s="161" t="s">
        <v>10</v>
      </c>
      <c r="I82" s="220"/>
      <c r="J82" s="159">
        <f>VLOOKUP(B80,Schlüssel!$A$5:$EK$12,114)</f>
        <v>13</v>
      </c>
      <c r="K82" s="161" t="s">
        <v>10</v>
      </c>
      <c r="L82" s="220"/>
      <c r="M82" s="159">
        <f>VLOOKUP(B80,Schlüssel!$A$5:$EK$12,115)</f>
        <v>15</v>
      </c>
      <c r="N82" s="161" t="s">
        <v>10</v>
      </c>
      <c r="O82" s="220"/>
      <c r="P82" s="159">
        <f>VLOOKUP(B80,Schlüssel!$A$5:$EK$12,116)</f>
        <v>14</v>
      </c>
      <c r="Q82" s="161" t="s">
        <v>10</v>
      </c>
      <c r="R82" s="220"/>
      <c r="S82" s="160">
        <f>VLOOKUP(B80,Schlüssel!$A$5:$EK$12,117)</f>
        <v>16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>
      <c r="B83" s="44" t="s">
        <v>1</v>
      </c>
      <c r="C83" s="208"/>
      <c r="D83" s="217"/>
      <c r="E83" s="423" t="s">
        <v>1793</v>
      </c>
      <c r="F83" s="423"/>
      <c r="G83" s="408"/>
      <c r="H83" s="407" t="s">
        <v>1794</v>
      </c>
      <c r="I83" s="423"/>
      <c r="J83" s="408"/>
      <c r="K83" s="407" t="s">
        <v>1795</v>
      </c>
      <c r="L83" s="423"/>
      <c r="M83" s="408"/>
      <c r="N83" s="407" t="s">
        <v>1796</v>
      </c>
      <c r="O83" s="423"/>
      <c r="P83" s="408"/>
      <c r="Q83" s="407" t="s">
        <v>1797</v>
      </c>
      <c r="R83" s="423"/>
      <c r="S83" s="437"/>
      <c r="T83" s="439" t="s">
        <v>1792</v>
      </c>
      <c r="U83" s="440"/>
      <c r="V83" s="410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6.95" customHeight="1">
      <c r="A85" s="403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8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8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8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8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8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400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IF(AU85=0,0,IFERROR(INDEX(RanglisteST6!K:K,MATCH(AU85,RanglisteST6!A:A,0)),0))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6.95" customHeight="1">
      <c r="A86" s="404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9"/>
      <c r="H86" s="222"/>
      <c r="I86" s="241">
        <f t="shared" si="74"/>
        <v>0</v>
      </c>
      <c r="J86" s="429"/>
      <c r="K86" s="222"/>
      <c r="L86" s="241">
        <f t="shared" si="75"/>
        <v>0</v>
      </c>
      <c r="M86" s="429"/>
      <c r="N86" s="222"/>
      <c r="O86" s="241">
        <f t="shared" si="76"/>
        <v>0</v>
      </c>
      <c r="P86" s="429"/>
      <c r="Q86" s="222"/>
      <c r="R86" s="241">
        <f t="shared" si="77"/>
        <v>0</v>
      </c>
      <c r="S86" s="429"/>
      <c r="T86" s="222">
        <f t="shared" si="78"/>
        <v>0</v>
      </c>
      <c r="U86" s="241">
        <f t="shared" si="78"/>
        <v>0</v>
      </c>
      <c r="V86" s="401"/>
      <c r="W86" s="79"/>
      <c r="X86" s="79"/>
      <c r="Y86" s="79"/>
      <c r="Z86" s="79"/>
      <c r="AA86" s="79"/>
      <c r="AB86" s="79"/>
      <c r="AL86" s="169">
        <f>IF(AU86=0,0,IFERROR(INDEX(RanglisteST6!K:K,MATCH(AU86,RanglisteST6!A:A,0)),0))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6.95" customHeight="1" thickBot="1">
      <c r="A87" s="405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30"/>
      <c r="H87" s="224"/>
      <c r="I87" s="242">
        <f t="shared" si="74"/>
        <v>0</v>
      </c>
      <c r="J87" s="430"/>
      <c r="K87" s="224"/>
      <c r="L87" s="242">
        <f t="shared" si="75"/>
        <v>0</v>
      </c>
      <c r="M87" s="430"/>
      <c r="N87" s="224"/>
      <c r="O87" s="242">
        <f t="shared" si="76"/>
        <v>0</v>
      </c>
      <c r="P87" s="430"/>
      <c r="Q87" s="224"/>
      <c r="R87" s="242">
        <f t="shared" si="77"/>
        <v>0</v>
      </c>
      <c r="S87" s="430"/>
      <c r="T87" s="224">
        <f t="shared" si="78"/>
        <v>0</v>
      </c>
      <c r="U87" s="242">
        <f t="shared" si="78"/>
        <v>0</v>
      </c>
      <c r="V87" s="402"/>
      <c r="W87" s="79"/>
      <c r="X87" s="79"/>
      <c r="Y87" s="79"/>
      <c r="Z87" s="79"/>
      <c r="AA87" s="79"/>
      <c r="AB87" s="79"/>
      <c r="AL87" s="169">
        <f>IF(AU87=0,0,IFERROR(INDEX(RanglisteST6!K:K,MATCH(AU87,RanglisteST6!A:A,0)),0))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6.95" customHeight="1">
      <c r="A88" s="403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8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8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8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8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8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400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IF(AU88=0,0,IFERROR(INDEX(RanglisteST6!K:K,MATCH(AU88,RanglisteST6!A:A,0)),0))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6.95" customHeight="1">
      <c r="A89" s="404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9"/>
      <c r="H89" s="222"/>
      <c r="I89" s="241">
        <f t="shared" si="74"/>
        <v>0</v>
      </c>
      <c r="J89" s="429"/>
      <c r="K89" s="222"/>
      <c r="L89" s="241">
        <f t="shared" si="75"/>
        <v>0</v>
      </c>
      <c r="M89" s="429"/>
      <c r="N89" s="222"/>
      <c r="O89" s="241">
        <f t="shared" si="76"/>
        <v>0</v>
      </c>
      <c r="P89" s="429"/>
      <c r="Q89" s="222"/>
      <c r="R89" s="241">
        <f t="shared" si="77"/>
        <v>0</v>
      </c>
      <c r="S89" s="429"/>
      <c r="T89" s="222">
        <f t="shared" si="78"/>
        <v>0</v>
      </c>
      <c r="U89" s="241">
        <f t="shared" si="78"/>
        <v>0</v>
      </c>
      <c r="V89" s="401"/>
      <c r="W89" s="79"/>
      <c r="X89" s="79"/>
      <c r="Y89" s="79"/>
      <c r="Z89" s="79"/>
      <c r="AA89" s="79"/>
      <c r="AB89" s="79"/>
      <c r="AL89" s="169">
        <f>IF(AU89=0,0,IFERROR(INDEX(RanglisteST6!K:K,MATCH(AU89,RanglisteST6!A:A,0)),0))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6.95" customHeight="1" thickBot="1">
      <c r="A90" s="405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30"/>
      <c r="H90" s="224"/>
      <c r="I90" s="242">
        <f t="shared" si="74"/>
        <v>0</v>
      </c>
      <c r="J90" s="430"/>
      <c r="K90" s="224"/>
      <c r="L90" s="242">
        <f t="shared" si="75"/>
        <v>0</v>
      </c>
      <c r="M90" s="430"/>
      <c r="N90" s="224"/>
      <c r="O90" s="242">
        <f t="shared" si="76"/>
        <v>0</v>
      </c>
      <c r="P90" s="430"/>
      <c r="Q90" s="224"/>
      <c r="R90" s="242">
        <f t="shared" si="77"/>
        <v>0</v>
      </c>
      <c r="S90" s="430"/>
      <c r="T90" s="224">
        <f t="shared" si="78"/>
        <v>0</v>
      </c>
      <c r="U90" s="242">
        <f t="shared" si="78"/>
        <v>0</v>
      </c>
      <c r="V90" s="402"/>
      <c r="W90" s="79"/>
      <c r="X90" s="79"/>
      <c r="Y90" s="79"/>
      <c r="Z90" s="79"/>
      <c r="AA90" s="79"/>
      <c r="AB90" s="79"/>
      <c r="AL90" s="169">
        <f>IF(AU90=0,0,IFERROR(INDEX(RanglisteST6!K:K,MATCH(AU90,RanglisteST6!A:A,0)),0))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6.95" customHeight="1">
      <c r="A91" s="403" t="s">
        <v>3</v>
      </c>
      <c r="B91" s="58" t="str">
        <f>IF(C91=0,"",VLOOKUP(C91,Starter!$A$1:$D$196,2,FALSE))</f>
        <v/>
      </c>
      <c r="C91" s="235"/>
      <c r="D91" s="238">
        <f t="shared" si="72"/>
        <v>0</v>
      </c>
      <c r="E91" s="221"/>
      <c r="F91" s="240">
        <f t="shared" si="73"/>
        <v>0</v>
      </c>
      <c r="G91" s="428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8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8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8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8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400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IF(AU91=0,0,IFERROR(INDEX(RanglisteST6!K:K,MATCH(AU91,RanglisteST6!A:A,0)),0))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6.95" customHeight="1">
      <c r="A92" s="404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9"/>
      <c r="H92" s="222"/>
      <c r="I92" s="241">
        <f t="shared" si="74"/>
        <v>0</v>
      </c>
      <c r="J92" s="429"/>
      <c r="K92" s="222"/>
      <c r="L92" s="241">
        <f t="shared" si="75"/>
        <v>0</v>
      </c>
      <c r="M92" s="429"/>
      <c r="N92" s="222"/>
      <c r="O92" s="241">
        <f t="shared" si="76"/>
        <v>0</v>
      </c>
      <c r="P92" s="429"/>
      <c r="Q92" s="222"/>
      <c r="R92" s="241">
        <f t="shared" si="77"/>
        <v>0</v>
      </c>
      <c r="S92" s="429"/>
      <c r="T92" s="222">
        <f t="shared" si="78"/>
        <v>0</v>
      </c>
      <c r="U92" s="241">
        <f t="shared" si="78"/>
        <v>0</v>
      </c>
      <c r="V92" s="401"/>
      <c r="W92" s="79"/>
      <c r="X92" s="79"/>
      <c r="Y92" s="79"/>
      <c r="Z92" s="79"/>
      <c r="AA92" s="79"/>
      <c r="AB92" s="79"/>
      <c r="AL92" s="169">
        <f>IF(AU92=0,0,IFERROR(INDEX(RanglisteST6!K:K,MATCH(AU92,RanglisteST6!A:A,0)),0))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6.95" customHeight="1" thickBot="1">
      <c r="A93" s="405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30"/>
      <c r="H93" s="224"/>
      <c r="I93" s="242">
        <f t="shared" si="74"/>
        <v>0</v>
      </c>
      <c r="J93" s="430"/>
      <c r="K93" s="224"/>
      <c r="L93" s="242">
        <f t="shared" si="75"/>
        <v>0</v>
      </c>
      <c r="M93" s="430"/>
      <c r="N93" s="224"/>
      <c r="O93" s="242">
        <f t="shared" si="76"/>
        <v>0</v>
      </c>
      <c r="P93" s="430"/>
      <c r="Q93" s="224"/>
      <c r="R93" s="242">
        <f t="shared" si="77"/>
        <v>0</v>
      </c>
      <c r="S93" s="430"/>
      <c r="T93" s="224">
        <f t="shared" si="78"/>
        <v>0</v>
      </c>
      <c r="U93" s="242">
        <f t="shared" si="78"/>
        <v>0</v>
      </c>
      <c r="V93" s="402"/>
      <c r="W93" s="79"/>
      <c r="X93" s="79"/>
      <c r="Y93" s="79"/>
      <c r="Z93" s="79"/>
      <c r="AA93" s="79"/>
      <c r="AB93" s="79"/>
      <c r="AL93" s="169">
        <f>IF(AU93=0,0,IFERROR(INDEX(RanglisteST6!K:K,MATCH(AU93,RanglisteST6!A:A,0)),0))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>
      <c r="B97" s="231" t="s">
        <v>1790</v>
      </c>
      <c r="C97" s="210"/>
      <c r="D97" s="42"/>
      <c r="E97" s="434">
        <f>VLOOKUP($B80,Schlüssel!$A$5:$EK$12,103)</f>
        <v>3</v>
      </c>
      <c r="F97" s="435"/>
      <c r="G97" s="436"/>
      <c r="H97" s="434">
        <f>VLOOKUP($B80,Schlüssel!$A$5:$EK$12,104)</f>
        <v>2</v>
      </c>
      <c r="I97" s="435"/>
      <c r="J97" s="436"/>
      <c r="K97" s="434">
        <f>VLOOKUP($B80,Schlüssel!$A$5:$EK$12,105)</f>
        <v>5</v>
      </c>
      <c r="L97" s="435"/>
      <c r="M97" s="436"/>
      <c r="N97" s="434">
        <f>VLOOKUP($B80,Schlüssel!$A$5:$EK$12,106)</f>
        <v>6</v>
      </c>
      <c r="O97" s="435"/>
      <c r="P97" s="436"/>
      <c r="Q97" s="434">
        <f>VLOOKUP($B80,Schlüssel!$A$5:$EK$12,107)</f>
        <v>1</v>
      </c>
      <c r="R97" s="435"/>
      <c r="S97" s="436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>
      <c r="B98" s="3" t="s">
        <v>9</v>
      </c>
      <c r="C98" s="1"/>
      <c r="D98" s="1"/>
      <c r="E98" s="395" t="str">
        <f>VLOOKUP(E97,Schlüssel!$A$5:$K$12,2)</f>
        <v>Highroller Rosenheim 2</v>
      </c>
      <c r="F98" s="438"/>
      <c r="G98" s="396"/>
      <c r="H98" s="395" t="str">
        <f>VLOOKUP(H97,Schlüssel!$A$5:$K$12,2)</f>
        <v>Highroller Rosenheim 1</v>
      </c>
      <c r="I98" s="438"/>
      <c r="J98" s="396"/>
      <c r="K98" s="395" t="str">
        <f>VLOOKUP(K97,Schlüssel!$A$5:$K$12,2)</f>
        <v>Berchtesgaden 1</v>
      </c>
      <c r="L98" s="438"/>
      <c r="M98" s="396"/>
      <c r="N98" s="395" t="str">
        <f>VLOOKUP(N97,Schlüssel!$A$5:$K$12,2)</f>
        <v>Bowling Jugend Bayern 1</v>
      </c>
      <c r="O98" s="438"/>
      <c r="P98" s="396"/>
      <c r="Q98" s="395" t="str">
        <f>VLOOKUP(Q97,Schlüssel!$A$5:$K$12,2)</f>
        <v>Bad Tölz 1</v>
      </c>
      <c r="R98" s="438"/>
      <c r="S98" s="396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" customHeight="1">
      <c r="B100" s="417" t="s">
        <v>2275</v>
      </c>
      <c r="C100" s="418"/>
      <c r="D100" s="419"/>
      <c r="E100" s="431">
        <f>ABS(INDEX(F:F,MATCH(E97,$B:$B,0)+5)+INDEX(F:F,MATCH(E97,$B:$B,0)+6)+INDEX(F:F,MATCH(E97,$B:$B,0)+7))</f>
        <v>0</v>
      </c>
      <c r="F100" s="432"/>
      <c r="G100" s="433"/>
      <c r="H100" s="431">
        <f>ABS(INDEX(I:I,MATCH(H97,$B:$B,0)+5)+INDEX(I:I,MATCH(H97,$B:$B,0)+6)+INDEX(I:I,MATCH(H97,$B:$B,0)+7))</f>
        <v>0</v>
      </c>
      <c r="I100" s="432"/>
      <c r="J100" s="433"/>
      <c r="K100" s="431">
        <f>ABS(INDEX(L:L,MATCH(K97,$B:$B,0)+5)+INDEX(L:L,MATCH(K97,$B:$B,0)+6)+INDEX(L:L,MATCH(K97,$B:$B,0)+7))</f>
        <v>0</v>
      </c>
      <c r="L100" s="432"/>
      <c r="M100" s="433"/>
      <c r="N100" s="431">
        <f>ABS(INDEX(O:O,MATCH(N97,$B:$B,0)+5)+INDEX(O:O,MATCH(N97,$B:$B,0)+6)+INDEX(O:O,MATCH(N97,$B:$B,0)+7))</f>
        <v>0</v>
      </c>
      <c r="O100" s="432"/>
      <c r="P100" s="433"/>
      <c r="Q100" s="431">
        <f>ABS(INDEX(R:R,MATCH(Q97,$B:$B,0)+5)+INDEX(R:R,MATCH(Q97,$B:$B,0)+6)+INDEX(R:R,MATCH(Q97,$B:$B,0)+7))</f>
        <v>0</v>
      </c>
      <c r="R100" s="432"/>
      <c r="S100" s="433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" customHeight="1">
      <c r="B101" s="417" t="s">
        <v>2276</v>
      </c>
      <c r="C101" s="418"/>
      <c r="D101" s="419"/>
      <c r="E101" s="424">
        <f>ABS(INDEX(F:F,MATCH(E97,$B:$B,0)+8)+INDEX(F:F,MATCH(E97,$B:$B,0)+9)+INDEX(F:F,MATCH(E97,$B:$B,0)+10))</f>
        <v>0</v>
      </c>
      <c r="F101" s="425"/>
      <c r="G101" s="426"/>
      <c r="H101" s="424">
        <f>ABS(INDEX(I:I,MATCH(H97,$B:$B,0)+8)+INDEX(I:I,MATCH(H97,$B:$B,0)+9)+INDEX(I:I,MATCH(H97,$B:$B,0)+10))</f>
        <v>0</v>
      </c>
      <c r="I101" s="425"/>
      <c r="J101" s="426"/>
      <c r="K101" s="424">
        <f>ABS(INDEX(L:L,MATCH(K97,$B:$B,0)+8)+INDEX(L:L,MATCH(K97,$B:$B,0)+9)+INDEX(L:L,MATCH(K97,$B:$B,0)+10))</f>
        <v>0</v>
      </c>
      <c r="L101" s="425"/>
      <c r="M101" s="426"/>
      <c r="N101" s="424">
        <f>ABS(INDEX(O:O,MATCH(N97,$B:$B,0)+8)+INDEX(O:O,MATCH(N97,$B:$B,0)+9)+INDEX(O:O,MATCH(N97,$B:$B,0)+10))</f>
        <v>0</v>
      </c>
      <c r="O101" s="425"/>
      <c r="P101" s="426"/>
      <c r="Q101" s="424">
        <f>ABS(INDEX(R:R,MATCH(Q97,$B:$B,0)+8)+INDEX(R:R,MATCH(Q97,$B:$B,0)+9)+INDEX(R:R,MATCH(Q97,$B:$B,0)+10))</f>
        <v>0</v>
      </c>
      <c r="R101" s="425"/>
      <c r="S101" s="426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" customHeight="1">
      <c r="B102" s="417" t="s">
        <v>2277</v>
      </c>
      <c r="C102" s="418"/>
      <c r="D102" s="419"/>
      <c r="E102" s="424">
        <f>ABS(INDEX(F:F,MATCH(E97,$B:$B,0)+11)+INDEX(F:F,MATCH(E97,$B:$B,0)+12)+INDEX(F:F,MATCH(E97,$B:$B,0)+13))</f>
        <v>0</v>
      </c>
      <c r="F102" s="425"/>
      <c r="G102" s="426"/>
      <c r="H102" s="424">
        <f>ABS(INDEX(I:I,MATCH(H97,$B:$B,0)+11)+INDEX(I:I,MATCH(H97,$B:$B,0)+12)+INDEX(I:I,MATCH(H97,$B:$B,0)+13))</f>
        <v>0</v>
      </c>
      <c r="I102" s="425"/>
      <c r="J102" s="426"/>
      <c r="K102" s="424">
        <f>ABS(INDEX(L:L,MATCH(K97,$B:$B,0)+11)+INDEX(L:L,MATCH(K97,$B:$B,0)+12)+INDEX(L:L,MATCH(K97,$B:$B,0)+13))</f>
        <v>0</v>
      </c>
      <c r="L102" s="425"/>
      <c r="M102" s="426"/>
      <c r="N102" s="424">
        <f>ABS(INDEX(O:O,MATCH(N97,$B:$B,0)+11)+INDEX(O:O,MATCH(N97,$B:$B,0)+12)+INDEX(O:O,MATCH(N97,$B:$B,0)+13))</f>
        <v>0</v>
      </c>
      <c r="O102" s="425"/>
      <c r="P102" s="426"/>
      <c r="Q102" s="424">
        <f>ABS(INDEX(R:R,MATCH(Q97,$B:$B,0)+11)+INDEX(R:R,MATCH(Q97,$B:$B,0)+12)+INDEX(R:R,MATCH(Q97,$B:$B,0)+13))</f>
        <v>0</v>
      </c>
      <c r="R102" s="425"/>
      <c r="S102" s="426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" customHeight="1">
      <c r="B103" s="420" t="s">
        <v>2278</v>
      </c>
      <c r="C103" s="421"/>
      <c r="D103" s="422"/>
      <c r="E103" s="407">
        <f>SUM(E100:E102)</f>
        <v>0</v>
      </c>
      <c r="F103" s="423"/>
      <c r="G103" s="408"/>
      <c r="H103" s="407">
        <f>SUM(H100:H102)</f>
        <v>0</v>
      </c>
      <c r="I103" s="423"/>
      <c r="J103" s="408"/>
      <c r="K103" s="407">
        <f>SUM(K100:K102)</f>
        <v>0</v>
      </c>
      <c r="L103" s="423"/>
      <c r="M103" s="408"/>
      <c r="N103" s="407">
        <f>SUM(N100:N102)</f>
        <v>0</v>
      </c>
      <c r="O103" s="423"/>
      <c r="P103" s="408"/>
      <c r="Q103" s="407">
        <f>SUM(Q100:Q102)</f>
        <v>0</v>
      </c>
      <c r="R103" s="423"/>
      <c r="S103" s="408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>
      <c r="A105" s="255"/>
      <c r="B105" s="7" t="s">
        <v>1802</v>
      </c>
      <c r="C105" s="24"/>
      <c r="D105" s="24"/>
      <c r="E105" s="35" t="s">
        <v>1786</v>
      </c>
      <c r="F105" s="35"/>
      <c r="G105" s="427" t="str">
        <f>Schlüssel!$C$1</f>
        <v>Landesliga Jugend</v>
      </c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  <c r="S105" s="406">
        <f>Schlüssel!$DI$1</f>
        <v>45808</v>
      </c>
      <c r="T105" s="406"/>
      <c r="U105" s="406"/>
      <c r="V105" s="406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>
      <c r="A106" s="53"/>
      <c r="B106" s="54">
        <v>5</v>
      </c>
      <c r="E106" s="35" t="s">
        <v>1787</v>
      </c>
      <c r="F106" s="35"/>
      <c r="G106" s="413" t="str">
        <f>Schlüssel!$CY$2</f>
        <v>Rosenheim In(n) Bowling</v>
      </c>
      <c r="H106" s="413"/>
      <c r="I106" s="413"/>
      <c r="J106" s="413"/>
      <c r="K106" s="413"/>
      <c r="L106" s="413"/>
      <c r="M106" s="413"/>
      <c r="N106" s="413"/>
      <c r="O106" s="413"/>
      <c r="P106" s="66"/>
      <c r="Q106" s="411" t="s">
        <v>1785</v>
      </c>
      <c r="R106" s="412"/>
      <c r="S106" s="38">
        <v>6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>
      <c r="B107" s="414" t="str">
        <f>VLOOKUP(B106,Schlüssel!$A$5:$B$12,2)</f>
        <v>Berchtesgaden 1</v>
      </c>
      <c r="C107" s="415"/>
      <c r="D107" s="415"/>
      <c r="E107" s="415"/>
      <c r="F107" s="415"/>
      <c r="G107" s="416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3.8" hidden="1" thickBot="1">
      <c r="A108" s="6"/>
      <c r="B108" s="7"/>
      <c r="C108" s="43"/>
      <c r="D108" s="43"/>
      <c r="E108" s="162" t="s">
        <v>10</v>
      </c>
      <c r="F108" s="220"/>
      <c r="G108" s="159">
        <f>VLOOKUP(B106,Schlüssel!$A$5:$EK$12,113)</f>
        <v>14</v>
      </c>
      <c r="H108" s="161" t="s">
        <v>10</v>
      </c>
      <c r="I108" s="220"/>
      <c r="J108" s="159">
        <f>VLOOKUP(B106,Schlüssel!$A$5:$EK$12,114)</f>
        <v>18</v>
      </c>
      <c r="K108" s="161" t="s">
        <v>10</v>
      </c>
      <c r="L108" s="220"/>
      <c r="M108" s="159">
        <f>VLOOKUP(B106,Schlüssel!$A$5:$EK$12,115)</f>
        <v>16</v>
      </c>
      <c r="N108" s="161" t="s">
        <v>10</v>
      </c>
      <c r="O108" s="220"/>
      <c r="P108" s="159">
        <f>VLOOKUP(B106,Schlüssel!$A$5:$EK$12,116)</f>
        <v>18</v>
      </c>
      <c r="Q108" s="161" t="s">
        <v>10</v>
      </c>
      <c r="R108" s="220"/>
      <c r="S108" s="160">
        <f>VLOOKUP(B106,Schlüssel!$A$5:$EK$12,117)</f>
        <v>13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>
      <c r="B109" s="44" t="s">
        <v>1</v>
      </c>
      <c r="C109" s="208"/>
      <c r="D109" s="217"/>
      <c r="E109" s="423" t="s">
        <v>1793</v>
      </c>
      <c r="F109" s="423"/>
      <c r="G109" s="408"/>
      <c r="H109" s="407" t="s">
        <v>1794</v>
      </c>
      <c r="I109" s="423"/>
      <c r="J109" s="408"/>
      <c r="K109" s="407" t="s">
        <v>1795</v>
      </c>
      <c r="L109" s="423"/>
      <c r="M109" s="408"/>
      <c r="N109" s="407" t="s">
        <v>1796</v>
      </c>
      <c r="O109" s="423"/>
      <c r="P109" s="408"/>
      <c r="Q109" s="407" t="s">
        <v>1797</v>
      </c>
      <c r="R109" s="423"/>
      <c r="S109" s="437"/>
      <c r="T109" s="439" t="s">
        <v>1792</v>
      </c>
      <c r="U109" s="440"/>
      <c r="V109" s="410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6.95" customHeight="1">
      <c r="A111" s="403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8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8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8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8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8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400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IF(AU111=0,0,IFERROR(INDEX(RanglisteST6!K:K,MATCH(AU111,RanglisteST6!A:A,0)),0))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6.95" customHeight="1">
      <c r="A112" s="404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9"/>
      <c r="H112" s="222"/>
      <c r="I112" s="241">
        <f t="shared" si="98"/>
        <v>0</v>
      </c>
      <c r="J112" s="429"/>
      <c r="K112" s="222"/>
      <c r="L112" s="241">
        <f t="shared" si="99"/>
        <v>0</v>
      </c>
      <c r="M112" s="429"/>
      <c r="N112" s="222"/>
      <c r="O112" s="241">
        <f t="shared" si="100"/>
        <v>0</v>
      </c>
      <c r="P112" s="429"/>
      <c r="Q112" s="222"/>
      <c r="R112" s="241">
        <f t="shared" si="101"/>
        <v>0</v>
      </c>
      <c r="S112" s="429"/>
      <c r="T112" s="222">
        <f t="shared" si="102"/>
        <v>0</v>
      </c>
      <c r="U112" s="241">
        <f t="shared" si="102"/>
        <v>0</v>
      </c>
      <c r="V112" s="401"/>
      <c r="W112" s="79"/>
      <c r="X112" s="79"/>
      <c r="Y112" s="79"/>
      <c r="Z112" s="79"/>
      <c r="AA112" s="79"/>
      <c r="AB112" s="79"/>
      <c r="AL112" s="169">
        <f>IF(AU112=0,0,IFERROR(INDEX(RanglisteST6!K:K,MATCH(AU112,RanglisteST6!A:A,0)),0))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6.95" customHeight="1" thickBot="1">
      <c r="A113" s="405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30"/>
      <c r="H113" s="224"/>
      <c r="I113" s="242">
        <f t="shared" si="98"/>
        <v>0</v>
      </c>
      <c r="J113" s="430"/>
      <c r="K113" s="224"/>
      <c r="L113" s="242">
        <f t="shared" si="99"/>
        <v>0</v>
      </c>
      <c r="M113" s="430"/>
      <c r="N113" s="224"/>
      <c r="O113" s="242">
        <f t="shared" si="100"/>
        <v>0</v>
      </c>
      <c r="P113" s="430"/>
      <c r="Q113" s="224"/>
      <c r="R113" s="242">
        <f t="shared" si="101"/>
        <v>0</v>
      </c>
      <c r="S113" s="430"/>
      <c r="T113" s="224">
        <f t="shared" si="102"/>
        <v>0</v>
      </c>
      <c r="U113" s="242">
        <f t="shared" si="102"/>
        <v>0</v>
      </c>
      <c r="V113" s="402"/>
      <c r="W113" s="79"/>
      <c r="X113" s="79"/>
      <c r="Y113" s="79"/>
      <c r="Z113" s="79"/>
      <c r="AA113" s="79"/>
      <c r="AB113" s="79"/>
      <c r="AL113" s="169">
        <f>IF(AU113=0,0,IFERROR(INDEX(RanglisteST6!K:K,MATCH(AU113,RanglisteST6!A:A,0)),0))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6.95" customHeight="1">
      <c r="A114" s="403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8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8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8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8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8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400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IF(AU114=0,0,IFERROR(INDEX(RanglisteST6!K:K,MATCH(AU114,RanglisteST6!A:A,0)),0))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6.95" customHeight="1">
      <c r="A115" s="404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9"/>
      <c r="H115" s="222"/>
      <c r="I115" s="241">
        <f t="shared" si="98"/>
        <v>0</v>
      </c>
      <c r="J115" s="429"/>
      <c r="K115" s="222"/>
      <c r="L115" s="241">
        <f t="shared" si="99"/>
        <v>0</v>
      </c>
      <c r="M115" s="429"/>
      <c r="N115" s="222"/>
      <c r="O115" s="241">
        <f t="shared" si="100"/>
        <v>0</v>
      </c>
      <c r="P115" s="429"/>
      <c r="Q115" s="222"/>
      <c r="R115" s="241">
        <f t="shared" si="101"/>
        <v>0</v>
      </c>
      <c r="S115" s="429"/>
      <c r="T115" s="222">
        <f t="shared" si="102"/>
        <v>0</v>
      </c>
      <c r="U115" s="241">
        <f t="shared" si="102"/>
        <v>0</v>
      </c>
      <c r="V115" s="401"/>
      <c r="W115" s="79"/>
      <c r="X115" s="79"/>
      <c r="Y115" s="79"/>
      <c r="Z115" s="79"/>
      <c r="AA115" s="79"/>
      <c r="AB115" s="79"/>
      <c r="AL115" s="169">
        <f>IF(AU115=0,0,IFERROR(INDEX(RanglisteST6!K:K,MATCH(AU115,RanglisteST6!A:A,0)),0))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6.95" customHeight="1" thickBot="1">
      <c r="A116" s="405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30"/>
      <c r="H116" s="224"/>
      <c r="I116" s="242">
        <f t="shared" si="98"/>
        <v>0</v>
      </c>
      <c r="J116" s="430"/>
      <c r="K116" s="224"/>
      <c r="L116" s="242">
        <f t="shared" si="99"/>
        <v>0</v>
      </c>
      <c r="M116" s="430"/>
      <c r="N116" s="224"/>
      <c r="O116" s="242">
        <f t="shared" si="100"/>
        <v>0</v>
      </c>
      <c r="P116" s="430"/>
      <c r="Q116" s="224"/>
      <c r="R116" s="242">
        <f t="shared" si="101"/>
        <v>0</v>
      </c>
      <c r="S116" s="430"/>
      <c r="T116" s="224">
        <f t="shared" si="102"/>
        <v>0</v>
      </c>
      <c r="U116" s="242">
        <f t="shared" si="102"/>
        <v>0</v>
      </c>
      <c r="V116" s="402"/>
      <c r="W116" s="79"/>
      <c r="X116" s="79"/>
      <c r="Y116" s="79"/>
      <c r="Z116" s="79"/>
      <c r="AA116" s="79"/>
      <c r="AB116" s="79"/>
      <c r="AL116" s="169">
        <f>IF(AU116=0,0,IFERROR(INDEX(RanglisteST6!K:K,MATCH(AU116,RanglisteST6!A:A,0)),0))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6.95" customHeight="1">
      <c r="A117" s="403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8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8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8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8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8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400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IF(AU117=0,0,IFERROR(INDEX(RanglisteST6!K:K,MATCH(AU117,RanglisteST6!A:A,0)),0))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6.95" customHeight="1">
      <c r="A118" s="404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9"/>
      <c r="H118" s="222"/>
      <c r="I118" s="241">
        <f t="shared" si="98"/>
        <v>0</v>
      </c>
      <c r="J118" s="429"/>
      <c r="K118" s="222"/>
      <c r="L118" s="241">
        <f t="shared" si="99"/>
        <v>0</v>
      </c>
      <c r="M118" s="429"/>
      <c r="N118" s="222"/>
      <c r="O118" s="241">
        <f t="shared" si="100"/>
        <v>0</v>
      </c>
      <c r="P118" s="429"/>
      <c r="Q118" s="222"/>
      <c r="R118" s="241">
        <f t="shared" si="101"/>
        <v>0</v>
      </c>
      <c r="S118" s="429"/>
      <c r="T118" s="222">
        <f t="shared" si="102"/>
        <v>0</v>
      </c>
      <c r="U118" s="241">
        <f t="shared" si="102"/>
        <v>0</v>
      </c>
      <c r="V118" s="401"/>
      <c r="W118" s="79"/>
      <c r="X118" s="79"/>
      <c r="Y118" s="79"/>
      <c r="Z118" s="79"/>
      <c r="AA118" s="79"/>
      <c r="AB118" s="79"/>
      <c r="AL118" s="169">
        <f>IF(AU118=0,0,IFERROR(INDEX(RanglisteST6!K:K,MATCH(AU118,RanglisteST6!A:A,0)),0))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6.95" customHeight="1" thickBot="1">
      <c r="A119" s="405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30"/>
      <c r="H119" s="224"/>
      <c r="I119" s="242">
        <f t="shared" si="98"/>
        <v>0</v>
      </c>
      <c r="J119" s="430"/>
      <c r="K119" s="224"/>
      <c r="L119" s="242">
        <f t="shared" si="99"/>
        <v>0</v>
      </c>
      <c r="M119" s="430"/>
      <c r="N119" s="224"/>
      <c r="O119" s="242">
        <f t="shared" si="100"/>
        <v>0</v>
      </c>
      <c r="P119" s="430"/>
      <c r="Q119" s="224"/>
      <c r="R119" s="242">
        <f t="shared" si="101"/>
        <v>0</v>
      </c>
      <c r="S119" s="430"/>
      <c r="T119" s="224">
        <f t="shared" si="102"/>
        <v>0</v>
      </c>
      <c r="U119" s="242">
        <f t="shared" si="102"/>
        <v>0</v>
      </c>
      <c r="V119" s="402"/>
      <c r="W119" s="79"/>
      <c r="X119" s="79"/>
      <c r="Y119" s="79"/>
      <c r="Z119" s="79"/>
      <c r="AA119" s="79"/>
      <c r="AB119" s="79"/>
      <c r="AL119" s="169">
        <f>IF(AU119=0,0,IFERROR(INDEX(RanglisteST6!K:K,MATCH(AU119,RanglisteST6!A:A,0)),0))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>
      <c r="B123" s="231" t="s">
        <v>1790</v>
      </c>
      <c r="C123" s="210"/>
      <c r="D123" s="42"/>
      <c r="E123" s="434">
        <f>VLOOKUP($B106,Schlüssel!$A$5:$EK$12,103)</f>
        <v>6</v>
      </c>
      <c r="F123" s="435"/>
      <c r="G123" s="436"/>
      <c r="H123" s="434">
        <f>VLOOKUP($B106,Schlüssel!$A$5:$EK$12,104)</f>
        <v>7</v>
      </c>
      <c r="I123" s="435"/>
      <c r="J123" s="436"/>
      <c r="K123" s="434">
        <f>VLOOKUP($B106,Schlüssel!$A$5:$EK$12,105)</f>
        <v>4</v>
      </c>
      <c r="L123" s="435"/>
      <c r="M123" s="436"/>
      <c r="N123" s="434">
        <f>VLOOKUP($B106,Schlüssel!$A$5:$EK$12,106)</f>
        <v>2</v>
      </c>
      <c r="O123" s="435"/>
      <c r="P123" s="436"/>
      <c r="Q123" s="434">
        <f>VLOOKUP($B106,Schlüssel!$A$5:$EK$12,107)</f>
        <v>8</v>
      </c>
      <c r="R123" s="435"/>
      <c r="S123" s="436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>
      <c r="B124" s="3" t="s">
        <v>9</v>
      </c>
      <c r="C124" s="1"/>
      <c r="D124" s="1"/>
      <c r="E124" s="395" t="str">
        <f>VLOOKUP(E123,Schlüssel!$A$5:$K$12,2)</f>
        <v>Bowling Jugend Bayern 1</v>
      </c>
      <c r="F124" s="438"/>
      <c r="G124" s="396"/>
      <c r="H124" s="395" t="str">
        <f>VLOOKUP(H123,Schlüssel!$A$5:$K$12,2)</f>
        <v>BK München 1</v>
      </c>
      <c r="I124" s="438"/>
      <c r="J124" s="396"/>
      <c r="K124" s="395" t="str">
        <f>VLOOKUP(K123,Schlüssel!$A$5:$K$12,2)</f>
        <v>Highroller Rosenheim 3</v>
      </c>
      <c r="L124" s="438"/>
      <c r="M124" s="396"/>
      <c r="N124" s="395" t="str">
        <f>VLOOKUP(N123,Schlüssel!$A$5:$K$12,2)</f>
        <v>Highroller Rosenheim 1</v>
      </c>
      <c r="O124" s="438"/>
      <c r="P124" s="396"/>
      <c r="Q124" s="395" t="str">
        <f>VLOOKUP(Q123,Schlüssel!$A$5:$K$12,2)</f>
        <v>EMAX 1</v>
      </c>
      <c r="R124" s="438"/>
      <c r="S124" s="396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" customHeight="1">
      <c r="B126" s="417" t="s">
        <v>2275</v>
      </c>
      <c r="C126" s="418"/>
      <c r="D126" s="419"/>
      <c r="E126" s="431">
        <f>ABS(INDEX(F:F,MATCH(E123,$B:$B,0)+5)+INDEX(F:F,MATCH(E123,$B:$B,0)+6)+INDEX(F:F,MATCH(E123,$B:$B,0)+7))</f>
        <v>0</v>
      </c>
      <c r="F126" s="432"/>
      <c r="G126" s="433"/>
      <c r="H126" s="431">
        <f>ABS(INDEX(I:I,MATCH(H123,$B:$B,0)+5)+INDEX(I:I,MATCH(H123,$B:$B,0)+6)+INDEX(I:I,MATCH(H123,$B:$B,0)+7))</f>
        <v>0</v>
      </c>
      <c r="I126" s="432"/>
      <c r="J126" s="433"/>
      <c r="K126" s="431">
        <f>ABS(INDEX(L:L,MATCH(K123,$B:$B,0)+5)+INDEX(L:L,MATCH(K123,$B:$B,0)+6)+INDEX(L:L,MATCH(K123,$B:$B,0)+7))</f>
        <v>0</v>
      </c>
      <c r="L126" s="432"/>
      <c r="M126" s="433"/>
      <c r="N126" s="431">
        <f>ABS(INDEX(O:O,MATCH(N123,$B:$B,0)+5)+INDEX(O:O,MATCH(N123,$B:$B,0)+6)+INDEX(O:O,MATCH(N123,$B:$B,0)+7))</f>
        <v>0</v>
      </c>
      <c r="O126" s="432"/>
      <c r="P126" s="433"/>
      <c r="Q126" s="431">
        <f>ABS(INDEX(R:R,MATCH(Q123,$B:$B,0)+5)+INDEX(R:R,MATCH(Q123,$B:$B,0)+6)+INDEX(R:R,MATCH(Q123,$B:$B,0)+7))</f>
        <v>0</v>
      </c>
      <c r="R126" s="432"/>
      <c r="S126" s="433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" customHeight="1">
      <c r="B127" s="417" t="s">
        <v>2276</v>
      </c>
      <c r="C127" s="418"/>
      <c r="D127" s="419"/>
      <c r="E127" s="424">
        <f>ABS(INDEX(F:F,MATCH(E123,$B:$B,0)+8)+INDEX(F:F,MATCH(E123,$B:$B,0)+9)+INDEX(F:F,MATCH(E123,$B:$B,0)+10))</f>
        <v>0</v>
      </c>
      <c r="F127" s="425"/>
      <c r="G127" s="426"/>
      <c r="H127" s="424">
        <f>ABS(INDEX(I:I,MATCH(H123,$B:$B,0)+8)+INDEX(I:I,MATCH(H123,$B:$B,0)+9)+INDEX(I:I,MATCH(H123,$B:$B,0)+10))</f>
        <v>0</v>
      </c>
      <c r="I127" s="425"/>
      <c r="J127" s="426"/>
      <c r="K127" s="424">
        <f>ABS(INDEX(L:L,MATCH(K123,$B:$B,0)+8)+INDEX(L:L,MATCH(K123,$B:$B,0)+9)+INDEX(L:L,MATCH(K123,$B:$B,0)+10))</f>
        <v>0</v>
      </c>
      <c r="L127" s="425"/>
      <c r="M127" s="426"/>
      <c r="N127" s="424">
        <f>ABS(INDEX(O:O,MATCH(N123,$B:$B,0)+8)+INDEX(O:O,MATCH(N123,$B:$B,0)+9)+INDEX(O:O,MATCH(N123,$B:$B,0)+10))</f>
        <v>0</v>
      </c>
      <c r="O127" s="425"/>
      <c r="P127" s="426"/>
      <c r="Q127" s="424">
        <f>ABS(INDEX(R:R,MATCH(Q123,$B:$B,0)+8)+INDEX(R:R,MATCH(Q123,$B:$B,0)+9)+INDEX(R:R,MATCH(Q123,$B:$B,0)+10))</f>
        <v>0</v>
      </c>
      <c r="R127" s="425"/>
      <c r="S127" s="426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" customHeight="1">
      <c r="B128" s="417" t="s">
        <v>2277</v>
      </c>
      <c r="C128" s="418"/>
      <c r="D128" s="419"/>
      <c r="E128" s="424">
        <f>ABS(INDEX(F:F,MATCH(E123,$B:$B,0)+11)+INDEX(F:F,MATCH(E123,$B:$B,0)+12)+INDEX(F:F,MATCH(E123,$B:$B,0)+13))</f>
        <v>0</v>
      </c>
      <c r="F128" s="425"/>
      <c r="G128" s="426"/>
      <c r="H128" s="424">
        <f>ABS(INDEX(I:I,MATCH(H123,$B:$B,0)+11)+INDEX(I:I,MATCH(H123,$B:$B,0)+12)+INDEX(I:I,MATCH(H123,$B:$B,0)+13))</f>
        <v>0</v>
      </c>
      <c r="I128" s="425"/>
      <c r="J128" s="426"/>
      <c r="K128" s="424">
        <f>ABS(INDEX(L:L,MATCH(K123,$B:$B,0)+11)+INDEX(L:L,MATCH(K123,$B:$B,0)+12)+INDEX(L:L,MATCH(K123,$B:$B,0)+13))</f>
        <v>0</v>
      </c>
      <c r="L128" s="425"/>
      <c r="M128" s="426"/>
      <c r="N128" s="424">
        <f>ABS(INDEX(O:O,MATCH(N123,$B:$B,0)+11)+INDEX(O:O,MATCH(N123,$B:$B,0)+12)+INDEX(O:O,MATCH(N123,$B:$B,0)+13))</f>
        <v>0</v>
      </c>
      <c r="O128" s="425"/>
      <c r="P128" s="426"/>
      <c r="Q128" s="424">
        <f>ABS(INDEX(R:R,MATCH(Q123,$B:$B,0)+11)+INDEX(R:R,MATCH(Q123,$B:$B,0)+12)+INDEX(R:R,MATCH(Q123,$B:$B,0)+13))</f>
        <v>0</v>
      </c>
      <c r="R128" s="425"/>
      <c r="S128" s="426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" customHeight="1">
      <c r="B129" s="420" t="s">
        <v>2278</v>
      </c>
      <c r="C129" s="421"/>
      <c r="D129" s="422"/>
      <c r="E129" s="407">
        <f>SUM(E126:E128)</f>
        <v>0</v>
      </c>
      <c r="F129" s="423"/>
      <c r="G129" s="408"/>
      <c r="H129" s="407">
        <f>SUM(H126:H128)</f>
        <v>0</v>
      </c>
      <c r="I129" s="423"/>
      <c r="J129" s="408"/>
      <c r="K129" s="407">
        <f>SUM(K126:K128)</f>
        <v>0</v>
      </c>
      <c r="L129" s="423"/>
      <c r="M129" s="408"/>
      <c r="N129" s="407">
        <f>SUM(N126:N128)</f>
        <v>0</v>
      </c>
      <c r="O129" s="423"/>
      <c r="P129" s="408"/>
      <c r="Q129" s="407">
        <f>SUM(Q126:Q128)</f>
        <v>0</v>
      </c>
      <c r="R129" s="423"/>
      <c r="S129" s="408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>
      <c r="A131" s="255"/>
      <c r="B131" s="7" t="s">
        <v>1802</v>
      </c>
      <c r="C131" s="24"/>
      <c r="D131" s="24"/>
      <c r="E131" s="35" t="s">
        <v>1786</v>
      </c>
      <c r="F131" s="35"/>
      <c r="G131" s="427" t="str">
        <f>Schlüssel!$C$1</f>
        <v>Landesliga Jugend</v>
      </c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  <c r="S131" s="406">
        <f>Schlüssel!$DI$1</f>
        <v>45808</v>
      </c>
      <c r="T131" s="406"/>
      <c r="U131" s="406"/>
      <c r="V131" s="406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>
      <c r="A132" s="53"/>
      <c r="B132" s="54">
        <v>6</v>
      </c>
      <c r="E132" s="35" t="s">
        <v>1787</v>
      </c>
      <c r="F132" s="35"/>
      <c r="G132" s="413" t="str">
        <f>Schlüssel!$CY$2</f>
        <v>Rosenheim In(n) Bowling</v>
      </c>
      <c r="H132" s="413"/>
      <c r="I132" s="413"/>
      <c r="J132" s="413"/>
      <c r="K132" s="413"/>
      <c r="L132" s="413"/>
      <c r="M132" s="413"/>
      <c r="N132" s="413"/>
      <c r="O132" s="413"/>
      <c r="P132" s="66"/>
      <c r="Q132" s="411" t="s">
        <v>1785</v>
      </c>
      <c r="R132" s="412"/>
      <c r="S132" s="38">
        <v>6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>
      <c r="B133" s="414" t="str">
        <f>VLOOKUP(B132,Schlüssel!$A$5:$B$12,2)</f>
        <v>Bowling Jugend Bayern 1</v>
      </c>
      <c r="C133" s="415"/>
      <c r="D133" s="415"/>
      <c r="E133" s="415"/>
      <c r="F133" s="415"/>
      <c r="G133" s="416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3.8" hidden="1" thickBot="1">
      <c r="A134" s="6"/>
      <c r="B134" s="7"/>
      <c r="C134" s="43"/>
      <c r="D134" s="43"/>
      <c r="E134" s="162" t="s">
        <v>10</v>
      </c>
      <c r="F134" s="220"/>
      <c r="G134" s="159">
        <f>VLOOKUP(B132,Schlüssel!$A$5:$EK$12,113)</f>
        <v>13</v>
      </c>
      <c r="H134" s="161" t="s">
        <v>10</v>
      </c>
      <c r="I134" s="220"/>
      <c r="J134" s="159">
        <f>VLOOKUP(B132,Schlüssel!$A$5:$EK$12,114)</f>
        <v>16</v>
      </c>
      <c r="K134" s="161" t="s">
        <v>10</v>
      </c>
      <c r="L134" s="220"/>
      <c r="M134" s="159">
        <f>VLOOKUP(B132,Schlüssel!$A$5:$EK$12,115)</f>
        <v>11</v>
      </c>
      <c r="N134" s="161" t="s">
        <v>10</v>
      </c>
      <c r="O134" s="220"/>
      <c r="P134" s="159">
        <f>VLOOKUP(B132,Schlüssel!$A$5:$EK$12,116)</f>
        <v>13</v>
      </c>
      <c r="Q134" s="161" t="s">
        <v>10</v>
      </c>
      <c r="R134" s="220"/>
      <c r="S134" s="160">
        <f>VLOOKUP(B132,Schlüssel!$A$5:$EK$12,117)</f>
        <v>18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>
      <c r="B135" s="44" t="s">
        <v>1</v>
      </c>
      <c r="C135" s="208"/>
      <c r="D135" s="217"/>
      <c r="E135" s="423" t="s">
        <v>1793</v>
      </c>
      <c r="F135" s="423"/>
      <c r="G135" s="408"/>
      <c r="H135" s="407" t="s">
        <v>1794</v>
      </c>
      <c r="I135" s="423"/>
      <c r="J135" s="408"/>
      <c r="K135" s="407" t="s">
        <v>1795</v>
      </c>
      <c r="L135" s="423"/>
      <c r="M135" s="408"/>
      <c r="N135" s="407" t="s">
        <v>1796</v>
      </c>
      <c r="O135" s="423"/>
      <c r="P135" s="408"/>
      <c r="Q135" s="407" t="s">
        <v>1797</v>
      </c>
      <c r="R135" s="423"/>
      <c r="S135" s="437"/>
      <c r="T135" s="439" t="s">
        <v>1792</v>
      </c>
      <c r="U135" s="440"/>
      <c r="V135" s="410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6.95" customHeight="1">
      <c r="A137" s="403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8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8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8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8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8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400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IF(AU137=0,0,IFERROR(INDEX(RanglisteST6!K:K,MATCH(AU137,RanglisteST6!A:A,0)),0))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6.95" customHeight="1">
      <c r="A138" s="404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9"/>
      <c r="H138" s="222"/>
      <c r="I138" s="241">
        <f t="shared" si="122"/>
        <v>0</v>
      </c>
      <c r="J138" s="429"/>
      <c r="K138" s="222"/>
      <c r="L138" s="241">
        <f t="shared" si="123"/>
        <v>0</v>
      </c>
      <c r="M138" s="429"/>
      <c r="N138" s="222"/>
      <c r="O138" s="241">
        <f t="shared" si="124"/>
        <v>0</v>
      </c>
      <c r="P138" s="429"/>
      <c r="Q138" s="222"/>
      <c r="R138" s="241">
        <f t="shared" si="125"/>
        <v>0</v>
      </c>
      <c r="S138" s="429"/>
      <c r="T138" s="222">
        <f t="shared" si="126"/>
        <v>0</v>
      </c>
      <c r="U138" s="241">
        <f t="shared" si="126"/>
        <v>0</v>
      </c>
      <c r="V138" s="401"/>
      <c r="W138" s="79"/>
      <c r="X138" s="79"/>
      <c r="Y138" s="79"/>
      <c r="Z138" s="79"/>
      <c r="AA138" s="79"/>
      <c r="AB138" s="79"/>
      <c r="AL138" s="169">
        <f>IF(AU138=0,0,IFERROR(INDEX(RanglisteST6!K:K,MATCH(AU138,RanglisteST6!A:A,0)),0))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6.95" customHeight="1" thickBot="1">
      <c r="A139" s="405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30"/>
      <c r="H139" s="224"/>
      <c r="I139" s="242">
        <f t="shared" si="122"/>
        <v>0</v>
      </c>
      <c r="J139" s="430"/>
      <c r="K139" s="224"/>
      <c r="L139" s="242">
        <f t="shared" si="123"/>
        <v>0</v>
      </c>
      <c r="M139" s="430"/>
      <c r="N139" s="224"/>
      <c r="O139" s="242">
        <f t="shared" si="124"/>
        <v>0</v>
      </c>
      <c r="P139" s="430"/>
      <c r="Q139" s="224"/>
      <c r="R139" s="242">
        <f t="shared" si="125"/>
        <v>0</v>
      </c>
      <c r="S139" s="430"/>
      <c r="T139" s="224">
        <f t="shared" si="126"/>
        <v>0</v>
      </c>
      <c r="U139" s="242">
        <f t="shared" si="126"/>
        <v>0</v>
      </c>
      <c r="V139" s="402"/>
      <c r="W139" s="79"/>
      <c r="X139" s="79"/>
      <c r="Y139" s="79"/>
      <c r="Z139" s="79"/>
      <c r="AA139" s="79"/>
      <c r="AB139" s="79"/>
      <c r="AL139" s="169">
        <f>IF(AU139=0,0,IFERROR(INDEX(RanglisteST6!K:K,MATCH(AU139,RanglisteST6!A:A,0)),0))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6.95" customHeight="1">
      <c r="A140" s="403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8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8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8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8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8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400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IF(AU140=0,0,IFERROR(INDEX(RanglisteST6!K:K,MATCH(AU140,RanglisteST6!A:A,0)),0))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6.95" customHeight="1">
      <c r="A141" s="404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9"/>
      <c r="H141" s="222"/>
      <c r="I141" s="241">
        <f t="shared" si="122"/>
        <v>0</v>
      </c>
      <c r="J141" s="429"/>
      <c r="K141" s="222"/>
      <c r="L141" s="241">
        <f t="shared" si="123"/>
        <v>0</v>
      </c>
      <c r="M141" s="429"/>
      <c r="N141" s="222"/>
      <c r="O141" s="241">
        <f t="shared" si="124"/>
        <v>0</v>
      </c>
      <c r="P141" s="429"/>
      <c r="Q141" s="222"/>
      <c r="R141" s="241">
        <f t="shared" si="125"/>
        <v>0</v>
      </c>
      <c r="S141" s="429"/>
      <c r="T141" s="222">
        <f t="shared" si="126"/>
        <v>0</v>
      </c>
      <c r="U141" s="241">
        <f t="shared" si="126"/>
        <v>0</v>
      </c>
      <c r="V141" s="401"/>
      <c r="W141" s="79"/>
      <c r="X141" s="79"/>
      <c r="Y141" s="79"/>
      <c r="Z141" s="79"/>
      <c r="AA141" s="79"/>
      <c r="AB141" s="79"/>
      <c r="AL141" s="169">
        <f>IF(AU141=0,0,IFERROR(INDEX(RanglisteST6!K:K,MATCH(AU141,RanglisteST6!A:A,0)),0))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6.95" customHeight="1" thickBot="1">
      <c r="A142" s="405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30"/>
      <c r="H142" s="224"/>
      <c r="I142" s="242">
        <f t="shared" si="122"/>
        <v>0</v>
      </c>
      <c r="J142" s="430"/>
      <c r="K142" s="224"/>
      <c r="L142" s="242">
        <f t="shared" si="123"/>
        <v>0</v>
      </c>
      <c r="M142" s="430"/>
      <c r="N142" s="224"/>
      <c r="O142" s="242">
        <f t="shared" si="124"/>
        <v>0</v>
      </c>
      <c r="P142" s="430"/>
      <c r="Q142" s="224"/>
      <c r="R142" s="242">
        <f t="shared" si="125"/>
        <v>0</v>
      </c>
      <c r="S142" s="430"/>
      <c r="T142" s="224">
        <f t="shared" si="126"/>
        <v>0</v>
      </c>
      <c r="U142" s="242">
        <f t="shared" si="126"/>
        <v>0</v>
      </c>
      <c r="V142" s="402"/>
      <c r="W142" s="79"/>
      <c r="X142" s="79"/>
      <c r="Y142" s="79"/>
      <c r="Z142" s="79"/>
      <c r="AA142" s="79"/>
      <c r="AB142" s="79"/>
      <c r="AL142" s="169">
        <f>IF(AU142=0,0,IFERROR(INDEX(RanglisteST6!K:K,MATCH(AU142,RanglisteST6!A:A,0)),0))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6.95" customHeight="1">
      <c r="A143" s="403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8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8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8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8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8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400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IF(AU143=0,0,IFERROR(INDEX(RanglisteST6!K:K,MATCH(AU143,RanglisteST6!A:A,0)),0))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6.95" customHeight="1">
      <c r="A144" s="404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9"/>
      <c r="H144" s="222"/>
      <c r="I144" s="241">
        <f t="shared" si="122"/>
        <v>0</v>
      </c>
      <c r="J144" s="429"/>
      <c r="K144" s="222"/>
      <c r="L144" s="241">
        <f t="shared" si="123"/>
        <v>0</v>
      </c>
      <c r="M144" s="429"/>
      <c r="N144" s="222"/>
      <c r="O144" s="241">
        <f t="shared" si="124"/>
        <v>0</v>
      </c>
      <c r="P144" s="429"/>
      <c r="Q144" s="222"/>
      <c r="R144" s="241">
        <f t="shared" si="125"/>
        <v>0</v>
      </c>
      <c r="S144" s="429"/>
      <c r="T144" s="222">
        <f t="shared" si="126"/>
        <v>0</v>
      </c>
      <c r="U144" s="241">
        <f t="shared" si="126"/>
        <v>0</v>
      </c>
      <c r="V144" s="401"/>
      <c r="W144" s="79"/>
      <c r="X144" s="79"/>
      <c r="Y144" s="79"/>
      <c r="Z144" s="79"/>
      <c r="AA144" s="79"/>
      <c r="AB144" s="79"/>
      <c r="AL144" s="169">
        <f>IF(AU144=0,0,IFERROR(INDEX(RanglisteST6!K:K,MATCH(AU144,RanglisteST6!A:A,0)),0))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6.95" customHeight="1" thickBot="1">
      <c r="A145" s="405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30"/>
      <c r="H145" s="224"/>
      <c r="I145" s="242">
        <f t="shared" si="122"/>
        <v>0</v>
      </c>
      <c r="J145" s="430"/>
      <c r="K145" s="224"/>
      <c r="L145" s="242">
        <f t="shared" si="123"/>
        <v>0</v>
      </c>
      <c r="M145" s="430"/>
      <c r="N145" s="224"/>
      <c r="O145" s="242">
        <f t="shared" si="124"/>
        <v>0</v>
      </c>
      <c r="P145" s="430"/>
      <c r="Q145" s="224"/>
      <c r="R145" s="242">
        <f t="shared" si="125"/>
        <v>0</v>
      </c>
      <c r="S145" s="430"/>
      <c r="T145" s="224">
        <f t="shared" si="126"/>
        <v>0</v>
      </c>
      <c r="U145" s="242">
        <f t="shared" si="126"/>
        <v>0</v>
      </c>
      <c r="V145" s="402"/>
      <c r="W145" s="79"/>
      <c r="X145" s="79"/>
      <c r="Y145" s="79"/>
      <c r="Z145" s="79"/>
      <c r="AA145" s="79"/>
      <c r="AB145" s="79"/>
      <c r="AL145" s="169">
        <f>IF(AU145=0,0,IFERROR(INDEX(RanglisteST6!K:K,MATCH(AU145,RanglisteST6!A:A,0)),0))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>
      <c r="B149" s="231" t="s">
        <v>1790</v>
      </c>
      <c r="C149" s="210"/>
      <c r="D149" s="42"/>
      <c r="E149" s="434">
        <f>VLOOKUP($B132,Schlüssel!$A$5:$EK$12,103)</f>
        <v>5</v>
      </c>
      <c r="F149" s="435"/>
      <c r="G149" s="436"/>
      <c r="H149" s="434">
        <f>VLOOKUP($B132,Schlüssel!$A$5:$EK$12,104)</f>
        <v>8</v>
      </c>
      <c r="I149" s="435"/>
      <c r="J149" s="436"/>
      <c r="K149" s="434">
        <f>VLOOKUP($B132,Schlüssel!$A$5:$EK$12,105)</f>
        <v>2</v>
      </c>
      <c r="L149" s="435"/>
      <c r="M149" s="436"/>
      <c r="N149" s="434">
        <f>VLOOKUP($B132,Schlüssel!$A$5:$EK$12,106)</f>
        <v>4</v>
      </c>
      <c r="O149" s="435"/>
      <c r="P149" s="436"/>
      <c r="Q149" s="434">
        <f>VLOOKUP($B132,Schlüssel!$A$5:$EK$12,107)</f>
        <v>7</v>
      </c>
      <c r="R149" s="435"/>
      <c r="S149" s="436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>
      <c r="B150" s="3" t="s">
        <v>9</v>
      </c>
      <c r="C150" s="1"/>
      <c r="D150" s="1"/>
      <c r="E150" s="395" t="str">
        <f>VLOOKUP(E149,Schlüssel!$A$5:$K$12,2)</f>
        <v>Berchtesgaden 1</v>
      </c>
      <c r="F150" s="438"/>
      <c r="G150" s="396"/>
      <c r="H150" s="395" t="str">
        <f>VLOOKUP(H149,Schlüssel!$A$5:$K$12,2)</f>
        <v>EMAX 1</v>
      </c>
      <c r="I150" s="438"/>
      <c r="J150" s="396"/>
      <c r="K150" s="395" t="str">
        <f>VLOOKUP(K149,Schlüssel!$A$5:$K$12,2)</f>
        <v>Highroller Rosenheim 1</v>
      </c>
      <c r="L150" s="438"/>
      <c r="M150" s="396"/>
      <c r="N150" s="395" t="str">
        <f>VLOOKUP(N149,Schlüssel!$A$5:$K$12,2)</f>
        <v>Highroller Rosenheim 3</v>
      </c>
      <c r="O150" s="438"/>
      <c r="P150" s="396"/>
      <c r="Q150" s="395" t="str">
        <f>VLOOKUP(Q149,Schlüssel!$A$5:$K$12,2)</f>
        <v>BK München 1</v>
      </c>
      <c r="R150" s="438"/>
      <c r="S150" s="396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" customHeight="1">
      <c r="B152" s="417" t="s">
        <v>2275</v>
      </c>
      <c r="C152" s="418"/>
      <c r="D152" s="419"/>
      <c r="E152" s="431">
        <f>ABS(INDEX(F:F,MATCH(E149,$B:$B,0)+5)+INDEX(F:F,MATCH(E149,$B:$B,0)+6)+INDEX(F:F,MATCH(E149,$B:$B,0)+7))</f>
        <v>0</v>
      </c>
      <c r="F152" s="432"/>
      <c r="G152" s="433"/>
      <c r="H152" s="431">
        <f>ABS(INDEX(I:I,MATCH(H149,$B:$B,0)+5)+INDEX(I:I,MATCH(H149,$B:$B,0)+6)+INDEX(I:I,MATCH(H149,$B:$B,0)+7))</f>
        <v>0</v>
      </c>
      <c r="I152" s="432"/>
      <c r="J152" s="433"/>
      <c r="K152" s="431">
        <f>ABS(INDEX(L:L,MATCH(K149,$B:$B,0)+5)+INDEX(L:L,MATCH(K149,$B:$B,0)+6)+INDEX(L:L,MATCH(K149,$B:$B,0)+7))</f>
        <v>0</v>
      </c>
      <c r="L152" s="432"/>
      <c r="M152" s="433"/>
      <c r="N152" s="431">
        <f>ABS(INDEX(O:O,MATCH(N149,$B:$B,0)+5)+INDEX(O:O,MATCH(N149,$B:$B,0)+6)+INDEX(O:O,MATCH(N149,$B:$B,0)+7))</f>
        <v>0</v>
      </c>
      <c r="O152" s="432"/>
      <c r="P152" s="433"/>
      <c r="Q152" s="431">
        <f>ABS(INDEX(R:R,MATCH(Q149,$B:$B,0)+5)+INDEX(R:R,MATCH(Q149,$B:$B,0)+6)+INDEX(R:R,MATCH(Q149,$B:$B,0)+7))</f>
        <v>0</v>
      </c>
      <c r="R152" s="432"/>
      <c r="S152" s="433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" customHeight="1">
      <c r="B153" s="417" t="s">
        <v>2276</v>
      </c>
      <c r="C153" s="418"/>
      <c r="D153" s="419"/>
      <c r="E153" s="424">
        <f>ABS(INDEX(F:F,MATCH(E149,$B:$B,0)+8)+INDEX(F:F,MATCH(E149,$B:$B,0)+9)+INDEX(F:F,MATCH(E149,$B:$B,0)+10))</f>
        <v>0</v>
      </c>
      <c r="F153" s="425"/>
      <c r="G153" s="426"/>
      <c r="H153" s="424">
        <f>ABS(INDEX(I:I,MATCH(H149,$B:$B,0)+8)+INDEX(I:I,MATCH(H149,$B:$B,0)+9)+INDEX(I:I,MATCH(H149,$B:$B,0)+10))</f>
        <v>0</v>
      </c>
      <c r="I153" s="425"/>
      <c r="J153" s="426"/>
      <c r="K153" s="424">
        <f>ABS(INDEX(L:L,MATCH(K149,$B:$B,0)+8)+INDEX(L:L,MATCH(K149,$B:$B,0)+9)+INDEX(L:L,MATCH(K149,$B:$B,0)+10))</f>
        <v>0</v>
      </c>
      <c r="L153" s="425"/>
      <c r="M153" s="426"/>
      <c r="N153" s="424">
        <f>ABS(INDEX(O:O,MATCH(N149,$B:$B,0)+8)+INDEX(O:O,MATCH(N149,$B:$B,0)+9)+INDEX(O:O,MATCH(N149,$B:$B,0)+10))</f>
        <v>0</v>
      </c>
      <c r="O153" s="425"/>
      <c r="P153" s="426"/>
      <c r="Q153" s="424">
        <f>ABS(INDEX(R:R,MATCH(Q149,$B:$B,0)+8)+INDEX(R:R,MATCH(Q149,$B:$B,0)+9)+INDEX(R:R,MATCH(Q149,$B:$B,0)+10))</f>
        <v>0</v>
      </c>
      <c r="R153" s="425"/>
      <c r="S153" s="426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" customHeight="1">
      <c r="B154" s="417" t="s">
        <v>2277</v>
      </c>
      <c r="C154" s="418"/>
      <c r="D154" s="419"/>
      <c r="E154" s="424">
        <f>ABS(INDEX(F:F,MATCH(E149,$B:$B,0)+11)+INDEX(F:F,MATCH(E149,$B:$B,0)+12)+INDEX(F:F,MATCH(E149,$B:$B,0)+13))</f>
        <v>0</v>
      </c>
      <c r="F154" s="425"/>
      <c r="G154" s="426"/>
      <c r="H154" s="424">
        <f>ABS(INDEX(I:I,MATCH(H149,$B:$B,0)+11)+INDEX(I:I,MATCH(H149,$B:$B,0)+12)+INDEX(I:I,MATCH(H149,$B:$B,0)+13))</f>
        <v>0</v>
      </c>
      <c r="I154" s="425"/>
      <c r="J154" s="426"/>
      <c r="K154" s="424">
        <f>ABS(INDEX(L:L,MATCH(K149,$B:$B,0)+11)+INDEX(L:L,MATCH(K149,$B:$B,0)+12)+INDEX(L:L,MATCH(K149,$B:$B,0)+13))</f>
        <v>0</v>
      </c>
      <c r="L154" s="425"/>
      <c r="M154" s="426"/>
      <c r="N154" s="424">
        <f>ABS(INDEX(O:O,MATCH(N149,$B:$B,0)+11)+INDEX(O:O,MATCH(N149,$B:$B,0)+12)+INDEX(O:O,MATCH(N149,$B:$B,0)+13))</f>
        <v>0</v>
      </c>
      <c r="O154" s="425"/>
      <c r="P154" s="426"/>
      <c r="Q154" s="424">
        <f>ABS(INDEX(R:R,MATCH(Q149,$B:$B,0)+11)+INDEX(R:R,MATCH(Q149,$B:$B,0)+12)+INDEX(R:R,MATCH(Q149,$B:$B,0)+13))</f>
        <v>0</v>
      </c>
      <c r="R154" s="425"/>
      <c r="S154" s="426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" customHeight="1">
      <c r="B155" s="420" t="s">
        <v>2278</v>
      </c>
      <c r="C155" s="421"/>
      <c r="D155" s="422"/>
      <c r="E155" s="407">
        <f>SUM(E152:E154)</f>
        <v>0</v>
      </c>
      <c r="F155" s="423"/>
      <c r="G155" s="408"/>
      <c r="H155" s="407">
        <f>SUM(H152:H154)</f>
        <v>0</v>
      </c>
      <c r="I155" s="423"/>
      <c r="J155" s="408"/>
      <c r="K155" s="407">
        <f>SUM(K152:K154)</f>
        <v>0</v>
      </c>
      <c r="L155" s="423"/>
      <c r="M155" s="408"/>
      <c r="N155" s="407">
        <f>SUM(N152:N154)</f>
        <v>0</v>
      </c>
      <c r="O155" s="423"/>
      <c r="P155" s="408"/>
      <c r="Q155" s="407">
        <f>SUM(Q152:Q154)</f>
        <v>0</v>
      </c>
      <c r="R155" s="423"/>
      <c r="S155" s="408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>
      <c r="A157" s="255"/>
      <c r="B157" s="7" t="s">
        <v>1802</v>
      </c>
      <c r="C157" s="24"/>
      <c r="D157" s="24"/>
      <c r="E157" s="35" t="s">
        <v>1786</v>
      </c>
      <c r="F157" s="35"/>
      <c r="G157" s="427" t="str">
        <f>Schlüssel!$C$1</f>
        <v>Landesliga Jugend</v>
      </c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  <c r="S157" s="406">
        <f>Schlüssel!$DI$1</f>
        <v>45808</v>
      </c>
      <c r="T157" s="406"/>
      <c r="U157" s="406"/>
      <c r="V157" s="406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>
      <c r="A158" s="53"/>
      <c r="B158" s="54">
        <v>7</v>
      </c>
      <c r="E158" s="35" t="s">
        <v>1787</v>
      </c>
      <c r="F158" s="35"/>
      <c r="G158" s="413" t="str">
        <f>Schlüssel!$CY$2</f>
        <v>Rosenheim In(n) Bowling</v>
      </c>
      <c r="H158" s="413"/>
      <c r="I158" s="413"/>
      <c r="J158" s="413"/>
      <c r="K158" s="413"/>
      <c r="L158" s="413"/>
      <c r="M158" s="413"/>
      <c r="N158" s="413"/>
      <c r="O158" s="413"/>
      <c r="P158" s="66"/>
      <c r="Q158" s="411" t="s">
        <v>1785</v>
      </c>
      <c r="R158" s="412"/>
      <c r="S158" s="38">
        <v>6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>
      <c r="B159" s="414" t="str">
        <f>VLOOKUP(B158,Schlüssel!$A$5:$B$12,2)</f>
        <v>BK München 1</v>
      </c>
      <c r="C159" s="415"/>
      <c r="D159" s="415"/>
      <c r="E159" s="415"/>
      <c r="F159" s="415"/>
      <c r="G159" s="416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3.8" hidden="1" thickBot="1">
      <c r="A160" s="6"/>
      <c r="B160" s="7"/>
      <c r="C160" s="43"/>
      <c r="D160" s="43"/>
      <c r="E160" s="162" t="s">
        <v>10</v>
      </c>
      <c r="F160" s="220"/>
      <c r="G160" s="159">
        <f>VLOOKUP(B158,Schlüssel!$A$5:$EK$12,113)</f>
        <v>12</v>
      </c>
      <c r="H160" s="161" t="s">
        <v>10</v>
      </c>
      <c r="I160" s="220"/>
      <c r="J160" s="159">
        <f>VLOOKUP(B158,Schlüssel!$A$5:$EK$12,114)</f>
        <v>17</v>
      </c>
      <c r="K160" s="161" t="s">
        <v>10</v>
      </c>
      <c r="L160" s="220"/>
      <c r="M160" s="159">
        <f>VLOOKUP(B158,Schlüssel!$A$5:$EK$12,115)</f>
        <v>14</v>
      </c>
      <c r="N160" s="161" t="s">
        <v>10</v>
      </c>
      <c r="O160" s="220"/>
      <c r="P160" s="159">
        <f>VLOOKUP(B158,Schlüssel!$A$5:$EK$12,116)</f>
        <v>12</v>
      </c>
      <c r="Q160" s="161" t="s">
        <v>10</v>
      </c>
      <c r="R160" s="220"/>
      <c r="S160" s="160">
        <f>VLOOKUP(B158,Schlüssel!$A$5:$EK$12,117)</f>
        <v>17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>
      <c r="B161" s="44" t="s">
        <v>1</v>
      </c>
      <c r="C161" s="208"/>
      <c r="D161" s="217"/>
      <c r="E161" s="423" t="s">
        <v>1793</v>
      </c>
      <c r="F161" s="423"/>
      <c r="G161" s="408"/>
      <c r="H161" s="407" t="s">
        <v>1794</v>
      </c>
      <c r="I161" s="423"/>
      <c r="J161" s="408"/>
      <c r="K161" s="407" t="s">
        <v>1795</v>
      </c>
      <c r="L161" s="423"/>
      <c r="M161" s="408"/>
      <c r="N161" s="407" t="s">
        <v>1796</v>
      </c>
      <c r="O161" s="423"/>
      <c r="P161" s="408"/>
      <c r="Q161" s="407" t="s">
        <v>1797</v>
      </c>
      <c r="R161" s="423"/>
      <c r="S161" s="437"/>
      <c r="T161" s="439" t="s">
        <v>1792</v>
      </c>
      <c r="U161" s="440"/>
      <c r="V161" s="410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6.95" customHeight="1">
      <c r="A163" s="403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8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8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8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8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8">
        <f>IF(SUM(R163:R165)+Q178=0,0,IF(ABS(SUM(R163:R165))=Q178,Spielorte!$A$30/2,IF(ABS(SUM(R163:R165))&gt;Q178,Spielorte!$A$30,0)))</f>
        <v>0</v>
      </c>
      <c r="T163" s="221">
        <f t="shared" ref="T163:T171" si="150">ABS(SUM(E163:E163))+ABS(SUM(H163:H163))+ABS(SUM(K163:K163))+ABS(SUM(N163:N163))+ABS(SUM(Q163:Q163))</f>
        <v>0</v>
      </c>
      <c r="U163" s="240">
        <f t="shared" ref="U163:U171" si="151">ABS(SUM(F163:F163))+ABS(SUM(I163:I163))+ABS(SUM(L163:L163))+ABS(SUM(O163:O163))+ABS(SUM(R163:R163))</f>
        <v>0</v>
      </c>
      <c r="V163" s="400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IF(AU163=0,0,IFERROR(INDEX(RanglisteST6!K:K,MATCH(AU163,RanglisteST6!A:A,0)),0))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2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0</v>
      </c>
      <c r="AV163" s="167">
        <f t="shared" ref="AV163:AV171" si="154">T163</f>
        <v>0</v>
      </c>
      <c r="AW163" s="169">
        <f t="shared" ref="AW163:AW171" si="155">COUNT(AY163:BC163)</f>
        <v>0</v>
      </c>
      <c r="AX163" s="169">
        <f t="shared" ref="AX163:AX171" si="156">COUNTIF(AY163:BC163,"&gt;0")</f>
        <v>0</v>
      </c>
      <c r="AY163" s="169" t="str">
        <f t="shared" ref="AY163:AY171" si="157">IF(E163=0,"",E163)</f>
        <v/>
      </c>
      <c r="AZ163" s="169" t="str">
        <f t="shared" ref="AZ163:AZ171" si="158">IF(H163=0,"",H163)</f>
        <v/>
      </c>
      <c r="BA163" s="169" t="str">
        <f t="shared" ref="BA163:BA171" si="159">IF(K163=0,"",K163)</f>
        <v/>
      </c>
      <c r="BB163" s="169" t="str">
        <f t="shared" ref="BB163:BB171" si="160">IF(N163=0,"",N163)</f>
        <v/>
      </c>
      <c r="BC163" s="169" t="str">
        <f t="shared" ref="BC163:BC171" si="161">IF(Q163=0,"",Q163)</f>
        <v/>
      </c>
      <c r="BD163" s="170"/>
      <c r="BE163" s="168"/>
      <c r="BF163" s="169">
        <f t="shared" ref="BF163:BF171" si="162">MAX(AY163:BC163)</f>
        <v>0</v>
      </c>
      <c r="BG163" s="169">
        <f t="shared" ref="BG163:BG171" si="163">IF(BF163&lt;MAX(BF:BF),0,BF163+ROW()/1000000000)</f>
        <v>1.6299999999999999E-7</v>
      </c>
      <c r="BH163" s="169" t="str">
        <f>+B159</f>
        <v>BK München 1</v>
      </c>
      <c r="BI163" s="168">
        <f t="shared" ref="BI163:BI171" si="164">RANK(BG163,BG:BG)</f>
        <v>18</v>
      </c>
      <c r="BJ163" s="169">
        <f t="shared" ref="BJ163:BJ171" si="165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6">IF(BK163&lt;MAX(BK:BK),0,BK163+ROW()/1000000000)</f>
        <v>1.6299999999999999E-7</v>
      </c>
      <c r="BM163" s="168">
        <f t="shared" ref="BM163:BM171" si="167">IF(BL163=0,0,RANK(BL163,BL:BL))</f>
        <v>18</v>
      </c>
    </row>
    <row r="164" spans="1:65" ht="16.95" customHeight="1">
      <c r="A164" s="404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9"/>
      <c r="H164" s="222"/>
      <c r="I164" s="241">
        <f t="shared" si="146"/>
        <v>0</v>
      </c>
      <c r="J164" s="429"/>
      <c r="K164" s="222"/>
      <c r="L164" s="241">
        <f t="shared" si="147"/>
        <v>0</v>
      </c>
      <c r="M164" s="429"/>
      <c r="N164" s="222"/>
      <c r="O164" s="241">
        <f t="shared" si="148"/>
        <v>0</v>
      </c>
      <c r="P164" s="429"/>
      <c r="Q164" s="222"/>
      <c r="R164" s="241">
        <f t="shared" si="149"/>
        <v>0</v>
      </c>
      <c r="S164" s="429"/>
      <c r="T164" s="222">
        <f t="shared" si="150"/>
        <v>0</v>
      </c>
      <c r="U164" s="241">
        <f t="shared" si="151"/>
        <v>0</v>
      </c>
      <c r="V164" s="401"/>
      <c r="W164" s="79"/>
      <c r="X164" s="79"/>
      <c r="Y164" s="79"/>
      <c r="Z164" s="79"/>
      <c r="AA164" s="79"/>
      <c r="AB164" s="79"/>
      <c r="AL164" s="169">
        <f>IF(AU164=0,0,IFERROR(INDEX(RanglisteST6!K:K,MATCH(AU164,RanglisteST6!A:A,0)),0))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1.6400000000000001E-7</v>
      </c>
      <c r="BH164" s="169" t="str">
        <f t="shared" ref="BH164:BH171" si="168">+BH163</f>
        <v>BK München 1</v>
      </c>
      <c r="BI164" s="168">
        <f t="shared" si="164"/>
        <v>17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1.6400000000000001E-7</v>
      </c>
      <c r="BM164" s="168">
        <f t="shared" si="167"/>
        <v>17</v>
      </c>
    </row>
    <row r="165" spans="1:65" ht="16.95" customHeight="1" thickBot="1">
      <c r="A165" s="405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30"/>
      <c r="H165" s="224"/>
      <c r="I165" s="242">
        <f t="shared" si="146"/>
        <v>0</v>
      </c>
      <c r="J165" s="430"/>
      <c r="K165" s="224"/>
      <c r="L165" s="242">
        <f t="shared" si="147"/>
        <v>0</v>
      </c>
      <c r="M165" s="430"/>
      <c r="N165" s="224"/>
      <c r="O165" s="242">
        <f t="shared" si="148"/>
        <v>0</v>
      </c>
      <c r="P165" s="430"/>
      <c r="Q165" s="224"/>
      <c r="R165" s="242">
        <f t="shared" si="149"/>
        <v>0</v>
      </c>
      <c r="S165" s="430"/>
      <c r="T165" s="224">
        <f t="shared" si="150"/>
        <v>0</v>
      </c>
      <c r="U165" s="242">
        <f t="shared" si="151"/>
        <v>0</v>
      </c>
      <c r="V165" s="402"/>
      <c r="W165" s="79"/>
      <c r="X165" s="79"/>
      <c r="Y165" s="79"/>
      <c r="Z165" s="79"/>
      <c r="AA165" s="79"/>
      <c r="AB165" s="79"/>
      <c r="AL165" s="169">
        <f>IF(AU165=0,0,IFERROR(INDEX(RanglisteST6!K:K,MATCH(AU165,RanglisteST6!A:A,0)),0))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1.6500000000000001E-7</v>
      </c>
      <c r="BH165" s="169" t="str">
        <f t="shared" si="168"/>
        <v>BK München 1</v>
      </c>
      <c r="BI165" s="168">
        <f t="shared" si="164"/>
        <v>16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1.6500000000000001E-7</v>
      </c>
      <c r="BM165" s="168">
        <f t="shared" si="167"/>
        <v>16</v>
      </c>
    </row>
    <row r="166" spans="1:65" ht="16.95" customHeight="1">
      <c r="A166" s="403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8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8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8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8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8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1"/>
        <v>0</v>
      </c>
      <c r="V166" s="400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IF(AU166=0,0,IFERROR(INDEX(RanglisteST6!K:K,MATCH(AU166,RanglisteST6!A:A,0)),0))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2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0</v>
      </c>
      <c r="AV166" s="167">
        <f t="shared" si="154"/>
        <v>0</v>
      </c>
      <c r="AW166" s="169">
        <f t="shared" si="155"/>
        <v>0</v>
      </c>
      <c r="AX166" s="169">
        <f t="shared" si="156"/>
        <v>0</v>
      </c>
      <c r="AY166" s="169" t="str">
        <f t="shared" si="157"/>
        <v/>
      </c>
      <c r="AZ166" s="169" t="str">
        <f t="shared" si="158"/>
        <v/>
      </c>
      <c r="BA166" s="169" t="str">
        <f t="shared" si="159"/>
        <v/>
      </c>
      <c r="BB166" s="169" t="str">
        <f t="shared" si="160"/>
        <v/>
      </c>
      <c r="BC166" s="169" t="str">
        <f t="shared" si="161"/>
        <v/>
      </c>
      <c r="BD166" s="170"/>
      <c r="BE166" s="168"/>
      <c r="BF166" s="169">
        <f t="shared" si="162"/>
        <v>0</v>
      </c>
      <c r="BG166" s="169">
        <f t="shared" si="163"/>
        <v>1.66E-7</v>
      </c>
      <c r="BH166" s="169" t="str">
        <f t="shared" si="168"/>
        <v>BK München 1</v>
      </c>
      <c r="BI166" s="168">
        <f t="shared" si="164"/>
        <v>15</v>
      </c>
      <c r="BJ166" s="169">
        <f t="shared" si="165"/>
        <v>0</v>
      </c>
      <c r="BK166" s="169">
        <f>IF(COUNTIF(AY166:BC166,"&gt;0")&lt;Spielorte!$A$23,0,AV166/Spielorte!$A$23)</f>
        <v>0</v>
      </c>
      <c r="BL166" s="169">
        <f t="shared" si="166"/>
        <v>1.66E-7</v>
      </c>
      <c r="BM166" s="168">
        <f t="shared" si="167"/>
        <v>15</v>
      </c>
    </row>
    <row r="167" spans="1:65" ht="16.95" customHeight="1">
      <c r="A167" s="404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9"/>
      <c r="H167" s="222"/>
      <c r="I167" s="241">
        <f t="shared" si="146"/>
        <v>0</v>
      </c>
      <c r="J167" s="429"/>
      <c r="K167" s="222"/>
      <c r="L167" s="241">
        <f t="shared" si="147"/>
        <v>0</v>
      </c>
      <c r="M167" s="429"/>
      <c r="N167" s="222"/>
      <c r="O167" s="241">
        <f t="shared" si="148"/>
        <v>0</v>
      </c>
      <c r="P167" s="429"/>
      <c r="Q167" s="222"/>
      <c r="R167" s="241">
        <f t="shared" si="149"/>
        <v>0</v>
      </c>
      <c r="S167" s="429"/>
      <c r="T167" s="222">
        <f t="shared" si="150"/>
        <v>0</v>
      </c>
      <c r="U167" s="241">
        <f t="shared" si="151"/>
        <v>0</v>
      </c>
      <c r="V167" s="401"/>
      <c r="W167" s="79"/>
      <c r="X167" s="79"/>
      <c r="Y167" s="79"/>
      <c r="Z167" s="79"/>
      <c r="AA167" s="79"/>
      <c r="AB167" s="79"/>
      <c r="AL167" s="169">
        <f>IF(AU167=0,0,IFERROR(INDEX(RanglisteST6!K:K,MATCH(AU167,RanglisteST6!A:A,0)),0))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1.67E-7</v>
      </c>
      <c r="BH167" s="169" t="str">
        <f t="shared" si="168"/>
        <v>BK München 1</v>
      </c>
      <c r="BI167" s="168">
        <f t="shared" si="164"/>
        <v>14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1.67E-7</v>
      </c>
      <c r="BM167" s="168">
        <f t="shared" si="167"/>
        <v>14</v>
      </c>
    </row>
    <row r="168" spans="1:65" ht="16.95" customHeight="1" thickBot="1">
      <c r="A168" s="405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30"/>
      <c r="H168" s="224"/>
      <c r="I168" s="242">
        <f t="shared" si="146"/>
        <v>0</v>
      </c>
      <c r="J168" s="430"/>
      <c r="K168" s="224"/>
      <c r="L168" s="242">
        <f t="shared" si="147"/>
        <v>0</v>
      </c>
      <c r="M168" s="430"/>
      <c r="N168" s="224"/>
      <c r="O168" s="242">
        <f t="shared" si="148"/>
        <v>0</v>
      </c>
      <c r="P168" s="430"/>
      <c r="Q168" s="224"/>
      <c r="R168" s="242">
        <f t="shared" si="149"/>
        <v>0</v>
      </c>
      <c r="S168" s="430"/>
      <c r="T168" s="224">
        <f t="shared" si="150"/>
        <v>0</v>
      </c>
      <c r="U168" s="242">
        <f t="shared" si="151"/>
        <v>0</v>
      </c>
      <c r="V168" s="402"/>
      <c r="W168" s="79"/>
      <c r="X168" s="79"/>
      <c r="Y168" s="79"/>
      <c r="Z168" s="79"/>
      <c r="AA168" s="79"/>
      <c r="AB168" s="79"/>
      <c r="AL168" s="169">
        <f>IF(AU168=0,0,IFERROR(INDEX(RanglisteST6!K:K,MATCH(AU168,RanglisteST6!A:A,0)),0))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1.68E-7</v>
      </c>
      <c r="BH168" s="169" t="str">
        <f t="shared" si="168"/>
        <v>BK München 1</v>
      </c>
      <c r="BI168" s="168">
        <f t="shared" si="164"/>
        <v>13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1.68E-7</v>
      </c>
      <c r="BM168" s="168">
        <f t="shared" si="167"/>
        <v>13</v>
      </c>
    </row>
    <row r="169" spans="1:65" ht="16.95" customHeight="1">
      <c r="A169" s="403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8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8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8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8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8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1"/>
        <v>0</v>
      </c>
      <c r="V169" s="400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IF(AU169=0,0,IFERROR(INDEX(RanglisteST6!K:K,MATCH(AU169,RanglisteST6!A:A,0)),0))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2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0</v>
      </c>
      <c r="AV169" s="167">
        <f t="shared" si="154"/>
        <v>0</v>
      </c>
      <c r="AW169" s="169">
        <f t="shared" si="155"/>
        <v>0</v>
      </c>
      <c r="AX169" s="169">
        <f t="shared" si="156"/>
        <v>0</v>
      </c>
      <c r="AY169" s="169" t="str">
        <f t="shared" si="157"/>
        <v/>
      </c>
      <c r="AZ169" s="169" t="str">
        <f t="shared" si="158"/>
        <v/>
      </c>
      <c r="BA169" s="169" t="str">
        <f t="shared" si="159"/>
        <v/>
      </c>
      <c r="BB169" s="169" t="str">
        <f t="shared" si="160"/>
        <v/>
      </c>
      <c r="BC169" s="169" t="str">
        <f t="shared" si="161"/>
        <v/>
      </c>
      <c r="BD169" s="170"/>
      <c r="BE169" s="168"/>
      <c r="BF169" s="169">
        <f t="shared" si="162"/>
        <v>0</v>
      </c>
      <c r="BG169" s="169">
        <f t="shared" si="163"/>
        <v>1.6899999999999999E-7</v>
      </c>
      <c r="BH169" s="169" t="str">
        <f t="shared" si="168"/>
        <v>BK München 1</v>
      </c>
      <c r="BI169" s="168">
        <f t="shared" si="164"/>
        <v>12</v>
      </c>
      <c r="BJ169" s="169">
        <f t="shared" si="165"/>
        <v>0</v>
      </c>
      <c r="BK169" s="169">
        <f>IF(COUNTIF(AY169:BC169,"&gt;0")&lt;Spielorte!$A$23,0,AV169/Spielorte!$A$23)</f>
        <v>0</v>
      </c>
      <c r="BL169" s="169">
        <f t="shared" si="166"/>
        <v>1.6899999999999999E-7</v>
      </c>
      <c r="BM169" s="168">
        <f t="shared" si="167"/>
        <v>12</v>
      </c>
    </row>
    <row r="170" spans="1:65" ht="16.95" customHeight="1">
      <c r="A170" s="404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9"/>
      <c r="H170" s="222"/>
      <c r="I170" s="241">
        <f t="shared" si="146"/>
        <v>0</v>
      </c>
      <c r="J170" s="429"/>
      <c r="K170" s="222"/>
      <c r="L170" s="241">
        <f t="shared" si="147"/>
        <v>0</v>
      </c>
      <c r="M170" s="429"/>
      <c r="N170" s="222"/>
      <c r="O170" s="241">
        <f t="shared" si="148"/>
        <v>0</v>
      </c>
      <c r="P170" s="429"/>
      <c r="Q170" s="222"/>
      <c r="R170" s="241">
        <f t="shared" si="149"/>
        <v>0</v>
      </c>
      <c r="S170" s="429"/>
      <c r="T170" s="222">
        <f t="shared" si="150"/>
        <v>0</v>
      </c>
      <c r="U170" s="241">
        <f t="shared" si="151"/>
        <v>0</v>
      </c>
      <c r="V170" s="401"/>
      <c r="W170" s="79"/>
      <c r="X170" s="79"/>
      <c r="Y170" s="79"/>
      <c r="Z170" s="79"/>
      <c r="AA170" s="79"/>
      <c r="AB170" s="79"/>
      <c r="AL170" s="169">
        <f>IF(AU170=0,0,IFERROR(INDEX(RanglisteST6!K:K,MATCH(AU170,RanglisteST6!A:A,0)),0))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1.6999999999999999E-7</v>
      </c>
      <c r="BH170" s="169" t="str">
        <f t="shared" si="168"/>
        <v>BK München 1</v>
      </c>
      <c r="BI170" s="168">
        <f t="shared" si="164"/>
        <v>11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1.6999999999999999E-7</v>
      </c>
      <c r="BM170" s="168">
        <f t="shared" si="167"/>
        <v>11</v>
      </c>
    </row>
    <row r="171" spans="1:65" ht="16.95" customHeight="1" thickBot="1">
      <c r="A171" s="405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30"/>
      <c r="H171" s="224"/>
      <c r="I171" s="242">
        <f t="shared" si="146"/>
        <v>0</v>
      </c>
      <c r="J171" s="430"/>
      <c r="K171" s="224"/>
      <c r="L171" s="242">
        <f t="shared" si="147"/>
        <v>0</v>
      </c>
      <c r="M171" s="430"/>
      <c r="N171" s="224"/>
      <c r="O171" s="242">
        <f t="shared" si="148"/>
        <v>0</v>
      </c>
      <c r="P171" s="430"/>
      <c r="Q171" s="224"/>
      <c r="R171" s="242">
        <f t="shared" si="149"/>
        <v>0</v>
      </c>
      <c r="S171" s="430"/>
      <c r="T171" s="224">
        <f t="shared" si="150"/>
        <v>0</v>
      </c>
      <c r="U171" s="242">
        <f t="shared" si="151"/>
        <v>0</v>
      </c>
      <c r="V171" s="402"/>
      <c r="W171" s="79"/>
      <c r="X171" s="79"/>
      <c r="Y171" s="79"/>
      <c r="Z171" s="79"/>
      <c r="AA171" s="79"/>
      <c r="AB171" s="79"/>
      <c r="AL171" s="169">
        <f>IF(AU171=0,0,IFERROR(INDEX(RanglisteST6!K:K,MATCH(AU171,RanglisteST6!A:A,0)),0))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1.7100000000000001E-7</v>
      </c>
      <c r="BH171" s="169" t="str">
        <f t="shared" si="168"/>
        <v>BK München 1</v>
      </c>
      <c r="BI171" s="168">
        <f t="shared" si="164"/>
        <v>10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1.7100000000000001E-7</v>
      </c>
      <c r="BM171" s="168">
        <f t="shared" si="167"/>
        <v>10</v>
      </c>
    </row>
    <row r="172" spans="1:65" ht="27.75" customHeight="1" thickBot="1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>
      <c r="B175" s="231" t="s">
        <v>1790</v>
      </c>
      <c r="C175" s="210"/>
      <c r="D175" s="42"/>
      <c r="E175" s="434">
        <f>VLOOKUP($B158,Schlüssel!$A$5:$EK$12,103)</f>
        <v>8</v>
      </c>
      <c r="F175" s="435"/>
      <c r="G175" s="436"/>
      <c r="H175" s="434">
        <f>VLOOKUP($B158,Schlüssel!$A$5:$EK$12,104)</f>
        <v>5</v>
      </c>
      <c r="I175" s="435"/>
      <c r="J175" s="436"/>
      <c r="K175" s="434">
        <f>VLOOKUP($B158,Schlüssel!$A$5:$EK$12,105)</f>
        <v>3</v>
      </c>
      <c r="L175" s="435"/>
      <c r="M175" s="436"/>
      <c r="N175" s="434">
        <f>VLOOKUP($B158,Schlüssel!$A$5:$EK$12,106)</f>
        <v>1</v>
      </c>
      <c r="O175" s="435"/>
      <c r="P175" s="436"/>
      <c r="Q175" s="434">
        <f>VLOOKUP($B158,Schlüssel!$A$5:$EK$12,107)</f>
        <v>6</v>
      </c>
      <c r="R175" s="435"/>
      <c r="S175" s="436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>
      <c r="B176" s="3" t="s">
        <v>9</v>
      </c>
      <c r="C176" s="1"/>
      <c r="D176" s="1"/>
      <c r="E176" s="395" t="str">
        <f>VLOOKUP(E175,Schlüssel!$A$5:$K$12,2)</f>
        <v>EMAX 1</v>
      </c>
      <c r="F176" s="438"/>
      <c r="G176" s="396"/>
      <c r="H176" s="395" t="str">
        <f>VLOOKUP(H175,Schlüssel!$A$5:$K$12,2)</f>
        <v>Berchtesgaden 1</v>
      </c>
      <c r="I176" s="438"/>
      <c r="J176" s="396"/>
      <c r="K176" s="395" t="str">
        <f>VLOOKUP(K175,Schlüssel!$A$5:$K$12,2)</f>
        <v>Highroller Rosenheim 2</v>
      </c>
      <c r="L176" s="438"/>
      <c r="M176" s="396"/>
      <c r="N176" s="395" t="str">
        <f>VLOOKUP(N175,Schlüssel!$A$5:$K$12,2)</f>
        <v>Bad Tölz 1</v>
      </c>
      <c r="O176" s="438"/>
      <c r="P176" s="396"/>
      <c r="Q176" s="395" t="str">
        <f>VLOOKUP(Q175,Schlüssel!$A$5:$K$12,2)</f>
        <v>Bowling Jugend Bayern 1</v>
      </c>
      <c r="R176" s="438"/>
      <c r="S176" s="396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" customHeight="1">
      <c r="B178" s="417" t="s">
        <v>2275</v>
      </c>
      <c r="C178" s="418"/>
      <c r="D178" s="419"/>
      <c r="E178" s="431">
        <f>ABS(INDEX(F:F,MATCH(E175,$B:$B,0)+5)+INDEX(F:F,MATCH(E175,$B:$B,0)+6)+INDEX(F:F,MATCH(E175,$B:$B,0)+7))</f>
        <v>0</v>
      </c>
      <c r="F178" s="432"/>
      <c r="G178" s="433"/>
      <c r="H178" s="431">
        <f>ABS(INDEX(I:I,MATCH(H175,$B:$B,0)+5)+INDEX(I:I,MATCH(H175,$B:$B,0)+6)+INDEX(I:I,MATCH(H175,$B:$B,0)+7))</f>
        <v>0</v>
      </c>
      <c r="I178" s="432"/>
      <c r="J178" s="433"/>
      <c r="K178" s="431">
        <f>ABS(INDEX(L:L,MATCH(K175,$B:$B,0)+5)+INDEX(L:L,MATCH(K175,$B:$B,0)+6)+INDEX(L:L,MATCH(K175,$B:$B,0)+7))</f>
        <v>0</v>
      </c>
      <c r="L178" s="432"/>
      <c r="M178" s="433"/>
      <c r="N178" s="431">
        <f>ABS(INDEX(O:O,MATCH(N175,$B:$B,0)+5)+INDEX(O:O,MATCH(N175,$B:$B,0)+6)+INDEX(O:O,MATCH(N175,$B:$B,0)+7))</f>
        <v>0</v>
      </c>
      <c r="O178" s="432"/>
      <c r="P178" s="433"/>
      <c r="Q178" s="431">
        <f>ABS(INDEX(R:R,MATCH(Q175,$B:$B,0)+5)+INDEX(R:R,MATCH(Q175,$B:$B,0)+6)+INDEX(R:R,MATCH(Q175,$B:$B,0)+7))</f>
        <v>0</v>
      </c>
      <c r="R178" s="432"/>
      <c r="S178" s="433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" customHeight="1">
      <c r="B179" s="417" t="s">
        <v>2276</v>
      </c>
      <c r="C179" s="418"/>
      <c r="D179" s="419"/>
      <c r="E179" s="424">
        <f>ABS(INDEX(F:F,MATCH(E175,$B:$B,0)+8)+INDEX(F:F,MATCH(E175,$B:$B,0)+9)+INDEX(F:F,MATCH(E175,$B:$B,0)+10))</f>
        <v>0</v>
      </c>
      <c r="F179" s="425"/>
      <c r="G179" s="426"/>
      <c r="H179" s="424">
        <f>ABS(INDEX(I:I,MATCH(H175,$B:$B,0)+8)+INDEX(I:I,MATCH(H175,$B:$B,0)+9)+INDEX(I:I,MATCH(H175,$B:$B,0)+10))</f>
        <v>0</v>
      </c>
      <c r="I179" s="425"/>
      <c r="J179" s="426"/>
      <c r="K179" s="424">
        <f>ABS(INDEX(L:L,MATCH(K175,$B:$B,0)+8)+INDEX(L:L,MATCH(K175,$B:$B,0)+9)+INDEX(L:L,MATCH(K175,$B:$B,0)+10))</f>
        <v>0</v>
      </c>
      <c r="L179" s="425"/>
      <c r="M179" s="426"/>
      <c r="N179" s="424">
        <f>ABS(INDEX(O:O,MATCH(N175,$B:$B,0)+8)+INDEX(O:O,MATCH(N175,$B:$B,0)+9)+INDEX(O:O,MATCH(N175,$B:$B,0)+10))</f>
        <v>0</v>
      </c>
      <c r="O179" s="425"/>
      <c r="P179" s="426"/>
      <c r="Q179" s="424">
        <f>ABS(INDEX(R:R,MATCH(Q175,$B:$B,0)+8)+INDEX(R:R,MATCH(Q175,$B:$B,0)+9)+INDEX(R:R,MATCH(Q175,$B:$B,0)+10))</f>
        <v>0</v>
      </c>
      <c r="R179" s="425"/>
      <c r="S179" s="426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" customHeight="1">
      <c r="B180" s="417" t="s">
        <v>2277</v>
      </c>
      <c r="C180" s="418"/>
      <c r="D180" s="419"/>
      <c r="E180" s="424">
        <f>ABS(INDEX(F:F,MATCH(E175,$B:$B,0)+11)+INDEX(F:F,MATCH(E175,$B:$B,0)+12)+INDEX(F:F,MATCH(E175,$B:$B,0)+13))</f>
        <v>0</v>
      </c>
      <c r="F180" s="425"/>
      <c r="G180" s="426"/>
      <c r="H180" s="424">
        <f>ABS(INDEX(I:I,MATCH(H175,$B:$B,0)+11)+INDEX(I:I,MATCH(H175,$B:$B,0)+12)+INDEX(I:I,MATCH(H175,$B:$B,0)+13))</f>
        <v>0</v>
      </c>
      <c r="I180" s="425"/>
      <c r="J180" s="426"/>
      <c r="K180" s="424">
        <f>ABS(INDEX(L:L,MATCH(K175,$B:$B,0)+11)+INDEX(L:L,MATCH(K175,$B:$B,0)+12)+INDEX(L:L,MATCH(K175,$B:$B,0)+13))</f>
        <v>0</v>
      </c>
      <c r="L180" s="425"/>
      <c r="M180" s="426"/>
      <c r="N180" s="424">
        <f>ABS(INDEX(O:O,MATCH(N175,$B:$B,0)+11)+INDEX(O:O,MATCH(N175,$B:$B,0)+12)+INDEX(O:O,MATCH(N175,$B:$B,0)+13))</f>
        <v>0</v>
      </c>
      <c r="O180" s="425"/>
      <c r="P180" s="426"/>
      <c r="Q180" s="424">
        <f>ABS(INDEX(R:R,MATCH(Q175,$B:$B,0)+11)+INDEX(R:R,MATCH(Q175,$B:$B,0)+12)+INDEX(R:R,MATCH(Q175,$B:$B,0)+13))</f>
        <v>0</v>
      </c>
      <c r="R180" s="425"/>
      <c r="S180" s="426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" customHeight="1">
      <c r="B181" s="420" t="s">
        <v>2278</v>
      </c>
      <c r="C181" s="421"/>
      <c r="D181" s="422"/>
      <c r="E181" s="407">
        <f>SUM(E178:E180)</f>
        <v>0</v>
      </c>
      <c r="F181" s="423"/>
      <c r="G181" s="408"/>
      <c r="H181" s="407">
        <f>SUM(H178:H180)</f>
        <v>0</v>
      </c>
      <c r="I181" s="423"/>
      <c r="J181" s="408"/>
      <c r="K181" s="407">
        <f>SUM(K178:K180)</f>
        <v>0</v>
      </c>
      <c r="L181" s="423"/>
      <c r="M181" s="408"/>
      <c r="N181" s="407">
        <f>SUM(N178:N180)</f>
        <v>0</v>
      </c>
      <c r="O181" s="423"/>
      <c r="P181" s="408"/>
      <c r="Q181" s="407">
        <f>SUM(Q178:Q180)</f>
        <v>0</v>
      </c>
      <c r="R181" s="423"/>
      <c r="S181" s="408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>
      <c r="A183" s="255"/>
      <c r="B183" s="7" t="s">
        <v>1802</v>
      </c>
      <c r="C183" s="24"/>
      <c r="D183" s="24"/>
      <c r="E183" s="35" t="s">
        <v>1786</v>
      </c>
      <c r="F183" s="35"/>
      <c r="G183" s="427" t="str">
        <f>Schlüssel!$C$1</f>
        <v>Landesliga Jugend</v>
      </c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06">
        <f>Schlüssel!$DI$1</f>
        <v>45808</v>
      </c>
      <c r="T183" s="406"/>
      <c r="U183" s="406"/>
      <c r="V183" s="406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>
      <c r="A184" s="53"/>
      <c r="B184" s="54">
        <v>8</v>
      </c>
      <c r="E184" s="35" t="s">
        <v>1787</v>
      </c>
      <c r="F184" s="35"/>
      <c r="G184" s="413" t="str">
        <f>Schlüssel!$CY$2</f>
        <v>Rosenheim In(n) Bowling</v>
      </c>
      <c r="H184" s="413"/>
      <c r="I184" s="413"/>
      <c r="J184" s="413"/>
      <c r="K184" s="413"/>
      <c r="L184" s="413"/>
      <c r="M184" s="413"/>
      <c r="N184" s="413"/>
      <c r="O184" s="413"/>
      <c r="P184" s="66"/>
      <c r="Q184" s="411" t="s">
        <v>1785</v>
      </c>
      <c r="R184" s="412"/>
      <c r="S184" s="38">
        <v>6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>
      <c r="B185" s="414" t="str">
        <f>VLOOKUP(B184,Schlüssel!$A$5:$B$12,2)</f>
        <v>EMAX 1</v>
      </c>
      <c r="C185" s="415"/>
      <c r="D185" s="415"/>
      <c r="E185" s="415"/>
      <c r="F185" s="415"/>
      <c r="G185" s="416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3.8" hidden="1" thickBot="1">
      <c r="A186" s="6"/>
      <c r="B186" s="7"/>
      <c r="C186" s="43"/>
      <c r="D186" s="43"/>
      <c r="E186" s="162" t="s">
        <v>10</v>
      </c>
      <c r="F186" s="220"/>
      <c r="G186" s="159">
        <f>VLOOKUP(B184,Schlüssel!$A$5:$EK$12,113)</f>
        <v>11</v>
      </c>
      <c r="H186" s="161" t="s">
        <v>10</v>
      </c>
      <c r="I186" s="220"/>
      <c r="J186" s="159">
        <f>VLOOKUP(B184,Schlüssel!$A$5:$EK$12,114)</f>
        <v>15</v>
      </c>
      <c r="K186" s="161" t="s">
        <v>10</v>
      </c>
      <c r="L186" s="220"/>
      <c r="M186" s="159">
        <f>VLOOKUP(B184,Schlüssel!$A$5:$EK$12,115)</f>
        <v>17</v>
      </c>
      <c r="N186" s="161" t="s">
        <v>10</v>
      </c>
      <c r="O186" s="220"/>
      <c r="P186" s="159">
        <f>VLOOKUP(B184,Schlüssel!$A$5:$EK$12,116)</f>
        <v>15</v>
      </c>
      <c r="Q186" s="161" t="s">
        <v>10</v>
      </c>
      <c r="R186" s="220"/>
      <c r="S186" s="160">
        <f>VLOOKUP(B184,Schlüssel!$A$5:$EK$12,117)</f>
        <v>14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>
      <c r="B187" s="44" t="s">
        <v>1</v>
      </c>
      <c r="C187" s="208"/>
      <c r="D187" s="217"/>
      <c r="E187" s="423" t="s">
        <v>1793</v>
      </c>
      <c r="F187" s="423"/>
      <c r="G187" s="408"/>
      <c r="H187" s="407" t="s">
        <v>1794</v>
      </c>
      <c r="I187" s="423"/>
      <c r="J187" s="408"/>
      <c r="K187" s="407" t="s">
        <v>1795</v>
      </c>
      <c r="L187" s="423"/>
      <c r="M187" s="408"/>
      <c r="N187" s="407" t="s">
        <v>1796</v>
      </c>
      <c r="O187" s="423"/>
      <c r="P187" s="408"/>
      <c r="Q187" s="407" t="s">
        <v>1797</v>
      </c>
      <c r="R187" s="423"/>
      <c r="S187" s="437"/>
      <c r="T187" s="439" t="s">
        <v>1792</v>
      </c>
      <c r="U187" s="440"/>
      <c r="V187" s="410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6.95" customHeight="1">
      <c r="A189" s="403" t="s">
        <v>0</v>
      </c>
      <c r="B189" s="58" t="str">
        <f>IF(C189=0,"",VLOOKUP(C189,Starter!$A$1:$D$196,2,FALSE))</f>
        <v/>
      </c>
      <c r="C189" s="232"/>
      <c r="D189" s="238">
        <f t="shared" ref="D189:D197" si="169">+AP189</f>
        <v>0</v>
      </c>
      <c r="E189" s="221"/>
      <c r="F189" s="240">
        <f t="shared" ref="F189:F197" si="170">IF(E189&gt;0,E189+$D189,0)</f>
        <v>0</v>
      </c>
      <c r="G189" s="428">
        <f>IF(SUM(F189:F191)+E204=0,0,IF(ABS(SUM(F189:F191))=E204,Spielorte!$A$30/2,IF(ABS(SUM(F189:F191))&gt;E204,Spielorte!$A$30,0)))</f>
        <v>0</v>
      </c>
      <c r="H189" s="221"/>
      <c r="I189" s="240">
        <f t="shared" ref="I189:I197" si="171">IF(H189&gt;0,H189+$D189,0)</f>
        <v>0</v>
      </c>
      <c r="J189" s="428">
        <f>IF(SUM(I189:I191)+H204=0,0,IF(ABS(SUM(I189:I191))=H204,Spielorte!$A$30/2,IF(ABS(SUM(I189:I191))&gt;H204,Spielorte!$A$30,0)))</f>
        <v>0</v>
      </c>
      <c r="K189" s="221"/>
      <c r="L189" s="240">
        <f t="shared" ref="L189:L197" si="172">IF(K189&gt;0,K189+$D189,0)</f>
        <v>0</v>
      </c>
      <c r="M189" s="428">
        <f>IF(SUM(L189:L191)+K204=0,0,IF(ABS(SUM(L189:L191))=K204,Spielorte!$A$30/2,IF(ABS(SUM(L189:L191))&gt;K204,Spielorte!$A$30,0)))</f>
        <v>0</v>
      </c>
      <c r="N189" s="221"/>
      <c r="O189" s="240">
        <f t="shared" ref="O189:O197" si="173">IF(N189&gt;0,N189+$D189,0)</f>
        <v>0</v>
      </c>
      <c r="P189" s="428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8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0</v>
      </c>
      <c r="U189" s="240">
        <f t="shared" ref="U189:U197" si="176">ABS(SUM(F189:F189))+ABS(SUM(I189:I189))+ABS(SUM(L189:L189))+ABS(SUM(O189:O189))+ABS(SUM(R189:R189))</f>
        <v>0</v>
      </c>
      <c r="V189" s="400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IF(AU189=0,0,IFERROR(INDEX(RanglisteST6!K:K,MATCH(AU189,RanglisteST6!A:A,0)),0))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7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8">C189</f>
        <v>0</v>
      </c>
      <c r="AV189" s="167">
        <f t="shared" ref="AV189:AV197" si="179">T189</f>
        <v>0</v>
      </c>
      <c r="AW189" s="169">
        <f t="shared" ref="AW189:AW197" si="180">COUNT(AY189:BC189)</f>
        <v>0</v>
      </c>
      <c r="AX189" s="169">
        <f t="shared" ref="AX189:AX197" si="181">COUNTIF(AY189:BC189,"&gt;0")</f>
        <v>0</v>
      </c>
      <c r="AY189" s="169" t="str">
        <f t="shared" ref="AY189:AY197" si="182">IF(E189=0,"",E189)</f>
        <v/>
      </c>
      <c r="AZ189" s="169" t="str">
        <f t="shared" ref="AZ189:AZ197" si="183">IF(H189=0,"",H189)</f>
        <v/>
      </c>
      <c r="BA189" s="169" t="str">
        <f t="shared" ref="BA189:BA197" si="184">IF(K189=0,"",K189)</f>
        <v/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0</v>
      </c>
      <c r="BG189" s="169">
        <f t="shared" ref="BG189:BG197" si="188">IF(BF189&lt;MAX(BF:BF),0,BF189+ROW()/1000000000)</f>
        <v>1.8900000000000001E-7</v>
      </c>
      <c r="BH189" s="169" t="str">
        <f>+B185</f>
        <v>EMAX 1</v>
      </c>
      <c r="BI189" s="168">
        <f t="shared" ref="BI189:BI197" si="189">RANK(BG189,BG:BG)</f>
        <v>9</v>
      </c>
      <c r="BJ189" s="169">
        <f t="shared" ref="BJ189:BJ197" si="190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1.8900000000000001E-7</v>
      </c>
      <c r="BM189" s="168">
        <f t="shared" ref="BM189:BM197" si="192">IF(BL189=0,0,RANK(BL189,BL:BL))</f>
        <v>9</v>
      </c>
    </row>
    <row r="190" spans="1:65" ht="16.95" customHeight="1">
      <c r="A190" s="404"/>
      <c r="B190" s="58" t="str">
        <f>IF(C190=0,"",VLOOKUP(C190,Starter!$A$1:$D$196,2,FALSE))</f>
        <v/>
      </c>
      <c r="C190" s="233"/>
      <c r="D190" s="239">
        <f t="shared" si="169"/>
        <v>0</v>
      </c>
      <c r="E190" s="222"/>
      <c r="F190" s="241">
        <f t="shared" si="170"/>
        <v>0</v>
      </c>
      <c r="G190" s="429"/>
      <c r="H190" s="222"/>
      <c r="I190" s="241">
        <f t="shared" si="171"/>
        <v>0</v>
      </c>
      <c r="J190" s="429"/>
      <c r="K190" s="222"/>
      <c r="L190" s="241">
        <f t="shared" si="172"/>
        <v>0</v>
      </c>
      <c r="M190" s="429"/>
      <c r="N190" s="222"/>
      <c r="O190" s="241">
        <f t="shared" si="173"/>
        <v>0</v>
      </c>
      <c r="P190" s="429"/>
      <c r="Q190" s="222"/>
      <c r="R190" s="241">
        <f t="shared" si="174"/>
        <v>0</v>
      </c>
      <c r="S190" s="429"/>
      <c r="T190" s="222">
        <f t="shared" si="175"/>
        <v>0</v>
      </c>
      <c r="U190" s="241">
        <f t="shared" si="176"/>
        <v>0</v>
      </c>
      <c r="V190" s="401"/>
      <c r="W190" s="79"/>
      <c r="X190" s="79"/>
      <c r="Y190" s="79"/>
      <c r="Z190" s="79"/>
      <c r="AA190" s="79"/>
      <c r="AB190" s="79"/>
      <c r="AL190" s="169">
        <f>IF(AU190=0,0,IFERROR(INDEX(RanglisteST6!K:K,MATCH(AU190,RanglisteST6!A:A,0)),0))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7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8"/>
        <v>0</v>
      </c>
      <c r="AV190" s="167">
        <f t="shared" si="179"/>
        <v>0</v>
      </c>
      <c r="AW190" s="169">
        <f t="shared" si="180"/>
        <v>0</v>
      </c>
      <c r="AX190" s="169">
        <f t="shared" si="181"/>
        <v>0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 t="str">
        <f t="shared" si="185"/>
        <v/>
      </c>
      <c r="BC190" s="169" t="str">
        <f t="shared" si="186"/>
        <v/>
      </c>
      <c r="BD190" s="170"/>
      <c r="BE190" s="168"/>
      <c r="BF190" s="169">
        <f t="shared" si="187"/>
        <v>0</v>
      </c>
      <c r="BG190" s="169">
        <f t="shared" si="188"/>
        <v>1.9000000000000001E-7</v>
      </c>
      <c r="BH190" s="169" t="str">
        <f t="shared" ref="BH190:BH197" si="193">+BH189</f>
        <v>EMAX 1</v>
      </c>
      <c r="BI190" s="168">
        <f t="shared" si="189"/>
        <v>8</v>
      </c>
      <c r="BJ190" s="169">
        <f t="shared" si="190"/>
        <v>0</v>
      </c>
      <c r="BK190" s="169">
        <f>IF(COUNTIF(AY190:BC190,"&gt;0")&lt;Spielorte!$A$23,0,AV190/Spielorte!$A$23)</f>
        <v>0</v>
      </c>
      <c r="BL190" s="169">
        <f t="shared" si="191"/>
        <v>1.9000000000000001E-7</v>
      </c>
      <c r="BM190" s="168">
        <f t="shared" si="192"/>
        <v>8</v>
      </c>
    </row>
    <row r="191" spans="1:65" ht="16.95" customHeight="1" thickBot="1">
      <c r="A191" s="405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30"/>
      <c r="H191" s="224"/>
      <c r="I191" s="242">
        <f t="shared" si="171"/>
        <v>0</v>
      </c>
      <c r="J191" s="430"/>
      <c r="K191" s="224"/>
      <c r="L191" s="242">
        <f t="shared" si="172"/>
        <v>0</v>
      </c>
      <c r="M191" s="430"/>
      <c r="N191" s="224"/>
      <c r="O191" s="242">
        <f t="shared" si="173"/>
        <v>0</v>
      </c>
      <c r="P191" s="430"/>
      <c r="Q191" s="224"/>
      <c r="R191" s="242">
        <f t="shared" si="174"/>
        <v>0</v>
      </c>
      <c r="S191" s="430"/>
      <c r="T191" s="224">
        <f t="shared" si="175"/>
        <v>0</v>
      </c>
      <c r="U191" s="242">
        <f t="shared" si="176"/>
        <v>0</v>
      </c>
      <c r="V191" s="402"/>
      <c r="W191" s="79"/>
      <c r="X191" s="79"/>
      <c r="Y191" s="79"/>
      <c r="Z191" s="79"/>
      <c r="AA191" s="79"/>
      <c r="AB191" s="79"/>
      <c r="AL191" s="169">
        <f>IF(AU191=0,0,IFERROR(INDEX(RanglisteST6!K:K,MATCH(AU191,RanglisteST6!A:A,0)),0))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1.91E-7</v>
      </c>
      <c r="BH191" s="169" t="str">
        <f t="shared" si="193"/>
        <v>EMAX 1</v>
      </c>
      <c r="BI191" s="168">
        <f t="shared" si="189"/>
        <v>7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1.91E-7</v>
      </c>
      <c r="BM191" s="168">
        <f t="shared" si="192"/>
        <v>7</v>
      </c>
    </row>
    <row r="192" spans="1:65" ht="16.95" customHeight="1">
      <c r="A192" s="403" t="s">
        <v>2</v>
      </c>
      <c r="B192" s="58" t="str">
        <f>IF(C192=0,"",VLOOKUP(C192,Starter!$A$1:$D$196,2,FALSE))</f>
        <v/>
      </c>
      <c r="C192" s="235"/>
      <c r="D192" s="238">
        <f t="shared" si="169"/>
        <v>0</v>
      </c>
      <c r="E192" s="221"/>
      <c r="F192" s="240">
        <f t="shared" si="170"/>
        <v>0</v>
      </c>
      <c r="G192" s="428">
        <f>IF(SUM(F192:F194)+E205=0,0,IF(ABS(SUM(F192:F194))=E205,Spielorte!$A$30/2,IF(ABS(SUM(F192:F194))&gt;E205,Spielorte!$A$30,0)))</f>
        <v>0</v>
      </c>
      <c r="H192" s="221"/>
      <c r="I192" s="240">
        <f t="shared" si="171"/>
        <v>0</v>
      </c>
      <c r="J192" s="428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8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8">
        <f>IF(SUM(O192:O194)+N205=0,0,IF(ABS(SUM(O192:O194))=N205,Spielorte!$A$30/2,IF(ABS(SUM(O192:O194))&gt;N205,Spielorte!$A$30,0)))</f>
        <v>0</v>
      </c>
      <c r="Q192" s="221"/>
      <c r="R192" s="240">
        <f t="shared" si="174"/>
        <v>0</v>
      </c>
      <c r="S192" s="428">
        <f>IF(SUM(R192:R194)+Q205=0,0,IF(ABS(SUM(R192:R194))=Q205,Spielorte!$A$30/2,IF(ABS(SUM(R192:R194))&gt;Q205,Spielorte!$A$30,0)))</f>
        <v>0</v>
      </c>
      <c r="T192" s="221">
        <f t="shared" si="175"/>
        <v>0</v>
      </c>
      <c r="U192" s="240">
        <f t="shared" si="176"/>
        <v>0</v>
      </c>
      <c r="V192" s="400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IF(AU192=0,0,IFERROR(INDEX(RanglisteST6!K:K,MATCH(AU192,RanglisteST6!A:A,0)),0))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7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8"/>
        <v>0</v>
      </c>
      <c r="AV192" s="167">
        <f t="shared" si="179"/>
        <v>0</v>
      </c>
      <c r="AW192" s="169">
        <f t="shared" si="180"/>
        <v>0</v>
      </c>
      <c r="AX192" s="169">
        <f t="shared" si="181"/>
        <v>0</v>
      </c>
      <c r="AY192" s="169" t="str">
        <f t="shared" si="182"/>
        <v/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0</v>
      </c>
      <c r="BG192" s="169">
        <f t="shared" si="188"/>
        <v>1.92E-7</v>
      </c>
      <c r="BH192" s="169" t="str">
        <f t="shared" si="193"/>
        <v>EMAX 1</v>
      </c>
      <c r="BI192" s="168">
        <f t="shared" si="189"/>
        <v>6</v>
      </c>
      <c r="BJ192" s="169">
        <f t="shared" si="190"/>
        <v>0</v>
      </c>
      <c r="BK192" s="169">
        <f>IF(COUNTIF(AY192:BC192,"&gt;0")&lt;Spielorte!$A$23,0,AV192/Spielorte!$A$23)</f>
        <v>0</v>
      </c>
      <c r="BL192" s="169">
        <f t="shared" si="191"/>
        <v>1.92E-7</v>
      </c>
      <c r="BM192" s="168">
        <f t="shared" si="192"/>
        <v>6</v>
      </c>
    </row>
    <row r="193" spans="1:65" ht="16.95" customHeight="1">
      <c r="A193" s="404"/>
      <c r="B193" s="58" t="str">
        <f>IF(C193=0,"",VLOOKUP(C193,Starter!$A$1:$D$196,2,FALSE))</f>
        <v/>
      </c>
      <c r="C193" s="233"/>
      <c r="D193" s="239">
        <f t="shared" si="169"/>
        <v>0</v>
      </c>
      <c r="E193" s="222"/>
      <c r="F193" s="241">
        <f t="shared" si="170"/>
        <v>0</v>
      </c>
      <c r="G193" s="429"/>
      <c r="H193" s="222"/>
      <c r="I193" s="241">
        <f t="shared" si="171"/>
        <v>0</v>
      </c>
      <c r="J193" s="429"/>
      <c r="K193" s="222"/>
      <c r="L193" s="241">
        <f t="shared" si="172"/>
        <v>0</v>
      </c>
      <c r="M193" s="429"/>
      <c r="N193" s="222"/>
      <c r="O193" s="241">
        <f t="shared" si="173"/>
        <v>0</v>
      </c>
      <c r="P193" s="429"/>
      <c r="Q193" s="222"/>
      <c r="R193" s="241">
        <f t="shared" si="174"/>
        <v>0</v>
      </c>
      <c r="S193" s="429"/>
      <c r="T193" s="222">
        <f t="shared" si="175"/>
        <v>0</v>
      </c>
      <c r="U193" s="241">
        <f t="shared" si="176"/>
        <v>0</v>
      </c>
      <c r="V193" s="401"/>
      <c r="W193" s="79"/>
      <c r="X193" s="79"/>
      <c r="Y193" s="79"/>
      <c r="Z193" s="79"/>
      <c r="AA193" s="79"/>
      <c r="AB193" s="79"/>
      <c r="AL193" s="169">
        <f>IF(AU193=0,0,IFERROR(INDEX(RanglisteST6!K:K,MATCH(AU193,RanglisteST6!A:A,0)),0))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7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8"/>
        <v>0</v>
      </c>
      <c r="AV193" s="167">
        <f t="shared" si="179"/>
        <v>0</v>
      </c>
      <c r="AW193" s="169">
        <f t="shared" si="180"/>
        <v>0</v>
      </c>
      <c r="AX193" s="169">
        <f t="shared" si="181"/>
        <v>0</v>
      </c>
      <c r="AY193" s="169" t="str">
        <f t="shared" si="182"/>
        <v/>
      </c>
      <c r="AZ193" s="169" t="str">
        <f t="shared" si="183"/>
        <v/>
      </c>
      <c r="BA193" s="169" t="str">
        <f t="shared" si="184"/>
        <v/>
      </c>
      <c r="BB193" s="169" t="str">
        <f t="shared" si="185"/>
        <v/>
      </c>
      <c r="BC193" s="169" t="str">
        <f t="shared" si="186"/>
        <v/>
      </c>
      <c r="BD193" s="170"/>
      <c r="BE193" s="168"/>
      <c r="BF193" s="169">
        <f t="shared" si="187"/>
        <v>0</v>
      </c>
      <c r="BG193" s="169">
        <f t="shared" si="188"/>
        <v>1.9299999999999999E-7</v>
      </c>
      <c r="BH193" s="169" t="str">
        <f t="shared" si="193"/>
        <v>EMAX 1</v>
      </c>
      <c r="BI193" s="168">
        <f t="shared" si="189"/>
        <v>5</v>
      </c>
      <c r="BJ193" s="169">
        <f t="shared" si="190"/>
        <v>0</v>
      </c>
      <c r="BK193" s="169">
        <f>IF(COUNTIF(AY193:BC193,"&gt;0")&lt;Spielorte!$A$23,0,AV193/Spielorte!$A$23)</f>
        <v>0</v>
      </c>
      <c r="BL193" s="169">
        <f t="shared" si="191"/>
        <v>1.9299999999999999E-7</v>
      </c>
      <c r="BM193" s="168">
        <f t="shared" si="192"/>
        <v>5</v>
      </c>
    </row>
    <row r="194" spans="1:65" ht="16.95" customHeight="1" thickBot="1">
      <c r="A194" s="405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30"/>
      <c r="H194" s="224"/>
      <c r="I194" s="242">
        <f t="shared" si="171"/>
        <v>0</v>
      </c>
      <c r="J194" s="430"/>
      <c r="K194" s="224"/>
      <c r="L194" s="242">
        <f t="shared" si="172"/>
        <v>0</v>
      </c>
      <c r="M194" s="430"/>
      <c r="N194" s="224"/>
      <c r="O194" s="242">
        <f t="shared" si="173"/>
        <v>0</v>
      </c>
      <c r="P194" s="430"/>
      <c r="Q194" s="224"/>
      <c r="R194" s="242">
        <f t="shared" si="174"/>
        <v>0</v>
      </c>
      <c r="S194" s="430"/>
      <c r="T194" s="224">
        <f t="shared" si="175"/>
        <v>0</v>
      </c>
      <c r="U194" s="242">
        <f t="shared" si="176"/>
        <v>0</v>
      </c>
      <c r="V194" s="402"/>
      <c r="W194" s="79"/>
      <c r="X194" s="79"/>
      <c r="Y194" s="79"/>
      <c r="Z194" s="79"/>
      <c r="AA194" s="79"/>
      <c r="AB194" s="79"/>
      <c r="AL194" s="169">
        <f>IF(AU194=0,0,IFERROR(INDEX(RanglisteST6!K:K,MATCH(AU194,RanglisteST6!A:A,0)),0))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1.9399999999999999E-7</v>
      </c>
      <c r="BH194" s="169" t="str">
        <f t="shared" si="193"/>
        <v>EMAX 1</v>
      </c>
      <c r="BI194" s="168">
        <f t="shared" si="189"/>
        <v>4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1.9399999999999999E-7</v>
      </c>
      <c r="BM194" s="168">
        <f t="shared" si="192"/>
        <v>4</v>
      </c>
    </row>
    <row r="195" spans="1:65" ht="16.95" customHeight="1">
      <c r="A195" s="403" t="s">
        <v>3</v>
      </c>
      <c r="B195" s="58" t="str">
        <f>IF(C195=0,"",VLOOKUP(C195,Starter!$A$1:$D$196,2,FALSE))</f>
        <v/>
      </c>
      <c r="C195" s="235"/>
      <c r="D195" s="238">
        <f t="shared" si="169"/>
        <v>0</v>
      </c>
      <c r="E195" s="221"/>
      <c r="F195" s="240">
        <f t="shared" si="170"/>
        <v>0</v>
      </c>
      <c r="G195" s="428">
        <f>IF(SUM(F195:F197)+E206=0,0,IF(ABS(SUM(F195:F197))=E206,Spielorte!$A$30/2,IF(ABS(SUM(F195:F197))&gt;E206,Spielorte!$A$30,0)))</f>
        <v>0</v>
      </c>
      <c r="H195" s="221"/>
      <c r="I195" s="240">
        <f t="shared" si="171"/>
        <v>0</v>
      </c>
      <c r="J195" s="428">
        <f>IF(SUM(I195:I197)+H206=0,0,IF(ABS(SUM(I195:I197))=H206,Spielorte!$A$30/2,IF(ABS(SUM(I195:I197))&gt;H206,Spielorte!$A$30,0)))</f>
        <v>0</v>
      </c>
      <c r="K195" s="221"/>
      <c r="L195" s="240">
        <f t="shared" si="172"/>
        <v>0</v>
      </c>
      <c r="M195" s="428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8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8">
        <f>IF(SUM(R195:R197)+Q206=0,0,IF(ABS(SUM(R195:R197))=Q206,Spielorte!$A$30/2,IF(ABS(SUM(R195:R197))&gt;Q206,Spielorte!$A$30,0)))</f>
        <v>0</v>
      </c>
      <c r="T195" s="221">
        <f t="shared" si="175"/>
        <v>0</v>
      </c>
      <c r="U195" s="240">
        <f t="shared" si="176"/>
        <v>0</v>
      </c>
      <c r="V195" s="400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IF(AU195=0,0,IFERROR(INDEX(RanglisteST6!K:K,MATCH(AU195,RanglisteST6!A:A,0)),0))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7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8"/>
        <v>0</v>
      </c>
      <c r="AV195" s="167">
        <f t="shared" si="179"/>
        <v>0</v>
      </c>
      <c r="AW195" s="169">
        <f t="shared" si="180"/>
        <v>0</v>
      </c>
      <c r="AX195" s="169">
        <f t="shared" si="181"/>
        <v>0</v>
      </c>
      <c r="AY195" s="169" t="str">
        <f t="shared" si="182"/>
        <v/>
      </c>
      <c r="AZ195" s="169" t="str">
        <f t="shared" si="183"/>
        <v/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0</v>
      </c>
      <c r="BG195" s="169">
        <f t="shared" si="188"/>
        <v>1.9500000000000001E-7</v>
      </c>
      <c r="BH195" s="169" t="str">
        <f t="shared" si="193"/>
        <v>EMAX 1</v>
      </c>
      <c r="BI195" s="168">
        <f t="shared" si="189"/>
        <v>3</v>
      </c>
      <c r="BJ195" s="169">
        <f t="shared" si="190"/>
        <v>0</v>
      </c>
      <c r="BK195" s="169">
        <f>IF(COUNTIF(AY195:BC195,"&gt;0")&lt;Spielorte!$A$23,0,AV195/Spielorte!$A$23)</f>
        <v>0</v>
      </c>
      <c r="BL195" s="169">
        <f t="shared" si="191"/>
        <v>1.9500000000000001E-7</v>
      </c>
      <c r="BM195" s="168">
        <f t="shared" si="192"/>
        <v>3</v>
      </c>
    </row>
    <row r="196" spans="1:65" ht="16.95" customHeight="1">
      <c r="A196" s="404"/>
      <c r="B196" s="58" t="str">
        <f>IF(C196=0,"",VLOOKUP(C196,Starter!$A$1:$D$196,2,FALSE))</f>
        <v/>
      </c>
      <c r="C196" s="233"/>
      <c r="D196" s="239">
        <f t="shared" si="169"/>
        <v>0</v>
      </c>
      <c r="E196" s="222"/>
      <c r="F196" s="241">
        <f t="shared" si="170"/>
        <v>0</v>
      </c>
      <c r="G196" s="429"/>
      <c r="H196" s="222"/>
      <c r="I196" s="241">
        <f t="shared" si="171"/>
        <v>0</v>
      </c>
      <c r="J196" s="429"/>
      <c r="K196" s="222"/>
      <c r="L196" s="241">
        <f t="shared" si="172"/>
        <v>0</v>
      </c>
      <c r="M196" s="429"/>
      <c r="N196" s="222"/>
      <c r="O196" s="241">
        <f t="shared" si="173"/>
        <v>0</v>
      </c>
      <c r="P196" s="429"/>
      <c r="Q196" s="222"/>
      <c r="R196" s="241">
        <f t="shared" si="174"/>
        <v>0</v>
      </c>
      <c r="S196" s="429"/>
      <c r="T196" s="222">
        <f t="shared" si="175"/>
        <v>0</v>
      </c>
      <c r="U196" s="241">
        <f t="shared" si="176"/>
        <v>0</v>
      </c>
      <c r="V196" s="401"/>
      <c r="W196" s="79"/>
      <c r="X196" s="79"/>
      <c r="Y196" s="79"/>
      <c r="Z196" s="79"/>
      <c r="AA196" s="79"/>
      <c r="AB196" s="79"/>
      <c r="AL196" s="169">
        <f>IF(AU196=0,0,IFERROR(INDEX(RanglisteST6!K:K,MATCH(AU196,RanglisteST6!A:A,0)),0))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7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8"/>
        <v>0</v>
      </c>
      <c r="AV196" s="167">
        <f t="shared" si="179"/>
        <v>0</v>
      </c>
      <c r="AW196" s="169">
        <f t="shared" si="180"/>
        <v>0</v>
      </c>
      <c r="AX196" s="169">
        <f t="shared" si="181"/>
        <v>0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 t="str">
        <f t="shared" si="185"/>
        <v/>
      </c>
      <c r="BC196" s="169" t="str">
        <f t="shared" si="186"/>
        <v/>
      </c>
      <c r="BD196" s="170"/>
      <c r="BE196" s="168"/>
      <c r="BF196" s="169">
        <f t="shared" si="187"/>
        <v>0</v>
      </c>
      <c r="BG196" s="169">
        <f t="shared" si="188"/>
        <v>1.9600000000000001E-7</v>
      </c>
      <c r="BH196" s="169" t="str">
        <f t="shared" si="193"/>
        <v>EMAX 1</v>
      </c>
      <c r="BI196" s="168">
        <f t="shared" si="189"/>
        <v>2</v>
      </c>
      <c r="BJ196" s="169">
        <f t="shared" si="190"/>
        <v>0</v>
      </c>
      <c r="BK196" s="169">
        <f>IF(COUNTIF(AY196:BC196,"&gt;0")&lt;Spielorte!$A$23,0,AV196/Spielorte!$A$23)</f>
        <v>0</v>
      </c>
      <c r="BL196" s="169">
        <f t="shared" si="191"/>
        <v>1.9600000000000001E-7</v>
      </c>
      <c r="BM196" s="168">
        <f t="shared" si="192"/>
        <v>2</v>
      </c>
    </row>
    <row r="197" spans="1:65" ht="16.95" customHeight="1" thickBot="1">
      <c r="A197" s="405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30"/>
      <c r="H197" s="224"/>
      <c r="I197" s="242">
        <f t="shared" si="171"/>
        <v>0</v>
      </c>
      <c r="J197" s="430"/>
      <c r="K197" s="224"/>
      <c r="L197" s="242">
        <f t="shared" si="172"/>
        <v>0</v>
      </c>
      <c r="M197" s="430"/>
      <c r="N197" s="224"/>
      <c r="O197" s="242">
        <f t="shared" si="173"/>
        <v>0</v>
      </c>
      <c r="P197" s="430"/>
      <c r="Q197" s="224"/>
      <c r="R197" s="242">
        <f t="shared" si="174"/>
        <v>0</v>
      </c>
      <c r="S197" s="430"/>
      <c r="T197" s="224">
        <f t="shared" si="175"/>
        <v>0</v>
      </c>
      <c r="U197" s="242">
        <f t="shared" si="176"/>
        <v>0</v>
      </c>
      <c r="V197" s="402"/>
      <c r="W197" s="79"/>
      <c r="X197" s="79"/>
      <c r="Y197" s="79"/>
      <c r="Z197" s="79"/>
      <c r="AA197" s="79"/>
      <c r="AB197" s="79"/>
      <c r="AL197" s="169">
        <f>IF(AU197=0,0,IFERROR(INDEX(RanglisteST6!K:K,MATCH(AU197,RanglisteST6!A:A,0)),0))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1.97E-7</v>
      </c>
      <c r="BH197" s="169" t="str">
        <f t="shared" si="193"/>
        <v>EMAX 1</v>
      </c>
      <c r="BI197" s="168">
        <f t="shared" si="189"/>
        <v>1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1.97E-7</v>
      </c>
      <c r="BM197" s="168">
        <f t="shared" si="192"/>
        <v>1</v>
      </c>
    </row>
    <row r="198" spans="1:65" ht="27.75" customHeight="1" thickBot="1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>
      <c r="B201" s="231" t="s">
        <v>1790</v>
      </c>
      <c r="C201" s="210"/>
      <c r="D201" s="42"/>
      <c r="E201" s="434">
        <f>VLOOKUP($B184,Schlüssel!$A$5:$EK$12,103)</f>
        <v>7</v>
      </c>
      <c r="F201" s="435"/>
      <c r="G201" s="436"/>
      <c r="H201" s="434">
        <f>VLOOKUP($B184,Schlüssel!$A$5:$EK$12,104)</f>
        <v>6</v>
      </c>
      <c r="I201" s="435"/>
      <c r="J201" s="436"/>
      <c r="K201" s="434">
        <f>VLOOKUP($B184,Schlüssel!$A$5:$EK$12,105)</f>
        <v>1</v>
      </c>
      <c r="L201" s="435"/>
      <c r="M201" s="436"/>
      <c r="N201" s="434">
        <f>VLOOKUP($B184,Schlüssel!$A$5:$EK$12,106)</f>
        <v>3</v>
      </c>
      <c r="O201" s="435"/>
      <c r="P201" s="436"/>
      <c r="Q201" s="434">
        <f>VLOOKUP($B184,Schlüssel!$A$5:$EK$12,107)</f>
        <v>5</v>
      </c>
      <c r="R201" s="435"/>
      <c r="S201" s="436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>
      <c r="B202" s="3" t="s">
        <v>9</v>
      </c>
      <c r="C202" s="1"/>
      <c r="D202" s="1"/>
      <c r="E202" s="395" t="str">
        <f>VLOOKUP(E201,Schlüssel!$A$5:$K$12,2)</f>
        <v>BK München 1</v>
      </c>
      <c r="F202" s="438"/>
      <c r="G202" s="396"/>
      <c r="H202" s="395" t="str">
        <f>VLOOKUP(H201,Schlüssel!$A$5:$K$12,2)</f>
        <v>Bowling Jugend Bayern 1</v>
      </c>
      <c r="I202" s="438"/>
      <c r="J202" s="396"/>
      <c r="K202" s="395" t="str">
        <f>VLOOKUP(K201,Schlüssel!$A$5:$K$12,2)</f>
        <v>Bad Tölz 1</v>
      </c>
      <c r="L202" s="438"/>
      <c r="M202" s="396"/>
      <c r="N202" s="395" t="str">
        <f>VLOOKUP(N201,Schlüssel!$A$5:$K$12,2)</f>
        <v>Highroller Rosenheim 2</v>
      </c>
      <c r="O202" s="438"/>
      <c r="P202" s="396"/>
      <c r="Q202" s="395" t="str">
        <f>VLOOKUP(Q201,Schlüssel!$A$5:$K$12,2)</f>
        <v>Berchtesgaden 1</v>
      </c>
      <c r="R202" s="438"/>
      <c r="S202" s="396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" customHeight="1">
      <c r="B204" s="417" t="s">
        <v>2275</v>
      </c>
      <c r="C204" s="418"/>
      <c r="D204" s="419"/>
      <c r="E204" s="431">
        <f>ABS(INDEX(F:F,MATCH(E201,$B:$B,0)+5)+INDEX(F:F,MATCH(E201,$B:$B,0)+6)+INDEX(F:F,MATCH(E201,$B:$B,0)+7))</f>
        <v>0</v>
      </c>
      <c r="F204" s="432"/>
      <c r="G204" s="433"/>
      <c r="H204" s="431">
        <f>ABS(INDEX(I:I,MATCH(H201,$B:$B,0)+5)+INDEX(I:I,MATCH(H201,$B:$B,0)+6)+INDEX(I:I,MATCH(H201,$B:$B,0)+7))</f>
        <v>0</v>
      </c>
      <c r="I204" s="432"/>
      <c r="J204" s="433"/>
      <c r="K204" s="431">
        <f>ABS(INDEX(L:L,MATCH(K201,$B:$B,0)+5)+INDEX(L:L,MATCH(K201,$B:$B,0)+6)+INDEX(L:L,MATCH(K201,$B:$B,0)+7))</f>
        <v>0</v>
      </c>
      <c r="L204" s="432"/>
      <c r="M204" s="433"/>
      <c r="N204" s="431">
        <f>ABS(INDEX(O:O,MATCH(N201,$B:$B,0)+5)+INDEX(O:O,MATCH(N201,$B:$B,0)+6)+INDEX(O:O,MATCH(N201,$B:$B,0)+7))</f>
        <v>0</v>
      </c>
      <c r="O204" s="432"/>
      <c r="P204" s="433"/>
      <c r="Q204" s="431">
        <f>ABS(INDEX(R:R,MATCH(Q201,$B:$B,0)+5)+INDEX(R:R,MATCH(Q201,$B:$B,0)+6)+INDEX(R:R,MATCH(Q201,$B:$B,0)+7))</f>
        <v>0</v>
      </c>
      <c r="R204" s="432"/>
      <c r="S204" s="433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" customHeight="1">
      <c r="B205" s="417" t="s">
        <v>2276</v>
      </c>
      <c r="C205" s="418"/>
      <c r="D205" s="419"/>
      <c r="E205" s="424">
        <f>ABS(INDEX(F:F,MATCH(E201,$B:$B,0)+8)+INDEX(F:F,MATCH(E201,$B:$B,0)+9)+INDEX(F:F,MATCH(E201,$B:$B,0)+10))</f>
        <v>0</v>
      </c>
      <c r="F205" s="425"/>
      <c r="G205" s="426"/>
      <c r="H205" s="424">
        <f>ABS(INDEX(I:I,MATCH(H201,$B:$B,0)+8)+INDEX(I:I,MATCH(H201,$B:$B,0)+9)+INDEX(I:I,MATCH(H201,$B:$B,0)+10))</f>
        <v>0</v>
      </c>
      <c r="I205" s="425"/>
      <c r="J205" s="426"/>
      <c r="K205" s="424">
        <f>ABS(INDEX(L:L,MATCH(K201,$B:$B,0)+8)+INDEX(L:L,MATCH(K201,$B:$B,0)+9)+INDEX(L:L,MATCH(K201,$B:$B,0)+10))</f>
        <v>0</v>
      </c>
      <c r="L205" s="425"/>
      <c r="M205" s="426"/>
      <c r="N205" s="424">
        <f>ABS(INDEX(O:O,MATCH(N201,$B:$B,0)+8)+INDEX(O:O,MATCH(N201,$B:$B,0)+9)+INDEX(O:O,MATCH(N201,$B:$B,0)+10))</f>
        <v>0</v>
      </c>
      <c r="O205" s="425"/>
      <c r="P205" s="426"/>
      <c r="Q205" s="424">
        <f>ABS(INDEX(R:R,MATCH(Q201,$B:$B,0)+8)+INDEX(R:R,MATCH(Q201,$B:$B,0)+9)+INDEX(R:R,MATCH(Q201,$B:$B,0)+10))</f>
        <v>0</v>
      </c>
      <c r="R205" s="425"/>
      <c r="S205" s="426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" customHeight="1">
      <c r="B206" s="417" t="s">
        <v>2277</v>
      </c>
      <c r="C206" s="418"/>
      <c r="D206" s="419"/>
      <c r="E206" s="424">
        <f>ABS(INDEX(F:F,MATCH(E201,$B:$B,0)+11)+INDEX(F:F,MATCH(E201,$B:$B,0)+12)+INDEX(F:F,MATCH(E201,$B:$B,0)+13))</f>
        <v>0</v>
      </c>
      <c r="F206" s="425"/>
      <c r="G206" s="426"/>
      <c r="H206" s="424">
        <f>ABS(INDEX(I:I,MATCH(H201,$B:$B,0)+11)+INDEX(I:I,MATCH(H201,$B:$B,0)+12)+INDEX(I:I,MATCH(H201,$B:$B,0)+13))</f>
        <v>0</v>
      </c>
      <c r="I206" s="425"/>
      <c r="J206" s="426"/>
      <c r="K206" s="424">
        <f>ABS(INDEX(L:L,MATCH(K201,$B:$B,0)+11)+INDEX(L:L,MATCH(K201,$B:$B,0)+12)+INDEX(L:L,MATCH(K201,$B:$B,0)+13))</f>
        <v>0</v>
      </c>
      <c r="L206" s="425"/>
      <c r="M206" s="426"/>
      <c r="N206" s="424">
        <f>ABS(INDEX(O:O,MATCH(N201,$B:$B,0)+11)+INDEX(O:O,MATCH(N201,$B:$B,0)+12)+INDEX(O:O,MATCH(N201,$B:$B,0)+13))</f>
        <v>0</v>
      </c>
      <c r="O206" s="425"/>
      <c r="P206" s="426"/>
      <c r="Q206" s="424">
        <f>ABS(INDEX(R:R,MATCH(Q201,$B:$B,0)+11)+INDEX(R:R,MATCH(Q201,$B:$B,0)+12)+INDEX(R:R,MATCH(Q201,$B:$B,0)+13))</f>
        <v>0</v>
      </c>
      <c r="R206" s="425"/>
      <c r="S206" s="426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" customHeight="1">
      <c r="B207" s="420" t="s">
        <v>2278</v>
      </c>
      <c r="C207" s="421"/>
      <c r="D207" s="422"/>
      <c r="E207" s="407">
        <f>SUM(E204:E206)</f>
        <v>0</v>
      </c>
      <c r="F207" s="423"/>
      <c r="G207" s="408"/>
      <c r="H207" s="407">
        <f>SUM(H204:H206)</f>
        <v>0</v>
      </c>
      <c r="I207" s="423"/>
      <c r="J207" s="408"/>
      <c r="K207" s="407">
        <f>SUM(K204:K206)</f>
        <v>0</v>
      </c>
      <c r="L207" s="423"/>
      <c r="M207" s="408"/>
      <c r="N207" s="407">
        <f>SUM(N204:N206)</f>
        <v>0</v>
      </c>
      <c r="O207" s="423"/>
      <c r="P207" s="408"/>
      <c r="Q207" s="407">
        <f>SUM(Q204:Q206)</f>
        <v>0</v>
      </c>
      <c r="R207" s="423"/>
      <c r="S207" s="408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A13:A15"/>
    <mergeCell ref="A10:A12"/>
    <mergeCell ref="A7:A9"/>
    <mergeCell ref="S10:S12"/>
    <mergeCell ref="G13:G15"/>
    <mergeCell ref="J13:J15"/>
    <mergeCell ref="M13:M15"/>
    <mergeCell ref="P13:P15"/>
    <mergeCell ref="S1:V1"/>
    <mergeCell ref="E5:G5"/>
    <mergeCell ref="T5:V5"/>
    <mergeCell ref="G1:R1"/>
    <mergeCell ref="G2:O2"/>
    <mergeCell ref="Q2:R2"/>
    <mergeCell ref="B3:G3"/>
    <mergeCell ref="H5:J5"/>
    <mergeCell ref="K5:M5"/>
    <mergeCell ref="N5:P5"/>
    <mergeCell ref="Q5:S5"/>
    <mergeCell ref="G7:G9"/>
    <mergeCell ref="J7:J9"/>
    <mergeCell ref="M7:M9"/>
    <mergeCell ref="P7:P9"/>
    <mergeCell ref="S7:S9"/>
    <mergeCell ref="B154:D154"/>
    <mergeCell ref="B155:D155"/>
    <mergeCell ref="B126:D126"/>
    <mergeCell ref="B127:D127"/>
    <mergeCell ref="B128:D128"/>
    <mergeCell ref="B129:D129"/>
    <mergeCell ref="B133:G133"/>
    <mergeCell ref="G143:G145"/>
    <mergeCell ref="B100:D100"/>
    <mergeCell ref="B101:D101"/>
    <mergeCell ref="B102:D102"/>
    <mergeCell ref="B103:D103"/>
    <mergeCell ref="E126:G126"/>
    <mergeCell ref="E103:G103"/>
    <mergeCell ref="E155:G155"/>
    <mergeCell ref="G106:O106"/>
    <mergeCell ref="E123:G123"/>
    <mergeCell ref="H123:J123"/>
    <mergeCell ref="K123:M123"/>
    <mergeCell ref="N123:P123"/>
    <mergeCell ref="H127:J127"/>
    <mergeCell ref="K127:M127"/>
    <mergeCell ref="N127:P127"/>
    <mergeCell ref="E153:G153"/>
    <mergeCell ref="K46:M46"/>
    <mergeCell ref="N46:P46"/>
    <mergeCell ref="A36:A38"/>
    <mergeCell ref="S27:V27"/>
    <mergeCell ref="A33:A35"/>
    <mergeCell ref="B152:D152"/>
    <mergeCell ref="B153:D153"/>
    <mergeCell ref="A39:A41"/>
    <mergeCell ref="B74:D74"/>
    <mergeCell ref="B75:D75"/>
    <mergeCell ref="B76:D76"/>
    <mergeCell ref="B77:D77"/>
    <mergeCell ref="B81:G81"/>
    <mergeCell ref="G91:G93"/>
    <mergeCell ref="A117:A119"/>
    <mergeCell ref="S53:V53"/>
    <mergeCell ref="A62:A64"/>
    <mergeCell ref="A59:A61"/>
    <mergeCell ref="G140:G142"/>
    <mergeCell ref="J140:J142"/>
    <mergeCell ref="G137:G139"/>
    <mergeCell ref="J137:J139"/>
    <mergeCell ref="A111:A113"/>
    <mergeCell ref="S79:V79"/>
    <mergeCell ref="A88:A90"/>
    <mergeCell ref="A85:A87"/>
    <mergeCell ref="V117:V119"/>
    <mergeCell ref="G117:G119"/>
    <mergeCell ref="J117:J119"/>
    <mergeCell ref="M137:M139"/>
    <mergeCell ref="P137:P139"/>
    <mergeCell ref="S137:S139"/>
    <mergeCell ref="A91:A93"/>
    <mergeCell ref="Q98:S98"/>
    <mergeCell ref="S105:V105"/>
    <mergeCell ref="E100:G100"/>
    <mergeCell ref="H100:J100"/>
    <mergeCell ref="K100:M100"/>
    <mergeCell ref="M91:M93"/>
    <mergeCell ref="P91:P93"/>
    <mergeCell ref="S91:S93"/>
    <mergeCell ref="V91:V93"/>
    <mergeCell ref="E102:G102"/>
    <mergeCell ref="H102:J102"/>
    <mergeCell ref="K102:M102"/>
    <mergeCell ref="N102:P102"/>
    <mergeCell ref="Q102:S102"/>
    <mergeCell ref="N100:P100"/>
    <mergeCell ref="A65:A67"/>
    <mergeCell ref="Q72:S72"/>
    <mergeCell ref="E72:G72"/>
    <mergeCell ref="H72:J72"/>
    <mergeCell ref="K72:M72"/>
    <mergeCell ref="N72:P72"/>
    <mergeCell ref="E71:G71"/>
    <mergeCell ref="H71:J71"/>
    <mergeCell ref="K71:M71"/>
    <mergeCell ref="E101:G101"/>
    <mergeCell ref="H101:J101"/>
    <mergeCell ref="J91:J93"/>
    <mergeCell ref="A143:A145"/>
    <mergeCell ref="Q124:S124"/>
    <mergeCell ref="E124:G124"/>
    <mergeCell ref="H124:J124"/>
    <mergeCell ref="K124:M124"/>
    <mergeCell ref="N124:P124"/>
    <mergeCell ref="N129:P129"/>
    <mergeCell ref="Q129:S129"/>
    <mergeCell ref="E128:G128"/>
    <mergeCell ref="H128:J128"/>
    <mergeCell ref="K128:M128"/>
    <mergeCell ref="N128:P128"/>
    <mergeCell ref="Q128:S128"/>
    <mergeCell ref="E127:G127"/>
    <mergeCell ref="Q127:S127"/>
    <mergeCell ref="Q103:S103"/>
    <mergeCell ref="E109:G109"/>
    <mergeCell ref="V85:V87"/>
    <mergeCell ref="G88:G90"/>
    <mergeCell ref="J88:J90"/>
    <mergeCell ref="M88:M90"/>
    <mergeCell ref="P88:P90"/>
    <mergeCell ref="S88:S90"/>
    <mergeCell ref="A140:A142"/>
    <mergeCell ref="A137:A139"/>
    <mergeCell ref="S131:V131"/>
    <mergeCell ref="E97:G97"/>
    <mergeCell ref="H97:J97"/>
    <mergeCell ref="K97:M97"/>
    <mergeCell ref="N97:P97"/>
    <mergeCell ref="Q97:S97"/>
    <mergeCell ref="A114:A116"/>
    <mergeCell ref="V111:V113"/>
    <mergeCell ref="T109:V109"/>
    <mergeCell ref="Q123:S123"/>
    <mergeCell ref="G111:G113"/>
    <mergeCell ref="J111:J113"/>
    <mergeCell ref="M111:M113"/>
    <mergeCell ref="P111:P113"/>
    <mergeCell ref="G114:G116"/>
    <mergeCell ref="Q100:S100"/>
    <mergeCell ref="Q150:S150"/>
    <mergeCell ref="E150:G150"/>
    <mergeCell ref="H150:J150"/>
    <mergeCell ref="K150:M150"/>
    <mergeCell ref="N150:P150"/>
    <mergeCell ref="Q149:S149"/>
    <mergeCell ref="V59:V61"/>
    <mergeCell ref="G62:G64"/>
    <mergeCell ref="J62:J64"/>
    <mergeCell ref="M62:M64"/>
    <mergeCell ref="P62:P64"/>
    <mergeCell ref="S62:S64"/>
    <mergeCell ref="V62:V64"/>
    <mergeCell ref="P65:P67"/>
    <mergeCell ref="S65:S67"/>
    <mergeCell ref="V65:V67"/>
    <mergeCell ref="T83:V83"/>
    <mergeCell ref="J114:J116"/>
    <mergeCell ref="M114:M116"/>
    <mergeCell ref="P114:P116"/>
    <mergeCell ref="S114:S116"/>
    <mergeCell ref="V114:V116"/>
    <mergeCell ref="V88:V90"/>
    <mergeCell ref="E98:G98"/>
    <mergeCell ref="H19:J19"/>
    <mergeCell ref="K19:M19"/>
    <mergeCell ref="N19:P19"/>
    <mergeCell ref="Q19:S19"/>
    <mergeCell ref="M39:M41"/>
    <mergeCell ref="P39:P41"/>
    <mergeCell ref="S39:S41"/>
    <mergeCell ref="E24:G24"/>
    <mergeCell ref="H24:J24"/>
    <mergeCell ref="K24:M24"/>
    <mergeCell ref="N24:P24"/>
    <mergeCell ref="Q24:S24"/>
    <mergeCell ref="N25:P25"/>
    <mergeCell ref="Q25:S25"/>
    <mergeCell ref="K31:M31"/>
    <mergeCell ref="N31:P31"/>
    <mergeCell ref="Q31:S31"/>
    <mergeCell ref="Q20:S20"/>
    <mergeCell ref="E20:G20"/>
    <mergeCell ref="H20:J20"/>
    <mergeCell ref="K20:M20"/>
    <mergeCell ref="N20:P20"/>
    <mergeCell ref="E19:G19"/>
    <mergeCell ref="H22:J22"/>
    <mergeCell ref="M36:M38"/>
    <mergeCell ref="P36:P38"/>
    <mergeCell ref="S36:S38"/>
    <mergeCell ref="E48:G48"/>
    <mergeCell ref="V39:V41"/>
    <mergeCell ref="T31:V31"/>
    <mergeCell ref="E45:G45"/>
    <mergeCell ref="H45:J45"/>
    <mergeCell ref="K45:M45"/>
    <mergeCell ref="N45:P45"/>
    <mergeCell ref="Q45:S45"/>
    <mergeCell ref="V33:V35"/>
    <mergeCell ref="V36:V38"/>
    <mergeCell ref="E31:G31"/>
    <mergeCell ref="H31:J31"/>
    <mergeCell ref="H48:J48"/>
    <mergeCell ref="K48:M48"/>
    <mergeCell ref="N48:P48"/>
    <mergeCell ref="Q48:S48"/>
    <mergeCell ref="G39:G41"/>
    <mergeCell ref="J39:J41"/>
    <mergeCell ref="Q46:S46"/>
    <mergeCell ref="E46:G46"/>
    <mergeCell ref="H46:J46"/>
    <mergeCell ref="H51:J51"/>
    <mergeCell ref="K51:M51"/>
    <mergeCell ref="N51:P51"/>
    <mergeCell ref="Q51:S51"/>
    <mergeCell ref="E49:G49"/>
    <mergeCell ref="H49:J49"/>
    <mergeCell ref="K49:M49"/>
    <mergeCell ref="N49:P49"/>
    <mergeCell ref="Q49:S49"/>
    <mergeCell ref="E50:G50"/>
    <mergeCell ref="H50:J50"/>
    <mergeCell ref="K50:M50"/>
    <mergeCell ref="N50:P50"/>
    <mergeCell ref="Q50:S50"/>
    <mergeCell ref="V13:V15"/>
    <mergeCell ref="G33:G35"/>
    <mergeCell ref="J33:J35"/>
    <mergeCell ref="E74:G74"/>
    <mergeCell ref="H74:J74"/>
    <mergeCell ref="K74:M74"/>
    <mergeCell ref="N74:P74"/>
    <mergeCell ref="Q74:S74"/>
    <mergeCell ref="N71:P71"/>
    <mergeCell ref="Q71:S71"/>
    <mergeCell ref="G59:G61"/>
    <mergeCell ref="J59:J61"/>
    <mergeCell ref="M59:M61"/>
    <mergeCell ref="P59:P61"/>
    <mergeCell ref="S59:S61"/>
    <mergeCell ref="G65:G67"/>
    <mergeCell ref="J65:J67"/>
    <mergeCell ref="M65:M67"/>
    <mergeCell ref="E57:G57"/>
    <mergeCell ref="H57:J57"/>
    <mergeCell ref="K57:M57"/>
    <mergeCell ref="N57:P57"/>
    <mergeCell ref="T57:V57"/>
    <mergeCell ref="M33:M35"/>
    <mergeCell ref="G79:R79"/>
    <mergeCell ref="G80:O80"/>
    <mergeCell ref="Q80:R80"/>
    <mergeCell ref="E77:G77"/>
    <mergeCell ref="V7:V9"/>
    <mergeCell ref="G10:G12"/>
    <mergeCell ref="J10:J12"/>
    <mergeCell ref="M10:M12"/>
    <mergeCell ref="P10:P12"/>
    <mergeCell ref="G53:R53"/>
    <mergeCell ref="G54:O54"/>
    <mergeCell ref="Q54:R54"/>
    <mergeCell ref="B29:G29"/>
    <mergeCell ref="E51:G51"/>
    <mergeCell ref="E22:G22"/>
    <mergeCell ref="E76:G76"/>
    <mergeCell ref="H76:J76"/>
    <mergeCell ref="K76:M76"/>
    <mergeCell ref="N76:P76"/>
    <mergeCell ref="Q76:S76"/>
    <mergeCell ref="H77:J77"/>
    <mergeCell ref="K77:M77"/>
    <mergeCell ref="V10:V12"/>
    <mergeCell ref="S13:S15"/>
    <mergeCell ref="H153:J153"/>
    <mergeCell ref="K153:M153"/>
    <mergeCell ref="N153:P153"/>
    <mergeCell ref="Q153:S153"/>
    <mergeCell ref="E152:G152"/>
    <mergeCell ref="H152:J152"/>
    <mergeCell ref="K152:M152"/>
    <mergeCell ref="N152:P152"/>
    <mergeCell ref="Q152:S152"/>
    <mergeCell ref="T135:V135"/>
    <mergeCell ref="E149:G149"/>
    <mergeCell ref="H149:J149"/>
    <mergeCell ref="K149:M149"/>
    <mergeCell ref="N149:P149"/>
    <mergeCell ref="E135:G135"/>
    <mergeCell ref="H135:J135"/>
    <mergeCell ref="K135:M135"/>
    <mergeCell ref="N135:P135"/>
    <mergeCell ref="Q135:S135"/>
    <mergeCell ref="M140:M142"/>
    <mergeCell ref="P140:P142"/>
    <mergeCell ref="S140:S142"/>
    <mergeCell ref="V140:V142"/>
    <mergeCell ref="V137:V139"/>
    <mergeCell ref="J143:J145"/>
    <mergeCell ref="M143:M145"/>
    <mergeCell ref="P143:P145"/>
    <mergeCell ref="S143:S145"/>
    <mergeCell ref="V143:V145"/>
    <mergeCell ref="N23:P23"/>
    <mergeCell ref="Q23:S23"/>
    <mergeCell ref="H155:J155"/>
    <mergeCell ref="K155:M155"/>
    <mergeCell ref="N155:P155"/>
    <mergeCell ref="Q155:S155"/>
    <mergeCell ref="E154:G154"/>
    <mergeCell ref="H154:J154"/>
    <mergeCell ref="K154:M154"/>
    <mergeCell ref="N154:P154"/>
    <mergeCell ref="Q154:S154"/>
    <mergeCell ref="E23:G23"/>
    <mergeCell ref="G27:R27"/>
    <mergeCell ref="G28:O28"/>
    <mergeCell ref="Q28:R28"/>
    <mergeCell ref="E25:G25"/>
    <mergeCell ref="H25:J25"/>
    <mergeCell ref="K25:M25"/>
    <mergeCell ref="G105:R105"/>
    <mergeCell ref="G85:G87"/>
    <mergeCell ref="J85:J87"/>
    <mergeCell ref="E83:G83"/>
    <mergeCell ref="H83:J83"/>
    <mergeCell ref="K83:M83"/>
    <mergeCell ref="K22:M22"/>
    <mergeCell ref="N22:P22"/>
    <mergeCell ref="Q22:S22"/>
    <mergeCell ref="H23:J23"/>
    <mergeCell ref="K23:M23"/>
    <mergeCell ref="E75:G75"/>
    <mergeCell ref="H75:J75"/>
    <mergeCell ref="K75:M75"/>
    <mergeCell ref="N75:P75"/>
    <mergeCell ref="Q75:S75"/>
    <mergeCell ref="Q57:S57"/>
    <mergeCell ref="B55:G55"/>
    <mergeCell ref="B48:D48"/>
    <mergeCell ref="B49:D49"/>
    <mergeCell ref="B50:D50"/>
    <mergeCell ref="B51:D51"/>
    <mergeCell ref="B22:D22"/>
    <mergeCell ref="B23:D23"/>
    <mergeCell ref="B24:D24"/>
    <mergeCell ref="B25:D25"/>
    <mergeCell ref="P33:P35"/>
    <mergeCell ref="S33:S35"/>
    <mergeCell ref="G36:G38"/>
    <mergeCell ref="J36:J38"/>
    <mergeCell ref="N83:P83"/>
    <mergeCell ref="Q83:S83"/>
    <mergeCell ref="H103:J103"/>
    <mergeCell ref="K103:M103"/>
    <mergeCell ref="N103:P103"/>
    <mergeCell ref="K101:M101"/>
    <mergeCell ref="N101:P101"/>
    <mergeCell ref="Q101:S101"/>
    <mergeCell ref="H98:J98"/>
    <mergeCell ref="K98:M98"/>
    <mergeCell ref="N98:P98"/>
    <mergeCell ref="S85:S87"/>
    <mergeCell ref="N77:P77"/>
    <mergeCell ref="Q77:S77"/>
    <mergeCell ref="Q106:R106"/>
    <mergeCell ref="B107:G107"/>
    <mergeCell ref="G131:R131"/>
    <mergeCell ref="G132:O132"/>
    <mergeCell ref="Q132:R132"/>
    <mergeCell ref="E129:G129"/>
    <mergeCell ref="H129:J129"/>
    <mergeCell ref="K129:M129"/>
    <mergeCell ref="H109:J109"/>
    <mergeCell ref="K109:M109"/>
    <mergeCell ref="N109:P109"/>
    <mergeCell ref="Q109:S109"/>
    <mergeCell ref="S111:S113"/>
    <mergeCell ref="M117:M119"/>
    <mergeCell ref="P117:P119"/>
    <mergeCell ref="S117:S119"/>
    <mergeCell ref="H126:J126"/>
    <mergeCell ref="K126:M126"/>
    <mergeCell ref="N126:P126"/>
    <mergeCell ref="Q126:S126"/>
    <mergeCell ref="M85:M87"/>
    <mergeCell ref="P85:P87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</mergeCells>
  <conditionalFormatting sqref="D7:D15">
    <cfRule type="cellIs" dxfId="124" priority="72" stopIfTrue="1" operator="equal">
      <formula>0</formula>
    </cfRule>
  </conditionalFormatting>
  <conditionalFormatting sqref="D33:D41">
    <cfRule type="cellIs" dxfId="123" priority="63" stopIfTrue="1" operator="equal">
      <formula>0</formula>
    </cfRule>
  </conditionalFormatting>
  <conditionalFormatting sqref="D59:D67">
    <cfRule type="cellIs" dxfId="122" priority="54" stopIfTrue="1" operator="equal">
      <formula>0</formula>
    </cfRule>
  </conditionalFormatting>
  <conditionalFormatting sqref="D85:D93">
    <cfRule type="cellIs" dxfId="121" priority="45" stopIfTrue="1" operator="equal">
      <formula>0</formula>
    </cfRule>
  </conditionalFormatting>
  <conditionalFormatting sqref="D111:D119">
    <cfRule type="cellIs" dxfId="120" priority="36" stopIfTrue="1" operator="equal">
      <formula>0</formula>
    </cfRule>
  </conditionalFormatting>
  <conditionalFormatting sqref="D137:D145">
    <cfRule type="cellIs" dxfId="119" priority="27" stopIfTrue="1" operator="equal">
      <formula>0</formula>
    </cfRule>
  </conditionalFormatting>
  <conditionalFormatting sqref="D163:D171">
    <cfRule type="cellIs" dxfId="118" priority="18" stopIfTrue="1" operator="equal">
      <formula>0</formula>
    </cfRule>
  </conditionalFormatting>
  <conditionalFormatting sqref="D189:D197">
    <cfRule type="cellIs" dxfId="117" priority="9" stopIfTrue="1" operator="equal">
      <formula>0</formula>
    </cfRule>
  </conditionalFormatting>
  <conditionalFormatting sqref="F7:F15">
    <cfRule type="cellIs" dxfId="116" priority="71" stopIfTrue="1" operator="equal">
      <formula>0</formula>
    </cfRule>
  </conditionalFormatting>
  <conditionalFormatting sqref="F33:F41">
    <cfRule type="cellIs" dxfId="115" priority="62" stopIfTrue="1" operator="equal">
      <formula>0</formula>
    </cfRule>
  </conditionalFormatting>
  <conditionalFormatting sqref="F59:F67">
    <cfRule type="cellIs" dxfId="114" priority="53" stopIfTrue="1" operator="equal">
      <formula>0</formula>
    </cfRule>
  </conditionalFormatting>
  <conditionalFormatting sqref="F85:F93">
    <cfRule type="cellIs" dxfId="113" priority="44" stopIfTrue="1" operator="equal">
      <formula>0</formula>
    </cfRule>
  </conditionalFormatting>
  <conditionalFormatting sqref="F111:F119">
    <cfRule type="cellIs" dxfId="112" priority="35" stopIfTrue="1" operator="equal">
      <formula>0</formula>
    </cfRule>
  </conditionalFormatting>
  <conditionalFormatting sqref="F137:F145">
    <cfRule type="cellIs" dxfId="111" priority="26" stopIfTrue="1" operator="equal">
      <formula>0</formula>
    </cfRule>
  </conditionalFormatting>
  <conditionalFormatting sqref="F163:F171">
    <cfRule type="cellIs" dxfId="110" priority="17" stopIfTrue="1" operator="equal">
      <formula>0</formula>
    </cfRule>
  </conditionalFormatting>
  <conditionalFormatting sqref="F189:F197">
    <cfRule type="cellIs" dxfId="109" priority="8" stopIfTrue="1" operator="equal">
      <formula>0</formula>
    </cfRule>
  </conditionalFormatting>
  <conditionalFormatting sqref="I7:I15">
    <cfRule type="cellIs" dxfId="108" priority="70" stopIfTrue="1" operator="equal">
      <formula>0</formula>
    </cfRule>
  </conditionalFormatting>
  <conditionalFormatting sqref="I33:I41">
    <cfRule type="cellIs" dxfId="107" priority="61" stopIfTrue="1" operator="equal">
      <formula>0</formula>
    </cfRule>
  </conditionalFormatting>
  <conditionalFormatting sqref="I59:I67">
    <cfRule type="cellIs" dxfId="106" priority="52" stopIfTrue="1" operator="equal">
      <formula>0</formula>
    </cfRule>
  </conditionalFormatting>
  <conditionalFormatting sqref="I85:I93">
    <cfRule type="cellIs" dxfId="105" priority="43" stopIfTrue="1" operator="equal">
      <formula>0</formula>
    </cfRule>
  </conditionalFormatting>
  <conditionalFormatting sqref="I111:I119">
    <cfRule type="cellIs" dxfId="104" priority="34" stopIfTrue="1" operator="equal">
      <formula>0</formula>
    </cfRule>
  </conditionalFormatting>
  <conditionalFormatting sqref="I137:I145">
    <cfRule type="cellIs" dxfId="103" priority="25" stopIfTrue="1" operator="equal">
      <formula>0</formula>
    </cfRule>
  </conditionalFormatting>
  <conditionalFormatting sqref="I163:I171">
    <cfRule type="cellIs" dxfId="102" priority="16" stopIfTrue="1" operator="equal">
      <formula>0</formula>
    </cfRule>
  </conditionalFormatting>
  <conditionalFormatting sqref="I189:I197">
    <cfRule type="cellIs" dxfId="101" priority="7" stopIfTrue="1" operator="equal">
      <formula>0</formula>
    </cfRule>
  </conditionalFormatting>
  <conditionalFormatting sqref="L7:L15">
    <cfRule type="cellIs" dxfId="100" priority="69" stopIfTrue="1" operator="equal">
      <formula>0</formula>
    </cfRule>
  </conditionalFormatting>
  <conditionalFormatting sqref="L33:L41">
    <cfRule type="cellIs" dxfId="99" priority="60" stopIfTrue="1" operator="equal">
      <formula>0</formula>
    </cfRule>
  </conditionalFormatting>
  <conditionalFormatting sqref="L59:L67">
    <cfRule type="cellIs" dxfId="98" priority="51" stopIfTrue="1" operator="equal">
      <formula>0</formula>
    </cfRule>
  </conditionalFormatting>
  <conditionalFormatting sqref="L85:L93">
    <cfRule type="cellIs" dxfId="97" priority="42" stopIfTrue="1" operator="equal">
      <formula>0</formula>
    </cfRule>
  </conditionalFormatting>
  <conditionalFormatting sqref="L111:L119">
    <cfRule type="cellIs" dxfId="96" priority="33" stopIfTrue="1" operator="equal">
      <formula>0</formula>
    </cfRule>
  </conditionalFormatting>
  <conditionalFormatting sqref="L137:L145">
    <cfRule type="cellIs" dxfId="95" priority="24" stopIfTrue="1" operator="equal">
      <formula>0</formula>
    </cfRule>
  </conditionalFormatting>
  <conditionalFormatting sqref="L163:L171">
    <cfRule type="cellIs" dxfId="94" priority="15" stopIfTrue="1" operator="equal">
      <formula>0</formula>
    </cfRule>
  </conditionalFormatting>
  <conditionalFormatting sqref="L189:L197">
    <cfRule type="cellIs" dxfId="93" priority="6" stopIfTrue="1" operator="equal">
      <formula>0</formula>
    </cfRule>
  </conditionalFormatting>
  <conditionalFormatting sqref="O7:O15">
    <cfRule type="cellIs" dxfId="92" priority="68" stopIfTrue="1" operator="equal">
      <formula>0</formula>
    </cfRule>
  </conditionalFormatting>
  <conditionalFormatting sqref="O33:O41">
    <cfRule type="cellIs" dxfId="91" priority="59" stopIfTrue="1" operator="equal">
      <formula>0</formula>
    </cfRule>
  </conditionalFormatting>
  <conditionalFormatting sqref="O59:O67">
    <cfRule type="cellIs" dxfId="90" priority="50" stopIfTrue="1" operator="equal">
      <formula>0</formula>
    </cfRule>
  </conditionalFormatting>
  <conditionalFormatting sqref="O85:O93">
    <cfRule type="cellIs" dxfId="89" priority="41" stopIfTrue="1" operator="equal">
      <formula>0</formula>
    </cfRule>
  </conditionalFormatting>
  <conditionalFormatting sqref="O111:O119">
    <cfRule type="cellIs" dxfId="88" priority="32" stopIfTrue="1" operator="equal">
      <formula>0</formula>
    </cfRule>
  </conditionalFormatting>
  <conditionalFormatting sqref="O137:O145">
    <cfRule type="cellIs" dxfId="87" priority="23" stopIfTrue="1" operator="equal">
      <formula>0</formula>
    </cfRule>
  </conditionalFormatting>
  <conditionalFormatting sqref="O163:O171">
    <cfRule type="cellIs" dxfId="86" priority="14" stopIfTrue="1" operator="equal">
      <formula>0</formula>
    </cfRule>
  </conditionalFormatting>
  <conditionalFormatting sqref="O189:O197">
    <cfRule type="cellIs" dxfId="85" priority="5" stopIfTrue="1" operator="equal">
      <formula>0</formula>
    </cfRule>
  </conditionalFormatting>
  <conditionalFormatting sqref="R7:R15">
    <cfRule type="cellIs" dxfId="84" priority="67" stopIfTrue="1" operator="equal">
      <formula>0</formula>
    </cfRule>
  </conditionalFormatting>
  <conditionalFormatting sqref="R33:R41">
    <cfRule type="cellIs" dxfId="83" priority="58" stopIfTrue="1" operator="equal">
      <formula>0</formula>
    </cfRule>
  </conditionalFormatting>
  <conditionalFormatting sqref="R59:R67">
    <cfRule type="cellIs" dxfId="82" priority="49" stopIfTrue="1" operator="equal">
      <formula>0</formula>
    </cfRule>
  </conditionalFormatting>
  <conditionalFormatting sqref="R85:R93">
    <cfRule type="cellIs" dxfId="81" priority="40" stopIfTrue="1" operator="equal">
      <formula>0</formula>
    </cfRule>
  </conditionalFormatting>
  <conditionalFormatting sqref="R111:R119">
    <cfRule type="cellIs" dxfId="80" priority="31" stopIfTrue="1" operator="equal">
      <formula>0</formula>
    </cfRule>
  </conditionalFormatting>
  <conditionalFormatting sqref="R137:R145">
    <cfRule type="cellIs" dxfId="79" priority="22" stopIfTrue="1" operator="equal">
      <formula>0</formula>
    </cfRule>
  </conditionalFormatting>
  <conditionalFormatting sqref="R163:R171">
    <cfRule type="cellIs" dxfId="78" priority="13" stopIfTrue="1" operator="equal">
      <formula>0</formula>
    </cfRule>
  </conditionalFormatting>
  <conditionalFormatting sqref="R189:R197">
    <cfRule type="cellIs" dxfId="77" priority="4" stopIfTrue="1" operator="equal">
      <formula>0</formula>
    </cfRule>
  </conditionalFormatting>
  <conditionalFormatting sqref="U7:U15">
    <cfRule type="cellIs" dxfId="76" priority="64" stopIfTrue="1" operator="equal">
      <formula>0</formula>
    </cfRule>
  </conditionalFormatting>
  <conditionalFormatting sqref="U33:U41">
    <cfRule type="cellIs" dxfId="75" priority="55" stopIfTrue="1" operator="equal">
      <formula>0</formula>
    </cfRule>
  </conditionalFormatting>
  <conditionalFormatting sqref="U59:U67">
    <cfRule type="cellIs" dxfId="74" priority="46" stopIfTrue="1" operator="equal">
      <formula>0</formula>
    </cfRule>
  </conditionalFormatting>
  <conditionalFormatting sqref="U85:U93">
    <cfRule type="cellIs" dxfId="73" priority="37" stopIfTrue="1" operator="equal">
      <formula>0</formula>
    </cfRule>
  </conditionalFormatting>
  <conditionalFormatting sqref="U111:U119">
    <cfRule type="cellIs" dxfId="72" priority="28" stopIfTrue="1" operator="equal">
      <formula>0</formula>
    </cfRule>
  </conditionalFormatting>
  <conditionalFormatting sqref="U137:U145">
    <cfRule type="cellIs" dxfId="71" priority="19" stopIfTrue="1" operator="equal">
      <formula>0</formula>
    </cfRule>
  </conditionalFormatting>
  <conditionalFormatting sqref="U163:U171">
    <cfRule type="cellIs" dxfId="70" priority="10" stopIfTrue="1" operator="equal">
      <formula>0</formula>
    </cfRule>
  </conditionalFormatting>
  <conditionalFormatting sqref="U189:U197">
    <cfRule type="cellIs" dxfId="69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S39 S33 Q33:R41 S13 S7 M65 M59 Q59:R67 P65 P59 S91 S85 Q85:R93 S65 S59 P10 E7:F15 Q137:R145 S117 S111 H7:I15 G13 G7 G10 K7:L15 J13 J7 J10 N7:O15 M10 S10 E33:F41 J39 J33 J36 H33:I41 M39 M33 M36 K33:L41 P39 P33 P36 N33:O41 S36 P62 E59:F67 G39 G33 G36 H59:I67 G65 G59 G62 K59:L67 J65 J59 J62 N59:O67 M62 S62 E85:F93 J91 J85 J88 H85:I93 M91 M85 M88 K85:L93 P91 P85 P88 N85:O93 S88 P114 E111:F119 G91 G85 G88 H111:I119 G117 G111 G114 K111:L119 J117 J111 J114 N111:O119 M114 S114 E137:F145 J143 J137 J140 H137:I145 M143 M137 M140 K137:L145 P143 P137 P140 N137:O145 S143 S137 S140 G143 G137 G140 Q163:R171 E163:F171 J169 J163 J166 H163:I171 M169 M163 M166 K163:L171 P169 P163 P166 N163:O171 S169 S163 S166 G169 G163 G166 Q189:R197 E189:F197 J195 J189 J192 H189:I197 M195 M189 M192 K189:L197 P195 P189 P192 N189:O197 S195 S189 S192 G195 G189 G192" xr:uid="{00000000-0002-0000-27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FF00"/>
    <pageSetUpPr fitToPage="1"/>
  </sheetPr>
  <dimension ref="A1:AE24"/>
  <sheetViews>
    <sheetView workbookViewId="0">
      <selection activeCell="V24" sqref="V24"/>
    </sheetView>
  </sheetViews>
  <sheetFormatPr baseColWidth="10" defaultRowHeight="13.2"/>
  <cols>
    <col min="1" max="1" width="4.2187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44140625" customWidth="1"/>
    <col min="14" max="14" width="7.6640625" customWidth="1"/>
    <col min="16" max="16" width="4.44140625" customWidth="1"/>
    <col min="17" max="17" width="11.44140625" customWidth="1"/>
    <col min="18" max="18" width="14.33203125" customWidth="1"/>
    <col min="19" max="26" width="11.44140625" customWidth="1"/>
    <col min="27" max="27" width="14.6640625" style="169" hidden="1" customWidth="1"/>
    <col min="28" max="28" width="6.44140625" style="169" hidden="1" customWidth="1"/>
    <col min="29" max="29" width="5" style="169" hidden="1" customWidth="1"/>
    <col min="30" max="30" width="5.21875" style="169" hidden="1" customWidth="1"/>
    <col min="31" max="31" width="6" style="169" hidden="1" customWidth="1"/>
    <col min="32" max="50" width="11.44140625" customWidth="1"/>
  </cols>
  <sheetData>
    <row r="1" spans="1:31" ht="28.5" customHeight="1">
      <c r="A1" s="449" t="str">
        <f>Schlüssel!$C$1</f>
        <v>Landesliga Jugend</v>
      </c>
      <c r="B1" s="449"/>
      <c r="C1" s="449" t="s">
        <v>1786</v>
      </c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>
        <f>+Erfassung6!S1</f>
        <v>45808</v>
      </c>
      <c r="O1" s="449"/>
      <c r="P1" s="55"/>
      <c r="Q1" s="55"/>
      <c r="AA1" s="169" t="s">
        <v>2091</v>
      </c>
    </row>
    <row r="2" spans="1:31" ht="28.5" customHeight="1">
      <c r="A2" s="450" t="str">
        <f>"Saison "&amp;Spielorte!C18&amp;"     -     Spieltag "&amp;Erfassung6!S2&amp;"     -     "&amp;TEXT(Erfassung6!S1,"T. MMMM JJJJ")</f>
        <v>Saison 2024/2025     -     Spieltag 6     -     31. Mai 2025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55"/>
      <c r="Q2" s="55"/>
    </row>
    <row r="3" spans="1:31" ht="28.5" customHeight="1">
      <c r="A3" s="450" t="str">
        <f>+Erfassung6!G2</f>
        <v>Rosenheim In(n) Bowling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55"/>
      <c r="Q3" s="55"/>
    </row>
    <row r="4" spans="1:31" ht="13.8" thickBot="1"/>
    <row r="5" spans="1:31">
      <c r="A5" s="451" t="s">
        <v>1804</v>
      </c>
      <c r="B5" s="447" t="s">
        <v>1805</v>
      </c>
      <c r="C5" s="443" t="s">
        <v>1793</v>
      </c>
      <c r="D5" s="444"/>
      <c r="E5" s="443" t="s">
        <v>1794</v>
      </c>
      <c r="F5" s="444"/>
      <c r="G5" s="443" t="s">
        <v>1795</v>
      </c>
      <c r="H5" s="444"/>
      <c r="I5" s="443" t="s">
        <v>1796</v>
      </c>
      <c r="J5" s="444"/>
      <c r="K5" s="443" t="s">
        <v>1797</v>
      </c>
      <c r="L5" s="444"/>
      <c r="M5" s="443" t="s">
        <v>1792</v>
      </c>
      <c r="N5" s="444"/>
      <c r="O5" s="445" t="s">
        <v>1806</v>
      </c>
      <c r="P5" s="55"/>
      <c r="Q5" s="55"/>
    </row>
    <row r="6" spans="1:31" ht="13.8" thickBot="1">
      <c r="A6" s="452"/>
      <c r="B6" s="448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6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>
      <c r="A7" s="163">
        <v>1</v>
      </c>
      <c r="B7" s="104" t="str">
        <f>INDEX(Erfassung6!$B:$B,MATCH($A7,Erfassung6!$BE:$BE,0)-14)</f>
        <v>Bad Tölz 1</v>
      </c>
      <c r="C7" s="82">
        <f>INDEX(Erfassung6!F:F,MATCH($A7,Erfassung6!$BE:$BE,0)-1)</f>
        <v>0</v>
      </c>
      <c r="D7" s="83">
        <f>INDEX(Erfassung6!G:G,MATCH($A7,Erfassung6!$BE:$BE,0))</f>
        <v>0</v>
      </c>
      <c r="E7" s="82">
        <f>INDEX(Erfassung6!I:I,MATCH($A7,Erfassung6!$BE:$BE,0)-1)</f>
        <v>0</v>
      </c>
      <c r="F7" s="83">
        <f>INDEX(Erfassung6!J:J,MATCH($A7,Erfassung6!$BE:$BE,0))</f>
        <v>0</v>
      </c>
      <c r="G7" s="82">
        <f>INDEX(Erfassung6!L:L,MATCH($A7,Erfassung6!$BE:$BE,0)-1)</f>
        <v>0</v>
      </c>
      <c r="H7" s="83">
        <f>INDEX(Erfassung6!M:M,MATCH($A7,Erfassung6!$BE:$BE,0))</f>
        <v>0</v>
      </c>
      <c r="I7" s="82">
        <f>INDEX(Erfassung6!O:O,MATCH($A7,Erfassung6!$BE:$BE,0)-1)</f>
        <v>0</v>
      </c>
      <c r="J7" s="83">
        <f>INDEX(Erfassung6!P:P,MATCH($A7,Erfassung6!$BE:$BE,0))</f>
        <v>0</v>
      </c>
      <c r="K7" s="82">
        <f>INDEX(Erfassung6!R:R,MATCH($A7,Erfassung6!$BE:$BE,0)-1)</f>
        <v>0</v>
      </c>
      <c r="L7" s="83">
        <f>INDEX(Erfassung6!S:S,MATCH($A7,Erfassung6!$BE:$BE,0))</f>
        <v>0</v>
      </c>
      <c r="M7" s="84">
        <f t="shared" ref="M7:N12" si="0">SUM(C7+E7+G7+I7+K7)</f>
        <v>0</v>
      </c>
      <c r="N7" s="85">
        <f t="shared" si="0"/>
        <v>0</v>
      </c>
      <c r="O7" s="65">
        <f>IFERROR(M7/INDEX(Erfassung6!AW:AW,MATCH(A7,Erfassung6!BE:BE,0)),0)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INDEX(Tabelle5!AA:AA,MATCH(B7,Tabelle5!B:B,0))+M7</f>
        <v>11601</v>
      </c>
      <c r="AB7" s="167">
        <f>INDEX(Tabelle5!AB:AB,MATCH(B7,Tabelle5!B:B,0))+N7</f>
        <v>63.5</v>
      </c>
      <c r="AC7" s="169">
        <f t="shared" ref="AC7:AC14" si="1">+AB7+AA7/1000000000</f>
        <v>63.500011600999997</v>
      </c>
      <c r="AD7" s="169" t="e">
        <f t="shared" ref="AD7:AD14" si="2">RANK(AC7,AC:AC)</f>
        <v>#N/A</v>
      </c>
      <c r="AE7" s="169">
        <f>INDEX(Tabelle5!AE:AE,MATCH(B7,Tabelle5!B:B,0))+SUMIF(Erfassung6!BH:BH,B7,Erfassung6!AW:AW)</f>
        <v>70</v>
      </c>
    </row>
    <row r="8" spans="1:31" ht="42" customHeight="1" thickBot="1">
      <c r="A8" s="163">
        <v>2</v>
      </c>
      <c r="B8" s="104" t="e">
        <f>INDEX(Erfassung6!$B:$B,MATCH($A8,Erfassung6!$BE:$BE,0)-14)</f>
        <v>#N/A</v>
      </c>
      <c r="C8" s="82" t="e">
        <f>INDEX(Erfassung6!F:F,MATCH($A8,Erfassung6!$BE:$BE,0)-1)</f>
        <v>#N/A</v>
      </c>
      <c r="D8" s="83" t="e">
        <f>INDEX(Erfassung6!G:G,MATCH($A8,Erfassung6!$BE:$BE,0))</f>
        <v>#N/A</v>
      </c>
      <c r="E8" s="82" t="e">
        <f>INDEX(Erfassung6!I:I,MATCH($A8,Erfassung6!$BE:$BE,0)-1)</f>
        <v>#N/A</v>
      </c>
      <c r="F8" s="83" t="e">
        <f>INDEX(Erfassung6!J:J,MATCH($A8,Erfassung6!$BE:$BE,0))</f>
        <v>#N/A</v>
      </c>
      <c r="G8" s="82" t="e">
        <f>INDEX(Erfassung6!L:L,MATCH($A8,Erfassung6!$BE:$BE,0)-1)</f>
        <v>#N/A</v>
      </c>
      <c r="H8" s="83" t="e">
        <f>INDEX(Erfassung6!M:M,MATCH($A8,Erfassung6!$BE:$BE,0))</f>
        <v>#N/A</v>
      </c>
      <c r="I8" s="82" t="e">
        <f>INDEX(Erfassung6!O:O,MATCH($A8,Erfassung6!$BE:$BE,0)-1)</f>
        <v>#N/A</v>
      </c>
      <c r="J8" s="83" t="e">
        <f>INDEX(Erfassung6!P:P,MATCH($A8,Erfassung6!$BE:$BE,0))</f>
        <v>#N/A</v>
      </c>
      <c r="K8" s="82" t="e">
        <f>INDEX(Erfassung6!R:R,MATCH($A8,Erfassung6!$BE:$BE,0)-1)</f>
        <v>#N/A</v>
      </c>
      <c r="L8" s="83" t="e">
        <f>INDEX(Erfassung6!S:S,MATCH($A8,Erfassung6!$BE:$BE,0))</f>
        <v>#N/A</v>
      </c>
      <c r="M8" s="84" t="e">
        <f t="shared" si="0"/>
        <v>#N/A</v>
      </c>
      <c r="N8" s="85" t="e">
        <f t="shared" si="0"/>
        <v>#N/A</v>
      </c>
      <c r="O8" s="65">
        <f>IFERROR(M8/INDEX(Erfassung6!AW:AW,MATCH(A8,Erfassung6!BE:BE,0)),0)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INDEX(Tabelle5!AA:AA,MATCH(B8,Tabelle5!B:B,0))+M8</f>
        <v>#N/A</v>
      </c>
      <c r="AB8" s="167" t="e">
        <f>INDEX(Tabelle5!AB:AB,MATCH(B8,Tabelle5!B:B,0))+N8</f>
        <v>#N/A</v>
      </c>
      <c r="AC8" s="169" t="e">
        <f t="shared" si="1"/>
        <v>#N/A</v>
      </c>
      <c r="AD8" s="169" t="e">
        <f t="shared" si="2"/>
        <v>#N/A</v>
      </c>
      <c r="AE8" s="169" t="e">
        <f>INDEX(Tabelle5!AE:AE,MATCH(B8,Tabelle5!B:B,0))+SUMIF(Erfassung6!BH:BH,B8,Erfassung6!AW:AW)</f>
        <v>#N/A</v>
      </c>
    </row>
    <row r="9" spans="1:31" ht="42" customHeight="1" thickBot="1">
      <c r="A9" s="163">
        <v>3</v>
      </c>
      <c r="B9" s="104" t="e">
        <f>INDEX(Erfassung6!$B:$B,MATCH($A9,Erfassung6!$BE:$BE,0)-14)</f>
        <v>#N/A</v>
      </c>
      <c r="C9" s="82" t="e">
        <f>INDEX(Erfassung6!F:F,MATCH($A9,Erfassung6!$BE:$BE,0)-1)</f>
        <v>#N/A</v>
      </c>
      <c r="D9" s="83" t="e">
        <f>INDEX(Erfassung6!G:G,MATCH($A9,Erfassung6!$BE:$BE,0))</f>
        <v>#N/A</v>
      </c>
      <c r="E9" s="82" t="e">
        <f>INDEX(Erfassung6!I:I,MATCH($A9,Erfassung6!$BE:$BE,0)-1)</f>
        <v>#N/A</v>
      </c>
      <c r="F9" s="83" t="e">
        <f>INDEX(Erfassung6!J:J,MATCH($A9,Erfassung6!$BE:$BE,0))</f>
        <v>#N/A</v>
      </c>
      <c r="G9" s="82" t="e">
        <f>INDEX(Erfassung6!L:L,MATCH($A9,Erfassung6!$BE:$BE,0)-1)</f>
        <v>#N/A</v>
      </c>
      <c r="H9" s="83" t="e">
        <f>INDEX(Erfassung6!M:M,MATCH($A9,Erfassung6!$BE:$BE,0))</f>
        <v>#N/A</v>
      </c>
      <c r="I9" s="82" t="e">
        <f>INDEX(Erfassung6!O:O,MATCH($A9,Erfassung6!$BE:$BE,0)-1)</f>
        <v>#N/A</v>
      </c>
      <c r="J9" s="83" t="e">
        <f>INDEX(Erfassung6!P:P,MATCH($A9,Erfassung6!$BE:$BE,0))</f>
        <v>#N/A</v>
      </c>
      <c r="K9" s="82" t="e">
        <f>INDEX(Erfassung6!R:R,MATCH($A9,Erfassung6!$BE:$BE,0)-1)</f>
        <v>#N/A</v>
      </c>
      <c r="L9" s="83" t="e">
        <f>INDEX(Erfassung6!S:S,MATCH($A9,Erfassung6!$BE:$BE,0))</f>
        <v>#N/A</v>
      </c>
      <c r="M9" s="84" t="e">
        <f t="shared" si="0"/>
        <v>#N/A</v>
      </c>
      <c r="N9" s="85" t="e">
        <f t="shared" si="0"/>
        <v>#N/A</v>
      </c>
      <c r="O9" s="65">
        <f>IFERROR(M9/INDEX(Erfassung6!AW:AW,MATCH(A9,Erfassung6!BE:BE,0)),0)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INDEX(Tabelle5!AA:AA,MATCH(B9,Tabelle5!B:B,0))+M9</f>
        <v>#N/A</v>
      </c>
      <c r="AB9" s="167" t="e">
        <f>INDEX(Tabelle5!AB:AB,MATCH(B9,Tabelle5!B:B,0))+N9</f>
        <v>#N/A</v>
      </c>
      <c r="AC9" s="169" t="e">
        <f t="shared" si="1"/>
        <v>#N/A</v>
      </c>
      <c r="AD9" s="169" t="e">
        <f t="shared" si="2"/>
        <v>#N/A</v>
      </c>
      <c r="AE9" s="169" t="e">
        <f>INDEX(Tabelle5!AE:AE,MATCH(B9,Tabelle5!B:B,0))+SUMIF(Erfassung6!BH:BH,B9,Erfassung6!AW:AW)</f>
        <v>#N/A</v>
      </c>
    </row>
    <row r="10" spans="1:31" ht="42" customHeight="1" thickBot="1">
      <c r="A10" s="163">
        <v>4</v>
      </c>
      <c r="B10" s="104" t="e">
        <f>INDEX(Erfassung6!$B:$B,MATCH($A10,Erfassung6!$BE:$BE,0)-14)</f>
        <v>#N/A</v>
      </c>
      <c r="C10" s="82" t="e">
        <f>INDEX(Erfassung6!F:F,MATCH($A10,Erfassung6!$BE:$BE,0)-1)</f>
        <v>#N/A</v>
      </c>
      <c r="D10" s="83" t="e">
        <f>INDEX(Erfassung6!G:G,MATCH($A10,Erfassung6!$BE:$BE,0))</f>
        <v>#N/A</v>
      </c>
      <c r="E10" s="82" t="e">
        <f>INDEX(Erfassung6!I:I,MATCH($A10,Erfassung6!$BE:$BE,0)-1)</f>
        <v>#N/A</v>
      </c>
      <c r="F10" s="83" t="e">
        <f>INDEX(Erfassung6!J:J,MATCH($A10,Erfassung6!$BE:$BE,0))</f>
        <v>#N/A</v>
      </c>
      <c r="G10" s="82" t="e">
        <f>INDEX(Erfassung6!L:L,MATCH($A10,Erfassung6!$BE:$BE,0)-1)</f>
        <v>#N/A</v>
      </c>
      <c r="H10" s="83" t="e">
        <f>INDEX(Erfassung6!M:M,MATCH($A10,Erfassung6!$BE:$BE,0))</f>
        <v>#N/A</v>
      </c>
      <c r="I10" s="82" t="e">
        <f>INDEX(Erfassung6!O:O,MATCH($A10,Erfassung6!$BE:$BE,0)-1)</f>
        <v>#N/A</v>
      </c>
      <c r="J10" s="83" t="e">
        <f>INDEX(Erfassung6!P:P,MATCH($A10,Erfassung6!$BE:$BE,0))</f>
        <v>#N/A</v>
      </c>
      <c r="K10" s="82" t="e">
        <f>INDEX(Erfassung6!R:R,MATCH($A10,Erfassung6!$BE:$BE,0)-1)</f>
        <v>#N/A</v>
      </c>
      <c r="L10" s="83" t="e">
        <f>INDEX(Erfassung6!S:S,MATCH($A10,Erfassung6!$BE:$BE,0))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IFERROR(M10/INDEX(Erfassung6!AW:AW,MATCH(A10,Erfassung6!BE:BE,0)),0)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INDEX(Tabelle5!AA:AA,MATCH(B10,Tabelle5!B:B,0))+M10</f>
        <v>#N/A</v>
      </c>
      <c r="AB10" s="167" t="e">
        <f>INDEX(Tabelle5!AB:AB,MATCH(B10,Tabelle5!B:B,0))+N10</f>
        <v>#N/A</v>
      </c>
      <c r="AC10" s="169" t="e">
        <f t="shared" si="1"/>
        <v>#N/A</v>
      </c>
      <c r="AD10" s="169" t="e">
        <f t="shared" si="2"/>
        <v>#N/A</v>
      </c>
      <c r="AE10" s="169" t="e">
        <f>INDEX(Tabelle5!AE:AE,MATCH(B10,Tabelle5!B:B,0))+SUMIF(Erfassung6!BH:BH,B10,Erfassung6!AW:AW)</f>
        <v>#N/A</v>
      </c>
    </row>
    <row r="11" spans="1:31" ht="42" customHeight="1" thickBot="1">
      <c r="A11" s="163">
        <v>5</v>
      </c>
      <c r="B11" s="104" t="e">
        <f>INDEX(Erfassung6!$B:$B,MATCH($A11,Erfassung6!$BE:$BE,0)-14)</f>
        <v>#N/A</v>
      </c>
      <c r="C11" s="82" t="e">
        <f>INDEX(Erfassung6!F:F,MATCH($A11,Erfassung6!$BE:$BE,0)-1)</f>
        <v>#N/A</v>
      </c>
      <c r="D11" s="83" t="e">
        <f>INDEX(Erfassung6!G:G,MATCH($A11,Erfassung6!$BE:$BE,0))</f>
        <v>#N/A</v>
      </c>
      <c r="E11" s="82" t="e">
        <f>INDEX(Erfassung6!I:I,MATCH($A11,Erfassung6!$BE:$BE,0)-1)</f>
        <v>#N/A</v>
      </c>
      <c r="F11" s="83" t="e">
        <f>INDEX(Erfassung6!J:J,MATCH($A11,Erfassung6!$BE:$BE,0))</f>
        <v>#N/A</v>
      </c>
      <c r="G11" s="82" t="e">
        <f>INDEX(Erfassung6!L:L,MATCH($A11,Erfassung6!$BE:$BE,0)-1)</f>
        <v>#N/A</v>
      </c>
      <c r="H11" s="83" t="e">
        <f>INDEX(Erfassung6!M:M,MATCH($A11,Erfassung6!$BE:$BE,0))</f>
        <v>#N/A</v>
      </c>
      <c r="I11" s="82" t="e">
        <f>INDEX(Erfassung6!O:O,MATCH($A11,Erfassung6!$BE:$BE,0)-1)</f>
        <v>#N/A</v>
      </c>
      <c r="J11" s="83" t="e">
        <f>INDEX(Erfassung6!P:P,MATCH($A11,Erfassung6!$BE:$BE,0))</f>
        <v>#N/A</v>
      </c>
      <c r="K11" s="82" t="e">
        <f>INDEX(Erfassung6!R:R,MATCH($A11,Erfassung6!$BE:$BE,0)-1)</f>
        <v>#N/A</v>
      </c>
      <c r="L11" s="83" t="e">
        <f>INDEX(Erfassung6!S:S,MATCH($A11,Erfassung6!$BE:$BE,0))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IFERROR(M11/INDEX(Erfassung6!AW:AW,MATCH(A11,Erfassung6!BE:BE,0)),0)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INDEX(Tabelle5!AA:AA,MATCH(B11,Tabelle5!B:B,0))+M11</f>
        <v>#N/A</v>
      </c>
      <c r="AB11" s="167" t="e">
        <f>INDEX(Tabelle5!AB:AB,MATCH(B11,Tabelle5!B:B,0))+N11</f>
        <v>#N/A</v>
      </c>
      <c r="AC11" s="169" t="e">
        <f t="shared" si="1"/>
        <v>#N/A</v>
      </c>
      <c r="AD11" s="169" t="e">
        <f t="shared" si="2"/>
        <v>#N/A</v>
      </c>
      <c r="AE11" s="169" t="e">
        <f>INDEX(Tabelle5!AE:AE,MATCH(B11,Tabelle5!B:B,0))+SUMIF(Erfassung6!BH:BH,B11,Erfassung6!AW:AW)</f>
        <v>#N/A</v>
      </c>
    </row>
    <row r="12" spans="1:31" ht="42" customHeight="1" thickBot="1">
      <c r="A12" s="163">
        <v>6</v>
      </c>
      <c r="B12" s="104" t="e">
        <f>INDEX(Erfassung6!$B:$B,MATCH($A12,Erfassung6!$BE:$BE,0)-14)</f>
        <v>#N/A</v>
      </c>
      <c r="C12" s="82" t="e">
        <f>INDEX(Erfassung6!F:F,MATCH($A12,Erfassung6!$BE:$BE,0)-1)</f>
        <v>#N/A</v>
      </c>
      <c r="D12" s="83" t="e">
        <f>INDEX(Erfassung6!G:G,MATCH($A12,Erfassung6!$BE:$BE,0))</f>
        <v>#N/A</v>
      </c>
      <c r="E12" s="82" t="e">
        <f>INDEX(Erfassung6!I:I,MATCH($A12,Erfassung6!$BE:$BE,0)-1)</f>
        <v>#N/A</v>
      </c>
      <c r="F12" s="83" t="e">
        <f>INDEX(Erfassung6!J:J,MATCH($A12,Erfassung6!$BE:$BE,0))</f>
        <v>#N/A</v>
      </c>
      <c r="G12" s="82" t="e">
        <f>INDEX(Erfassung6!L:L,MATCH($A12,Erfassung6!$BE:$BE,0)-1)</f>
        <v>#N/A</v>
      </c>
      <c r="H12" s="83" t="e">
        <f>INDEX(Erfassung6!M:M,MATCH($A12,Erfassung6!$BE:$BE,0))</f>
        <v>#N/A</v>
      </c>
      <c r="I12" s="82" t="e">
        <f>INDEX(Erfassung6!O:O,MATCH($A12,Erfassung6!$BE:$BE,0)-1)</f>
        <v>#N/A</v>
      </c>
      <c r="J12" s="83" t="e">
        <f>INDEX(Erfassung6!P:P,MATCH($A12,Erfassung6!$BE:$BE,0))</f>
        <v>#N/A</v>
      </c>
      <c r="K12" s="82" t="e">
        <f>INDEX(Erfassung6!R:R,MATCH($A12,Erfassung6!$BE:$BE,0)-1)</f>
        <v>#N/A</v>
      </c>
      <c r="L12" s="83" t="e">
        <f>INDEX(Erfassung6!S:S,MATCH($A12,Erfassung6!$BE:$BE,0))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IFERROR(M12/INDEX(Erfassung6!AW:AW,MATCH(A12,Erfassung6!BE:BE,0)),0)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INDEX(Tabelle5!AA:AA,MATCH(B12,Tabelle5!B:B,0))+M12</f>
        <v>#N/A</v>
      </c>
      <c r="AB12" s="167" t="e">
        <f>INDEX(Tabelle5!AB:AB,MATCH(B12,Tabelle5!B:B,0))+N12</f>
        <v>#N/A</v>
      </c>
      <c r="AC12" s="169" t="e">
        <f t="shared" si="1"/>
        <v>#N/A</v>
      </c>
      <c r="AD12" s="169" t="e">
        <f t="shared" si="2"/>
        <v>#N/A</v>
      </c>
      <c r="AE12" s="169" t="e">
        <f>INDEX(Tabelle5!AE:AE,MATCH(B12,Tabelle5!B:B,0))+SUMIF(Erfassung6!BH:BH,B12,Erfassung6!AW:AW)</f>
        <v>#N/A</v>
      </c>
    </row>
    <row r="13" spans="1:31" ht="42" customHeight="1" thickBot="1">
      <c r="A13" s="163">
        <v>7</v>
      </c>
      <c r="B13" s="104" t="e">
        <f>INDEX(Erfassung6!$B:$B,MATCH($A13,Erfassung6!$BE:$BE,0)-14)</f>
        <v>#N/A</v>
      </c>
      <c r="C13" s="82" t="e">
        <f>INDEX(Erfassung6!F:F,MATCH($A13,Erfassung6!$BE:$BE,0)-1)</f>
        <v>#N/A</v>
      </c>
      <c r="D13" s="83" t="e">
        <f>INDEX(Erfassung6!G:G,MATCH($A13,Erfassung6!$BE:$BE,0))</f>
        <v>#N/A</v>
      </c>
      <c r="E13" s="82" t="e">
        <f>INDEX(Erfassung6!I:I,MATCH($A13,Erfassung6!$BE:$BE,0)-1)</f>
        <v>#N/A</v>
      </c>
      <c r="F13" s="83" t="e">
        <f>INDEX(Erfassung6!J:J,MATCH($A13,Erfassung6!$BE:$BE,0))</f>
        <v>#N/A</v>
      </c>
      <c r="G13" s="82" t="e">
        <f>INDEX(Erfassung6!L:L,MATCH($A13,Erfassung6!$BE:$BE,0)-1)</f>
        <v>#N/A</v>
      </c>
      <c r="H13" s="83" t="e">
        <f>INDEX(Erfassung6!M:M,MATCH($A13,Erfassung6!$BE:$BE,0))</f>
        <v>#N/A</v>
      </c>
      <c r="I13" s="82" t="e">
        <f>INDEX(Erfassung6!O:O,MATCH($A13,Erfassung6!$BE:$BE,0)-1)</f>
        <v>#N/A</v>
      </c>
      <c r="J13" s="83" t="e">
        <f>INDEX(Erfassung6!P:P,MATCH($A13,Erfassung6!$BE:$BE,0))</f>
        <v>#N/A</v>
      </c>
      <c r="K13" s="82" t="e">
        <f>INDEX(Erfassung6!R:R,MATCH($A13,Erfassung6!$BE:$BE,0)-1)</f>
        <v>#N/A</v>
      </c>
      <c r="L13" s="83" t="e">
        <f>INDEX(Erfassung6!S:S,MATCH($A13,Erfassung6!$BE:$BE,0))</f>
        <v>#N/A</v>
      </c>
      <c r="M13" s="84" t="e">
        <f t="shared" ref="M13:M14" si="3">SUM(C13+E13+G13+I13+K13)</f>
        <v>#N/A</v>
      </c>
      <c r="N13" s="85" t="e">
        <f t="shared" ref="N13:N14" si="4">SUM(D13+F13+H13+J13+L13)</f>
        <v>#N/A</v>
      </c>
      <c r="O13" s="65">
        <f>IFERROR(M13/INDEX(Erfassung6!AW:AW,MATCH(A13,Erfassung6!BE:BE,0)),0)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INDEX(Tabelle5!AA:AA,MATCH(B13,Tabelle5!B:B,0))+M13</f>
        <v>#N/A</v>
      </c>
      <c r="AB13" s="167" t="e">
        <f>INDEX(Tabelle5!AB:AB,MATCH(B13,Tabelle5!B:B,0))+N13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INDEX(Tabelle5!AE:AE,MATCH(B13,Tabelle5!B:B,0))+SUMIF(Erfassung6!BH:BH,B13,Erfassung6!AW:AW)</f>
        <v>#N/A</v>
      </c>
    </row>
    <row r="14" spans="1:31" ht="42" customHeight="1" thickBot="1">
      <c r="A14" s="163">
        <v>8</v>
      </c>
      <c r="B14" s="104" t="e">
        <f>INDEX(Erfassung6!$B:$B,MATCH($A14,Erfassung6!$BE:$BE,0)-14)</f>
        <v>#N/A</v>
      </c>
      <c r="C14" s="82" t="e">
        <f>INDEX(Erfassung6!F:F,MATCH($A14,Erfassung6!$BE:$BE,0)-1)</f>
        <v>#N/A</v>
      </c>
      <c r="D14" s="83" t="e">
        <f>INDEX(Erfassung6!G:G,MATCH($A14,Erfassung6!$BE:$BE,0))</f>
        <v>#N/A</v>
      </c>
      <c r="E14" s="82" t="e">
        <f>INDEX(Erfassung6!I:I,MATCH($A14,Erfassung6!$BE:$BE,0)-1)</f>
        <v>#N/A</v>
      </c>
      <c r="F14" s="83" t="e">
        <f>INDEX(Erfassung6!J:J,MATCH($A14,Erfassung6!$BE:$BE,0))</f>
        <v>#N/A</v>
      </c>
      <c r="G14" s="82" t="e">
        <f>INDEX(Erfassung6!L:L,MATCH($A14,Erfassung6!$BE:$BE,0)-1)</f>
        <v>#N/A</v>
      </c>
      <c r="H14" s="83" t="e">
        <f>INDEX(Erfassung6!M:M,MATCH($A14,Erfassung6!$BE:$BE,0))</f>
        <v>#N/A</v>
      </c>
      <c r="I14" s="82" t="e">
        <f>INDEX(Erfassung6!O:O,MATCH($A14,Erfassung6!$BE:$BE,0)-1)</f>
        <v>#N/A</v>
      </c>
      <c r="J14" s="83" t="e">
        <f>INDEX(Erfassung6!P:P,MATCH($A14,Erfassung6!$BE:$BE,0))</f>
        <v>#N/A</v>
      </c>
      <c r="K14" s="82" t="e">
        <f>INDEX(Erfassung6!R:R,MATCH($A14,Erfassung6!$BE:$BE,0)-1)</f>
        <v>#N/A</v>
      </c>
      <c r="L14" s="83" t="e">
        <f>INDEX(Erfassung6!S:S,MATCH($A14,Erfassung6!$BE:$BE,0))</f>
        <v>#N/A</v>
      </c>
      <c r="M14" s="84" t="e">
        <f t="shared" si="3"/>
        <v>#N/A</v>
      </c>
      <c r="N14" s="85" t="e">
        <f t="shared" si="4"/>
        <v>#N/A</v>
      </c>
      <c r="O14" s="65">
        <f>IFERROR(M14/INDEX(Erfassung6!AW:AW,MATCH(A14,Erfassung6!BE:BE,0)),0)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INDEX(Tabelle5!AA:AA,MATCH(B14,Tabelle5!B:B,0))+M14</f>
        <v>#N/A</v>
      </c>
      <c r="AB14" s="167" t="e">
        <f>INDEX(Tabelle5!AB:AB,MATCH(B14,Tabelle5!B:B,0))+N14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INDEX(Tabelle5!AE:AE,MATCH(B14,Tabelle5!B:B,0))+SUMIF(Erfassung6!BH:BH,B14,Erfassung6!AW:AW)</f>
        <v>#N/A</v>
      </c>
    </row>
    <row r="17" spans="2:18" ht="15.6">
      <c r="B17" s="442" t="s">
        <v>2379</v>
      </c>
      <c r="C17" s="442"/>
      <c r="D17" s="442"/>
      <c r="E17" s="442"/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89"/>
      <c r="Q17" s="89"/>
      <c r="R17" s="89"/>
    </row>
    <row r="18" spans="2:18">
      <c r="C18" s="453"/>
      <c r="D18" s="453"/>
      <c r="E18" s="453"/>
      <c r="F18" s="453"/>
      <c r="G18" s="453"/>
      <c r="H18" s="453"/>
    </row>
    <row r="19" spans="2:18">
      <c r="B19" s="89" t="s">
        <v>1817</v>
      </c>
      <c r="C19" t="str">
        <f>IFERROR(INDEX(Erfassung6!B:B,MATCH(1,Erfassung6!BI:BI,0)),"")</f>
        <v/>
      </c>
      <c r="H19" t="str">
        <f>INDEX(Erfassung6!BH:BH,MATCH(C19,Erfassung6!B:B,0))</f>
        <v>Bad Tölz 1</v>
      </c>
      <c r="N19" s="87">
        <f>IFERROR(ROUND(INDEX(Erfassung6!BG:BG,MATCH(1,Erfassung6!BI:BI,0)),0),"")</f>
        <v>0</v>
      </c>
    </row>
    <row r="20" spans="2:18">
      <c r="B20" s="89"/>
      <c r="C20" t="str">
        <f>IF(N20="","",IFERROR(INDEX(Erfassung6!B:B,MATCH(2,Erfassung6!BI:BI,0)),""))</f>
        <v/>
      </c>
      <c r="H20" t="str">
        <f>IF(C20="","",INDEX(Erfassung6!BH:BH,MATCH(C20,Erfassung6!B:B,0)))</f>
        <v/>
      </c>
      <c r="N20" s="88" t="str">
        <f>IF(IFERROR(ROUND(INDEX(Erfassung6!BG:BG,MATCH(2,Erfassung6!BI:BI,0)),0),0)=0,"",IFERROR(ROUND(INDEX(Erfassung6!BG:BG,MATCH(2,Erfassung6!BI:BI,0)),0),0))</f>
        <v/>
      </c>
    </row>
    <row r="21" spans="2:18">
      <c r="B21" s="89"/>
      <c r="C21" t="str">
        <f>IF(N21="","",IFERROR(INDEX(Erfassung6!B:B,MATCH(3,Erfassung6!BI:BI,0)),""))</f>
        <v/>
      </c>
      <c r="H21" t="str">
        <f>IF(C21="","",INDEX(Erfassung6!BH:BH,MATCH(C21,Erfassung6!B:B,0)))</f>
        <v/>
      </c>
      <c r="N21" s="88" t="str">
        <f>IF(IFERROR(ROUND(INDEX(Erfassung6!BG:BG,MATCH(3,Erfassung6!BI:BI,0)),0),0)=0,"",IFERROR(ROUND(INDEX(Erfassung6!BG:BG,MATCH(3,Erfassung6!BI:BI,0)),0),""))</f>
        <v/>
      </c>
    </row>
    <row r="22" spans="2:18">
      <c r="B22" s="89" t="s">
        <v>1818</v>
      </c>
      <c r="C22" t="str">
        <f>IFERROR(INDEX(Erfassung6!B:B,MATCH(1,Erfassung6!BM:BM,0)),"")</f>
        <v/>
      </c>
      <c r="H22" t="str">
        <f>INDEX(Erfassung6!BH:BH,MATCH(C22,Erfassung6!B:B,0))</f>
        <v>Bad Tölz 1</v>
      </c>
      <c r="N22" s="441" t="str">
        <f>IFERROR(ROUND(INDEX(Erfassung6!BJ:BJ,MATCH(1,Erfassung6!BM:BM,0)),0),"")&amp;"  /  "&amp;ROUND(IFERROR(ROUND(INDEX(Erfassung6!BJ:BJ,MATCH(1,Erfassung6!BM:BM,0)),0),"")/5,2)</f>
        <v>0  /  0</v>
      </c>
      <c r="O22" s="441"/>
      <c r="P22" s="78"/>
    </row>
    <row r="23" spans="2:18">
      <c r="C23" t="str">
        <f>IF(N23="","",IFERROR(INDEX(Erfassung6!B:B,MATCH(2,Erfassung6!BM:BM,0)),""))</f>
        <v/>
      </c>
      <c r="E23" s="6"/>
      <c r="H23" t="str">
        <f>IF(C23="","",INDEX(Erfassung6!BH:BH,MATCH(C23,Erfassung6!B:B,0)))</f>
        <v/>
      </c>
      <c r="N23" s="88" t="str">
        <f>IF(IFERROR(ROUND(INDEX(Erfassung6!BJ:BJ,MATCH(2,Erfassung6!BM:BM,0)),0),0)=0,"",IFERROR(ROUND(INDEX(Erfassung6!BJ:BJ,MATCH(2,Erfassung6!BM:BM,0)),0),0))</f>
        <v/>
      </c>
    </row>
    <row r="24" spans="2:18">
      <c r="C24" t="str">
        <f>IF(N24="","",IFERROR(INDEX(Erfassung6!B:B,MATCH(3,Erfassung6!BM:BM,0)),""))</f>
        <v/>
      </c>
      <c r="E24" s="6"/>
      <c r="H24" t="str">
        <f>IF(C24="","",INDEX(Erfassung6!BH:BH,MATCH(C24,Erfassung6!B:B,0)))</f>
        <v/>
      </c>
      <c r="N24" s="88" t="str">
        <f>IF(IFERROR(ROUND(INDEX(Erfassung6!BJ:BJ,MATCH(3,Erfassung6!BM:BM,0)),0),0)=0,"",IFERROR(ROUND(INDEX(Erfassung6!BJ:BJ,MATCH(3,Erfassung6!BM:BM,0)),0),0))</f>
        <v/>
      </c>
    </row>
  </sheetData>
  <sheetProtection formatCells="0" formatColumns="0" formatRows="0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B17:O17"/>
    <mergeCell ref="C18:H18"/>
    <mergeCell ref="N22:O22"/>
    <mergeCell ref="M5:N5"/>
    <mergeCell ref="O5:O6"/>
    <mergeCell ref="K5:L5"/>
  </mergeCells>
  <conditionalFormatting sqref="C7:L14">
    <cfRule type="top10" dxfId="68" priority="6" stopIfTrue="1" rank="1"/>
  </conditionalFormatting>
  <conditionalFormatting sqref="M7:M14">
    <cfRule type="top10" dxfId="67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6" fitToWidth="0" orientation="landscape" r:id="rId1"/>
  <headerFooter alignWithMargins="0">
    <oddHeader>&amp;R&amp;G</oddHead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R14"/>
  <sheetViews>
    <sheetView workbookViewId="0">
      <selection activeCell="E8" sqref="E7:J9"/>
    </sheetView>
  </sheetViews>
  <sheetFormatPr baseColWidth="10" defaultRowHeight="13.2"/>
  <cols>
    <col min="1" max="1" width="4.21875" customWidth="1"/>
    <col min="2" max="2" width="18.44140625" customWidth="1"/>
    <col min="3" max="14" width="8.6640625" customWidth="1"/>
    <col min="15" max="15" width="13.44140625" customWidth="1"/>
    <col min="16" max="16" width="9.44140625" customWidth="1"/>
    <col min="18" max="18" width="6.44140625" customWidth="1"/>
  </cols>
  <sheetData>
    <row r="1" spans="1:18" ht="28.5" customHeight="1">
      <c r="A1" s="449" t="str">
        <f>Schlüssel!$C$1</f>
        <v>Landesliga Jugend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</row>
    <row r="2" spans="1:18" ht="28.5" customHeight="1">
      <c r="A2" s="450" t="str">
        <f>"Saison "&amp;Spielorte!C18&amp;"     -     Spieltag "&amp;Erfassung6!S2&amp;"     -     "&amp;TEXT(Erfassung6!S1,"T. MMMM JJJJ")</f>
        <v>Saison 2024/2025     -     Spieltag 6     -     31. Mai 2025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</row>
    <row r="3" spans="1:18" ht="28.5" customHeight="1">
      <c r="A3" s="449" t="s">
        <v>1863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</row>
    <row r="4" spans="1:18" ht="28.5" customHeight="1" thickBot="1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74"/>
      <c r="Q4" s="147"/>
    </row>
    <row r="5" spans="1:18">
      <c r="A5" s="451" t="s">
        <v>1804</v>
      </c>
      <c r="B5" s="447" t="s">
        <v>1805</v>
      </c>
      <c r="C5" s="443" t="s">
        <v>1808</v>
      </c>
      <c r="D5" s="444"/>
      <c r="E5" s="443" t="s">
        <v>1809</v>
      </c>
      <c r="F5" s="444"/>
      <c r="G5" s="443" t="s">
        <v>1810</v>
      </c>
      <c r="H5" s="444"/>
      <c r="I5" s="467" t="s">
        <v>1811</v>
      </c>
      <c r="J5" s="444"/>
      <c r="K5" s="467" t="s">
        <v>1812</v>
      </c>
      <c r="L5" s="444"/>
      <c r="M5" s="467" t="s">
        <v>1813</v>
      </c>
      <c r="N5" s="469"/>
      <c r="O5" s="443" t="s">
        <v>1792</v>
      </c>
      <c r="P5" s="444"/>
      <c r="Q5" s="445" t="s">
        <v>1806</v>
      </c>
    </row>
    <row r="6" spans="1:18" ht="13.8" thickBot="1">
      <c r="A6" s="452"/>
      <c r="B6" s="448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63" t="s">
        <v>1800</v>
      </c>
      <c r="N6" s="256" t="s">
        <v>1801</v>
      </c>
      <c r="O6" s="63" t="s">
        <v>1800</v>
      </c>
      <c r="P6" s="64" t="s">
        <v>1801</v>
      </c>
      <c r="Q6" s="446"/>
    </row>
    <row r="7" spans="1:18" ht="42" customHeight="1" thickBot="1">
      <c r="A7" s="172">
        <v>1</v>
      </c>
      <c r="B7" s="104" t="e">
        <f>INDEX(Tabelle6!B:B,MATCH(A7,Tabelle6!AD:AD,0))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48" t="e">
        <f>INDEX(Tabelle3!M:M,MATCH(B7,Tabelle3!B:B,0))</f>
        <v>#N/A</v>
      </c>
      <c r="H7" s="150" t="e">
        <f>INDEX(Tabelle3!N:N,MATCH(B7,Tabelle3!B:B,0))</f>
        <v>#N/A</v>
      </c>
      <c r="I7" s="148" t="e">
        <f>INDEX(Tabelle4!M:M,MATCH(B7,Tabelle4!B:B,0))</f>
        <v>#N/A</v>
      </c>
      <c r="J7" s="150" t="e">
        <f>INDEX(Tabelle4!N:N,MATCH(B7,Tabelle4!B:B,0))</f>
        <v>#N/A</v>
      </c>
      <c r="K7" s="148" t="e">
        <f>INDEX(Tabelle5!M:M,MATCH(B7,Tabelle5!B:B,0))</f>
        <v>#N/A</v>
      </c>
      <c r="L7" s="150" t="e">
        <f>INDEX(Tabelle5!N:N,MATCH(B7,Tabelle5!B:B,0))</f>
        <v>#N/A</v>
      </c>
      <c r="M7" s="148" t="e">
        <f>INDEX(Tabelle6!M:M,MATCH(B7,Tabelle6!B:B,0))</f>
        <v>#N/A</v>
      </c>
      <c r="N7" s="151" t="e">
        <f>INDEX(Tabelle6!N:N,MATCH(B7,Tabelle6!B:B,0))</f>
        <v>#N/A</v>
      </c>
      <c r="O7" s="257" t="e">
        <f t="shared" ref="O7:P12" si="0">SUM(C7+E7+G7+I7+K7+M7)</f>
        <v>#N/A</v>
      </c>
      <c r="P7" s="174" t="e">
        <f t="shared" si="0"/>
        <v>#N/A</v>
      </c>
      <c r="Q7" s="175" t="e">
        <f>O7/INDEX(Tabelle6!$AE:$AE,MATCH($B7,Tabelle6!$B:$B,0))</f>
        <v>#N/A</v>
      </c>
      <c r="R7" s="70"/>
    </row>
    <row r="8" spans="1:18" ht="42" customHeight="1" thickBot="1">
      <c r="A8" s="172">
        <v>2</v>
      </c>
      <c r="B8" s="104" t="e">
        <f>INDEX(Tabelle6!B:B,MATCH(A8,Tabelle6!AD:AD,0))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48" t="e">
        <f>INDEX(Tabelle3!M:M,MATCH(B8,Tabelle3!B:B,0))</f>
        <v>#N/A</v>
      </c>
      <c r="H8" s="150" t="e">
        <f>INDEX(Tabelle3!N:N,MATCH(B8,Tabelle3!B:B,0))</f>
        <v>#N/A</v>
      </c>
      <c r="I8" s="148" t="e">
        <f>INDEX(Tabelle4!M:M,MATCH(B8,Tabelle4!B:B,0))</f>
        <v>#N/A</v>
      </c>
      <c r="J8" s="150" t="e">
        <f>INDEX(Tabelle4!N:N,MATCH(B8,Tabelle4!B:B,0))</f>
        <v>#N/A</v>
      </c>
      <c r="K8" s="148" t="e">
        <f>INDEX(Tabelle5!M:M,MATCH(B8,Tabelle5!B:B,0))</f>
        <v>#N/A</v>
      </c>
      <c r="L8" s="150" t="e">
        <f>INDEX(Tabelle5!N:N,MATCH(B8,Tabelle5!B:B,0))</f>
        <v>#N/A</v>
      </c>
      <c r="M8" s="148" t="e">
        <f>INDEX(Tabelle6!M:M,MATCH(B8,Tabelle6!B:B,0))</f>
        <v>#N/A</v>
      </c>
      <c r="N8" s="151" t="e">
        <f>INDEX(Tabelle6!N:N,MATCH(B8,Tabelle6!B:B,0))</f>
        <v>#N/A</v>
      </c>
      <c r="O8" s="257" t="e">
        <f t="shared" si="0"/>
        <v>#N/A</v>
      </c>
      <c r="P8" s="174" t="e">
        <f t="shared" si="0"/>
        <v>#N/A</v>
      </c>
      <c r="Q8" s="175" t="e">
        <f>O8/INDEX(Tabelle6!$AE:$AE,MATCH($B8,Tabelle6!$B:$B,0))</f>
        <v>#N/A</v>
      </c>
      <c r="R8" s="70"/>
    </row>
    <row r="9" spans="1:18" ht="42" customHeight="1" thickBot="1">
      <c r="A9" s="172">
        <v>3</v>
      </c>
      <c r="B9" s="104" t="e">
        <f>INDEX(Tabelle6!B:B,MATCH(A9,Tabelle6!AD:AD,0))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48" t="e">
        <f>INDEX(Tabelle3!M:M,MATCH(B9,Tabelle3!B:B,0))</f>
        <v>#N/A</v>
      </c>
      <c r="H9" s="150" t="e">
        <f>INDEX(Tabelle3!N:N,MATCH(B9,Tabelle3!B:B,0))</f>
        <v>#N/A</v>
      </c>
      <c r="I9" s="148" t="e">
        <f>INDEX(Tabelle4!M:M,MATCH(B9,Tabelle4!B:B,0))</f>
        <v>#N/A</v>
      </c>
      <c r="J9" s="150" t="e">
        <f>INDEX(Tabelle4!N:N,MATCH(B9,Tabelle4!B:B,0))</f>
        <v>#N/A</v>
      </c>
      <c r="K9" s="148" t="e">
        <f>INDEX(Tabelle5!M:M,MATCH(B9,Tabelle5!B:B,0))</f>
        <v>#N/A</v>
      </c>
      <c r="L9" s="150" t="e">
        <f>INDEX(Tabelle5!N:N,MATCH(B9,Tabelle5!B:B,0))</f>
        <v>#N/A</v>
      </c>
      <c r="M9" s="148" t="e">
        <f>INDEX(Tabelle6!M:M,MATCH(B9,Tabelle6!B:B,0))</f>
        <v>#N/A</v>
      </c>
      <c r="N9" s="151" t="e">
        <f>INDEX(Tabelle6!N:N,MATCH(B9,Tabelle6!B:B,0))</f>
        <v>#N/A</v>
      </c>
      <c r="O9" s="257" t="e">
        <f t="shared" si="0"/>
        <v>#N/A</v>
      </c>
      <c r="P9" s="174" t="e">
        <f t="shared" si="0"/>
        <v>#N/A</v>
      </c>
      <c r="Q9" s="175" t="e">
        <f>O9/INDEX(Tabelle6!$AE:$AE,MATCH($B9,Tabelle6!$B:$B,0))</f>
        <v>#N/A</v>
      </c>
      <c r="R9" s="70"/>
    </row>
    <row r="10" spans="1:18" ht="42" customHeight="1" thickBot="1">
      <c r="A10" s="172">
        <v>4</v>
      </c>
      <c r="B10" s="104" t="e">
        <f>INDEX(Tabelle6!B:B,MATCH(A10,Tabelle6!AD:AD,0))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48" t="e">
        <f>INDEX(Tabelle3!M:M,MATCH(B10,Tabelle3!B:B,0))</f>
        <v>#N/A</v>
      </c>
      <c r="H10" s="150" t="e">
        <f>INDEX(Tabelle3!N:N,MATCH(B10,Tabelle3!B:B,0))</f>
        <v>#N/A</v>
      </c>
      <c r="I10" s="148" t="e">
        <f>INDEX(Tabelle4!M:M,MATCH(B10,Tabelle4!B:B,0))</f>
        <v>#N/A</v>
      </c>
      <c r="J10" s="150" t="e">
        <f>INDEX(Tabelle4!N:N,MATCH(B10,Tabelle4!B:B,0))</f>
        <v>#N/A</v>
      </c>
      <c r="K10" s="148" t="e">
        <f>INDEX(Tabelle5!M:M,MATCH(B10,Tabelle5!B:B,0))</f>
        <v>#N/A</v>
      </c>
      <c r="L10" s="150" t="e">
        <f>INDEX(Tabelle5!N:N,MATCH(B10,Tabelle5!B:B,0))</f>
        <v>#N/A</v>
      </c>
      <c r="M10" s="148" t="e">
        <f>INDEX(Tabelle6!M:M,MATCH(B10,Tabelle6!B:B,0))</f>
        <v>#N/A</v>
      </c>
      <c r="N10" s="151" t="e">
        <f>INDEX(Tabelle6!N:N,MATCH(B10,Tabelle6!B:B,0))</f>
        <v>#N/A</v>
      </c>
      <c r="O10" s="257" t="e">
        <f t="shared" si="0"/>
        <v>#N/A</v>
      </c>
      <c r="P10" s="174" t="e">
        <f t="shared" si="0"/>
        <v>#N/A</v>
      </c>
      <c r="Q10" s="175" t="e">
        <f>O10/INDEX(Tabelle6!$AE:$AE,MATCH($B10,Tabelle6!$B:$B,0))</f>
        <v>#N/A</v>
      </c>
      <c r="R10" s="70"/>
    </row>
    <row r="11" spans="1:18" ht="42" customHeight="1" thickBot="1">
      <c r="A11" s="172">
        <v>5</v>
      </c>
      <c r="B11" s="104" t="e">
        <f>INDEX(Tabelle6!B:B,MATCH(A11,Tabelle6!AD:AD,0))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48" t="e">
        <f>INDEX(Tabelle3!M:M,MATCH(B11,Tabelle3!B:B,0))</f>
        <v>#N/A</v>
      </c>
      <c r="H11" s="150" t="e">
        <f>INDEX(Tabelle3!N:N,MATCH(B11,Tabelle3!B:B,0))</f>
        <v>#N/A</v>
      </c>
      <c r="I11" s="148" t="e">
        <f>INDEX(Tabelle4!M:M,MATCH(B11,Tabelle4!B:B,0))</f>
        <v>#N/A</v>
      </c>
      <c r="J11" s="150" t="e">
        <f>INDEX(Tabelle4!N:N,MATCH(B11,Tabelle4!B:B,0))</f>
        <v>#N/A</v>
      </c>
      <c r="K11" s="148" t="e">
        <f>INDEX(Tabelle5!M:M,MATCH(B11,Tabelle5!B:B,0))</f>
        <v>#N/A</v>
      </c>
      <c r="L11" s="150" t="e">
        <f>INDEX(Tabelle5!N:N,MATCH(B11,Tabelle5!B:B,0))</f>
        <v>#N/A</v>
      </c>
      <c r="M11" s="148" t="e">
        <f>INDEX(Tabelle6!M:M,MATCH(B11,Tabelle6!B:B,0))</f>
        <v>#N/A</v>
      </c>
      <c r="N11" s="151" t="e">
        <f>INDEX(Tabelle6!N:N,MATCH(B11,Tabelle6!B:B,0))</f>
        <v>#N/A</v>
      </c>
      <c r="O11" s="257" t="e">
        <f t="shared" si="0"/>
        <v>#N/A</v>
      </c>
      <c r="P11" s="174" t="e">
        <f t="shared" si="0"/>
        <v>#N/A</v>
      </c>
      <c r="Q11" s="175" t="e">
        <f>O11/INDEX(Tabelle6!$AE:$AE,MATCH($B11,Tabelle6!$B:$B,0))</f>
        <v>#N/A</v>
      </c>
      <c r="R11" s="70"/>
    </row>
    <row r="12" spans="1:18" ht="42" customHeight="1" thickBot="1">
      <c r="A12" s="172">
        <v>6</v>
      </c>
      <c r="B12" s="104" t="e">
        <f>INDEX(Tabelle6!B:B,MATCH(A12,Tabelle6!AD:AD,0))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48" t="e">
        <f>INDEX(Tabelle3!M:M,MATCH(B12,Tabelle3!B:B,0))</f>
        <v>#N/A</v>
      </c>
      <c r="H12" s="150" t="e">
        <f>INDEX(Tabelle3!N:N,MATCH(B12,Tabelle3!B:B,0))</f>
        <v>#N/A</v>
      </c>
      <c r="I12" s="148" t="e">
        <f>INDEX(Tabelle4!M:M,MATCH(B12,Tabelle4!B:B,0))</f>
        <v>#N/A</v>
      </c>
      <c r="J12" s="150" t="e">
        <f>INDEX(Tabelle4!N:N,MATCH(B12,Tabelle4!B:B,0))</f>
        <v>#N/A</v>
      </c>
      <c r="K12" s="148" t="e">
        <f>INDEX(Tabelle5!M:M,MATCH(B12,Tabelle5!B:B,0))</f>
        <v>#N/A</v>
      </c>
      <c r="L12" s="150" t="e">
        <f>INDEX(Tabelle5!N:N,MATCH(B12,Tabelle5!B:B,0))</f>
        <v>#N/A</v>
      </c>
      <c r="M12" s="148" t="e">
        <f>INDEX(Tabelle6!M:M,MATCH(B12,Tabelle6!B:B,0))</f>
        <v>#N/A</v>
      </c>
      <c r="N12" s="151" t="e">
        <f>INDEX(Tabelle6!N:N,MATCH(B12,Tabelle6!B:B,0))</f>
        <v>#N/A</v>
      </c>
      <c r="O12" s="257" t="e">
        <f t="shared" si="0"/>
        <v>#N/A</v>
      </c>
      <c r="P12" s="174" t="e">
        <f t="shared" si="0"/>
        <v>#N/A</v>
      </c>
      <c r="Q12" s="175">
        <f>IFERROR(O12/INDEX(Tabelle6!$AE:$AE,MATCH($B12,Tabelle6!$B:$B,0)),0)</f>
        <v>0</v>
      </c>
      <c r="R12" s="70"/>
    </row>
    <row r="13" spans="1:18" ht="42" customHeight="1" thickBot="1">
      <c r="A13" s="172">
        <v>7</v>
      </c>
      <c r="B13" s="104" t="e">
        <f>INDEX(Tabelle6!B:B,MATCH(A13,Tabelle6!AD:AD,0))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48" t="e">
        <f>INDEX(Tabelle3!M:M,MATCH(B13,Tabelle3!B:B,0))</f>
        <v>#N/A</v>
      </c>
      <c r="H13" s="150" t="e">
        <f>INDEX(Tabelle3!N:N,MATCH(B13,Tabelle3!B:B,0))</f>
        <v>#N/A</v>
      </c>
      <c r="I13" s="148" t="e">
        <f>INDEX(Tabelle4!M:M,MATCH(B13,Tabelle4!B:B,0))</f>
        <v>#N/A</v>
      </c>
      <c r="J13" s="150" t="e">
        <f>INDEX(Tabelle4!N:N,MATCH(B13,Tabelle4!B:B,0))</f>
        <v>#N/A</v>
      </c>
      <c r="K13" s="148" t="e">
        <f>INDEX(Tabelle5!M:M,MATCH(B13,Tabelle5!B:B,0))</f>
        <v>#N/A</v>
      </c>
      <c r="L13" s="150" t="e">
        <f>INDEX(Tabelle5!N:N,MATCH(B13,Tabelle5!B:B,0))</f>
        <v>#N/A</v>
      </c>
      <c r="M13" s="148" t="e">
        <f>INDEX(Tabelle6!M:M,MATCH(B13,Tabelle6!B:B,0))</f>
        <v>#N/A</v>
      </c>
      <c r="N13" s="151" t="e">
        <f>INDEX(Tabelle6!N:N,MATCH(B13,Tabelle6!B:B,0))</f>
        <v>#N/A</v>
      </c>
      <c r="O13" s="257" t="e">
        <f t="shared" ref="O13:O14" si="1">SUM(C13+E13+G13+I13+K13+M13)</f>
        <v>#N/A</v>
      </c>
      <c r="P13" s="174" t="e">
        <f t="shared" ref="P13:P14" si="2">SUM(D13+F13+H13+J13+L13+N13)</f>
        <v>#N/A</v>
      </c>
      <c r="Q13" s="175">
        <f>IFERROR(O13/INDEX(Tabelle6!$AE:$AE,MATCH($B13,Tabelle6!$B:$B,0)),0)</f>
        <v>0</v>
      </c>
      <c r="R13" s="70"/>
    </row>
    <row r="14" spans="1:18" ht="42" customHeight="1" thickBot="1">
      <c r="A14" s="172">
        <v>8</v>
      </c>
      <c r="B14" s="104" t="e">
        <f>INDEX(Tabelle6!B:B,MATCH(A14,Tabelle6!AD:AD,0))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48" t="e">
        <f>INDEX(Tabelle3!M:M,MATCH(B14,Tabelle3!B:B,0))</f>
        <v>#N/A</v>
      </c>
      <c r="H14" s="150" t="e">
        <f>INDEX(Tabelle3!N:N,MATCH(B14,Tabelle3!B:B,0))</f>
        <v>#N/A</v>
      </c>
      <c r="I14" s="148" t="e">
        <f>INDEX(Tabelle4!M:M,MATCH(B14,Tabelle4!B:B,0))</f>
        <v>#N/A</v>
      </c>
      <c r="J14" s="150" t="e">
        <f>INDEX(Tabelle4!N:N,MATCH(B14,Tabelle4!B:B,0))</f>
        <v>#N/A</v>
      </c>
      <c r="K14" s="148" t="e">
        <f>INDEX(Tabelle5!M:M,MATCH(B14,Tabelle5!B:B,0))</f>
        <v>#N/A</v>
      </c>
      <c r="L14" s="150" t="e">
        <f>INDEX(Tabelle5!N:N,MATCH(B14,Tabelle5!B:B,0))</f>
        <v>#N/A</v>
      </c>
      <c r="M14" s="148" t="e">
        <f>INDEX(Tabelle6!M:M,MATCH(B14,Tabelle6!B:B,0))</f>
        <v>#N/A</v>
      </c>
      <c r="N14" s="151" t="e">
        <f>INDEX(Tabelle6!N:N,MATCH(B14,Tabelle6!B:B,0))</f>
        <v>#N/A</v>
      </c>
      <c r="O14" s="257" t="e">
        <f t="shared" si="1"/>
        <v>#N/A</v>
      </c>
      <c r="P14" s="174" t="e">
        <f t="shared" si="2"/>
        <v>#N/A</v>
      </c>
      <c r="Q14" s="175">
        <f>IFERROR(O14/INDEX(Tabelle6!$AE:$AE,MATCH($B14,Tabelle6!$B:$B,0)),0)</f>
        <v>0</v>
      </c>
      <c r="R14" s="70"/>
    </row>
  </sheetData>
  <sheetProtection password="D19C" sheet="1" objects="1" scenarios="1" formatCells="0" formatColumns="0" formatRows="0"/>
  <mergeCells count="13">
    <mergeCell ref="I5:J5"/>
    <mergeCell ref="K5:L5"/>
    <mergeCell ref="A1:Q1"/>
    <mergeCell ref="A2:Q2"/>
    <mergeCell ref="A3:Q3"/>
    <mergeCell ref="O5:P5"/>
    <mergeCell ref="Q5:Q6"/>
    <mergeCell ref="M5:N5"/>
    <mergeCell ref="A5:A6"/>
    <mergeCell ref="B5:B6"/>
    <mergeCell ref="C5:D5"/>
    <mergeCell ref="E5:F5"/>
    <mergeCell ref="G5:H5"/>
  </mergeCells>
  <printOptions horizontalCentered="1"/>
  <pageMargins left="0.19685039370078741" right="0.19685039370078741" top="0.78740157480314965" bottom="0.78740157480314965" header="0.31496062992125984" footer="0.31496062992125984"/>
  <pageSetup paperSize="9" scale="91" fitToHeight="0" orientation="landscape" r:id="rId1"/>
  <headerFooter>
    <oddHeader>&amp;R&amp;G</oddHead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7030A0"/>
    <pageSetUpPr fitToPage="1"/>
  </sheetPr>
  <dimension ref="A1:P104"/>
  <sheetViews>
    <sheetView view="pageBreakPreview" topLeftCell="A25" zoomScaleNormal="100" zoomScaleSheetLayoutView="100" workbookViewId="0">
      <selection activeCell="E8" sqref="E7:J9"/>
    </sheetView>
  </sheetViews>
  <sheetFormatPr baseColWidth="10" defaultColWidth="11.44140625" defaultRowHeight="13.2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44140625" style="91"/>
    <col min="10" max="11" width="11.44140625" style="91" customWidth="1"/>
    <col min="12" max="16" width="11.44140625" style="91" hidden="1" customWidth="1"/>
    <col min="17" max="20" width="11.44140625" style="91" customWidth="1"/>
    <col min="21" max="16384" width="11.44140625" style="91"/>
  </cols>
  <sheetData>
    <row r="1" spans="1:16" ht="28.5" customHeight="1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>
      <c r="A2" s="96" t="s">
        <v>1785</v>
      </c>
      <c r="C2" s="97">
        <v>6</v>
      </c>
      <c r="D2" s="97" t="s">
        <v>1821</v>
      </c>
      <c r="E2" s="98"/>
      <c r="F2" s="99"/>
      <c r="L2" s="91">
        <f>INDEX(Starter!A:A,ROW()-1)</f>
        <v>38890</v>
      </c>
      <c r="M2" s="91">
        <f>SUMIF(Erfassung6!AU:AU,L2,Erfassung6!BJ:BJ)</f>
        <v>0</v>
      </c>
      <c r="N2" s="91">
        <f>SUMIF(Erfassung6!AU:AU,L2,Erfassung6!AX:AX)</f>
        <v>0</v>
      </c>
      <c r="O2" s="91">
        <f t="shared" ref="O2:O65" si="0">IF(N2=0,0,M2/N2-ROW()/1000000000)</f>
        <v>0</v>
      </c>
      <c r="P2" s="91">
        <f t="shared" ref="P2:P65" si="1">RANK(O2,O:O)</f>
        <v>1</v>
      </c>
    </row>
    <row r="3" spans="1:16">
      <c r="L3" s="91">
        <f>INDEX(Starter!A:A,ROW()-1)</f>
        <v>38785</v>
      </c>
      <c r="M3" s="91">
        <f>SUMIF(Erfassung6!AU:AU,L3,Erfassung6!BJ:BJ)</f>
        <v>0</v>
      </c>
      <c r="N3" s="91">
        <f>SUMIF(Erfassung6!AU:AU,L3,Erfassung6!AX:AX)</f>
        <v>0</v>
      </c>
      <c r="O3" s="91">
        <f t="shared" si="0"/>
        <v>0</v>
      </c>
      <c r="P3" s="91">
        <f t="shared" si="1"/>
        <v>1</v>
      </c>
    </row>
    <row r="4" spans="1:16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SUMIF(Erfassung6!AU:AU,L4,Erfassung6!BJ:BJ)</f>
        <v>0</v>
      </c>
      <c r="N4" s="91">
        <f>SUMIF(Erfassung6!AU:AU,L4,Erfassung6!AX:AX)</f>
        <v>0</v>
      </c>
      <c r="O4" s="91">
        <f t="shared" si="0"/>
        <v>0</v>
      </c>
      <c r="P4" s="91">
        <f t="shared" si="1"/>
        <v>1</v>
      </c>
    </row>
    <row r="5" spans="1:16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SUMIF(Erfassung6!AU:AU,L5,Erfassung6!BJ:BJ)</f>
        <v>0</v>
      </c>
      <c r="N5" s="91">
        <f>SUMIF(Erfassung6!AU:AU,L5,Erfassung6!AX:AX)</f>
        <v>0</v>
      </c>
      <c r="O5" s="91">
        <f t="shared" si="0"/>
        <v>0</v>
      </c>
      <c r="P5" s="91">
        <f t="shared" si="1"/>
        <v>1</v>
      </c>
    </row>
    <row r="6" spans="1:16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SUMIF(Erfassung6!AU:AU,L6,Erfassung6!BJ:BJ)</f>
        <v>0</v>
      </c>
      <c r="N6" s="91">
        <f>SUMIF(Erfassung6!AU:AU,L6,Erfassung6!AX:AX)</f>
        <v>0</v>
      </c>
      <c r="O6" s="91">
        <f t="shared" si="0"/>
        <v>0</v>
      </c>
      <c r="P6" s="91">
        <f t="shared" si="1"/>
        <v>1</v>
      </c>
    </row>
    <row r="7" spans="1:16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SUMIF(Erfassung6!AU:AU,L7,Erfassung6!BJ:BJ)</f>
        <v>0</v>
      </c>
      <c r="N7" s="91">
        <f>SUMIF(Erfassung6!AU:AU,L7,Erfassung6!AX:AX)</f>
        <v>0</v>
      </c>
      <c r="O7" s="91">
        <f t="shared" si="0"/>
        <v>0</v>
      </c>
      <c r="P7" s="91">
        <f t="shared" si="1"/>
        <v>1</v>
      </c>
    </row>
    <row r="8" spans="1:16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SUMIF(Erfassung6!AU:AU,L8,Erfassung6!BJ:BJ)</f>
        <v>0</v>
      </c>
      <c r="N8" s="91">
        <f>SUMIF(Erfassung6!AU:AU,L8,Erfassung6!AX:AX)</f>
        <v>0</v>
      </c>
      <c r="O8" s="91">
        <f t="shared" si="0"/>
        <v>0</v>
      </c>
      <c r="P8" s="91">
        <f t="shared" si="1"/>
        <v>1</v>
      </c>
    </row>
    <row r="9" spans="1:16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SUMIF(Erfassung6!AU:AU,L9,Erfassung6!BJ:BJ)</f>
        <v>0</v>
      </c>
      <c r="N9" s="91">
        <f>SUMIF(Erfassung6!AU:AU,L9,Erfassung6!AX:AX)</f>
        <v>0</v>
      </c>
      <c r="O9" s="91">
        <f t="shared" si="0"/>
        <v>0</v>
      </c>
      <c r="P9" s="91">
        <f t="shared" si="1"/>
        <v>1</v>
      </c>
    </row>
    <row r="10" spans="1:16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SUMIF(Erfassung6!AU:AU,L10,Erfassung6!BJ:BJ)</f>
        <v>0</v>
      </c>
      <c r="N10" s="91">
        <f>SUMIF(Erfassung6!AU:AU,L10,Erfassung6!AX:AX)</f>
        <v>0</v>
      </c>
      <c r="O10" s="91">
        <f t="shared" si="0"/>
        <v>0</v>
      </c>
      <c r="P10" s="91">
        <f t="shared" si="1"/>
        <v>1</v>
      </c>
    </row>
    <row r="11" spans="1:16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SUMIF(Erfassung6!AU:AU,L11,Erfassung6!BJ:BJ)</f>
        <v>0</v>
      </c>
      <c r="N11" s="91">
        <f>SUMIF(Erfassung6!AU:AU,L11,Erfassung6!AX:AX)</f>
        <v>0</v>
      </c>
      <c r="O11" s="91">
        <f t="shared" si="0"/>
        <v>0</v>
      </c>
      <c r="P11" s="91">
        <f t="shared" si="1"/>
        <v>1</v>
      </c>
    </row>
    <row r="12" spans="1:16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SUMIF(Erfassung6!AU:AU,L12,Erfassung6!BJ:BJ)</f>
        <v>0</v>
      </c>
      <c r="N12" s="91">
        <f>SUMIF(Erfassung6!AU:AU,L12,Erfassung6!AX:AX)</f>
        <v>0</v>
      </c>
      <c r="O12" s="91">
        <f t="shared" si="0"/>
        <v>0</v>
      </c>
      <c r="P12" s="91">
        <f t="shared" si="1"/>
        <v>1</v>
      </c>
    </row>
    <row r="13" spans="1:16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SUMIF(Erfassung6!AU:AU,L13,Erfassung6!BJ:BJ)</f>
        <v>0</v>
      </c>
      <c r="N13" s="91">
        <f>SUMIF(Erfassung6!AU:AU,L13,Erfassung6!AX:AX)</f>
        <v>0</v>
      </c>
      <c r="O13" s="91">
        <f t="shared" si="0"/>
        <v>0</v>
      </c>
      <c r="P13" s="91">
        <f t="shared" si="1"/>
        <v>1</v>
      </c>
    </row>
    <row r="14" spans="1:16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SUMIF(Erfassung6!AU:AU,L14,Erfassung6!BJ:BJ)</f>
        <v>0</v>
      </c>
      <c r="N14" s="91">
        <f>SUMIF(Erfassung6!AU:AU,L14,Erfassung6!AX:AX)</f>
        <v>0</v>
      </c>
      <c r="O14" s="91">
        <f t="shared" si="0"/>
        <v>0</v>
      </c>
      <c r="P14" s="91">
        <f t="shared" si="1"/>
        <v>1</v>
      </c>
    </row>
    <row r="15" spans="1:16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SUMIF(Erfassung6!AU:AU,L15,Erfassung6!BJ:BJ)</f>
        <v>0</v>
      </c>
      <c r="N15" s="91">
        <f>SUMIF(Erfassung6!AU:AU,L15,Erfassung6!AX:AX)</f>
        <v>0</v>
      </c>
      <c r="O15" s="91">
        <f t="shared" si="0"/>
        <v>0</v>
      </c>
      <c r="P15" s="91">
        <f t="shared" si="1"/>
        <v>1</v>
      </c>
    </row>
    <row r="16" spans="1:16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SUMIF(Erfassung6!AU:AU,L16,Erfassung6!BJ:BJ)</f>
        <v>0</v>
      </c>
      <c r="N16" s="91">
        <f>SUMIF(Erfassung6!AU:AU,L16,Erfassung6!AX:AX)</f>
        <v>0</v>
      </c>
      <c r="O16" s="91">
        <f t="shared" si="0"/>
        <v>0</v>
      </c>
      <c r="P16" s="91">
        <f t="shared" si="1"/>
        <v>1</v>
      </c>
    </row>
    <row r="17" spans="1:16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SUMIF(Erfassung6!AU:AU,L17,Erfassung6!BJ:BJ)</f>
        <v>0</v>
      </c>
      <c r="N17" s="91">
        <f>SUMIF(Erfassung6!AU:AU,L17,Erfassung6!AX:AX)</f>
        <v>0</v>
      </c>
      <c r="O17" s="91">
        <f t="shared" si="0"/>
        <v>0</v>
      </c>
      <c r="P17" s="91">
        <f t="shared" si="1"/>
        <v>1</v>
      </c>
    </row>
    <row r="18" spans="1:16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SUMIF(Erfassung6!AU:AU,L18,Erfassung6!BJ:BJ)</f>
        <v>0</v>
      </c>
      <c r="N18" s="91">
        <f>SUMIF(Erfassung6!AU:AU,L18,Erfassung6!AX:AX)</f>
        <v>0</v>
      </c>
      <c r="O18" s="91">
        <f t="shared" si="0"/>
        <v>0</v>
      </c>
      <c r="P18" s="91">
        <f t="shared" si="1"/>
        <v>1</v>
      </c>
    </row>
    <row r="19" spans="1:16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SUMIF(Erfassung6!AU:AU,L19,Erfassung6!BJ:BJ)</f>
        <v>0</v>
      </c>
      <c r="N19" s="91">
        <f>SUMIF(Erfassung6!AU:AU,L19,Erfassung6!AX:AX)</f>
        <v>0</v>
      </c>
      <c r="O19" s="91">
        <f t="shared" si="0"/>
        <v>0</v>
      </c>
      <c r="P19" s="91">
        <f t="shared" si="1"/>
        <v>1</v>
      </c>
    </row>
    <row r="20" spans="1:16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SUMIF(Erfassung6!AU:AU,L20,Erfassung6!BJ:BJ)</f>
        <v>0</v>
      </c>
      <c r="N20" s="91">
        <f>SUMIF(Erfassung6!AU:AU,L20,Erfassung6!AX:AX)</f>
        <v>0</v>
      </c>
      <c r="O20" s="91">
        <f t="shared" si="0"/>
        <v>0</v>
      </c>
      <c r="P20" s="91">
        <f t="shared" si="1"/>
        <v>1</v>
      </c>
    </row>
    <row r="21" spans="1:16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SUMIF(Erfassung6!AU:AU,L21,Erfassung6!BJ:BJ)</f>
        <v>0</v>
      </c>
      <c r="N21" s="91">
        <f>SUMIF(Erfassung6!AU:AU,L21,Erfassung6!AX:AX)</f>
        <v>0</v>
      </c>
      <c r="O21" s="91">
        <f t="shared" si="0"/>
        <v>0</v>
      </c>
      <c r="P21" s="91">
        <f t="shared" si="1"/>
        <v>1</v>
      </c>
    </row>
    <row r="22" spans="1:16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SUMIF(Erfassung6!AU:AU,L22,Erfassung6!BJ:BJ)</f>
        <v>0</v>
      </c>
      <c r="N22" s="91">
        <f>SUMIF(Erfassung6!AU:AU,L22,Erfassung6!AX:AX)</f>
        <v>0</v>
      </c>
      <c r="O22" s="91">
        <f t="shared" si="0"/>
        <v>0</v>
      </c>
      <c r="P22" s="91">
        <f t="shared" si="1"/>
        <v>1</v>
      </c>
    </row>
    <row r="23" spans="1:16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SUMIF(Erfassung6!AU:AU,L23,Erfassung6!BJ:BJ)</f>
        <v>0</v>
      </c>
      <c r="N23" s="91">
        <f>SUMIF(Erfassung6!AU:AU,L23,Erfassung6!AX:AX)</f>
        <v>0</v>
      </c>
      <c r="O23" s="91">
        <f t="shared" si="0"/>
        <v>0</v>
      </c>
      <c r="P23" s="91">
        <f t="shared" si="1"/>
        <v>1</v>
      </c>
    </row>
    <row r="24" spans="1:16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SUMIF(Erfassung6!AU:AU,L24,Erfassung6!BJ:BJ)</f>
        <v>0</v>
      </c>
      <c r="N24" s="91">
        <f>SUMIF(Erfassung6!AU:AU,L24,Erfassung6!AX:AX)</f>
        <v>0</v>
      </c>
      <c r="O24" s="91">
        <f t="shared" si="0"/>
        <v>0</v>
      </c>
      <c r="P24" s="91">
        <f t="shared" si="1"/>
        <v>1</v>
      </c>
    </row>
    <row r="25" spans="1:16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SUMIF(Erfassung6!AU:AU,L25,Erfassung6!BJ:BJ)</f>
        <v>0</v>
      </c>
      <c r="N25" s="91">
        <f>SUMIF(Erfassung6!AU:AU,L25,Erfassung6!AX:AX)</f>
        <v>0</v>
      </c>
      <c r="O25" s="91">
        <f t="shared" si="0"/>
        <v>0</v>
      </c>
      <c r="P25" s="91">
        <f t="shared" si="1"/>
        <v>1</v>
      </c>
    </row>
    <row r="26" spans="1:16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SUMIF(Erfassung6!AU:AU,L26,Erfassung6!BJ:BJ)</f>
        <v>0</v>
      </c>
      <c r="N26" s="91">
        <f>SUMIF(Erfassung6!AU:AU,L26,Erfassung6!AX:AX)</f>
        <v>0</v>
      </c>
      <c r="O26" s="91">
        <f t="shared" si="0"/>
        <v>0</v>
      </c>
      <c r="P26" s="91">
        <f t="shared" si="1"/>
        <v>1</v>
      </c>
    </row>
    <row r="27" spans="1:16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SUMIF(Erfassung6!AU:AU,L27,Erfassung6!BJ:BJ)</f>
        <v>0</v>
      </c>
      <c r="N27" s="91">
        <f>SUMIF(Erfassung6!AU:AU,L27,Erfassung6!AX:AX)</f>
        <v>0</v>
      </c>
      <c r="O27" s="91">
        <f t="shared" si="0"/>
        <v>0</v>
      </c>
      <c r="P27" s="91">
        <f t="shared" si="1"/>
        <v>1</v>
      </c>
    </row>
    <row r="28" spans="1:16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SUMIF(Erfassung6!AU:AU,L28,Erfassung6!BJ:BJ)</f>
        <v>0</v>
      </c>
      <c r="N28" s="91">
        <f>SUMIF(Erfassung6!AU:AU,L28,Erfassung6!AX:AX)</f>
        <v>0</v>
      </c>
      <c r="O28" s="91">
        <f t="shared" si="0"/>
        <v>0</v>
      </c>
      <c r="P28" s="91">
        <f t="shared" si="1"/>
        <v>1</v>
      </c>
    </row>
    <row r="29" spans="1:16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SUMIF(Erfassung6!AU:AU,L29,Erfassung6!BJ:BJ)</f>
        <v>0</v>
      </c>
      <c r="N29" s="91">
        <f>SUMIF(Erfassung6!AU:AU,L29,Erfassung6!AX:AX)</f>
        <v>0</v>
      </c>
      <c r="O29" s="91">
        <f t="shared" si="0"/>
        <v>0</v>
      </c>
      <c r="P29" s="91">
        <f t="shared" si="1"/>
        <v>1</v>
      </c>
    </row>
    <row r="30" spans="1:16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SUMIF(Erfassung6!AU:AU,L30,Erfassung6!BJ:BJ)</f>
        <v>0</v>
      </c>
      <c r="N30" s="91">
        <f>SUMIF(Erfassung6!AU:AU,L30,Erfassung6!AX:AX)</f>
        <v>0</v>
      </c>
      <c r="O30" s="91">
        <f t="shared" si="0"/>
        <v>0</v>
      </c>
      <c r="P30" s="91">
        <f t="shared" si="1"/>
        <v>1</v>
      </c>
    </row>
    <row r="31" spans="1:16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SUMIF(Erfassung6!AU:AU,L31,Erfassung6!BJ:BJ)</f>
        <v>0</v>
      </c>
      <c r="N31" s="91">
        <f>SUMIF(Erfassung6!AU:AU,L31,Erfassung6!AX:AX)</f>
        <v>0</v>
      </c>
      <c r="O31" s="91">
        <f t="shared" si="0"/>
        <v>0</v>
      </c>
      <c r="P31" s="91">
        <f t="shared" si="1"/>
        <v>1</v>
      </c>
    </row>
    <row r="32" spans="1:16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SUMIF(Erfassung6!AU:AU,L32,Erfassung6!BJ:BJ)</f>
        <v>0</v>
      </c>
      <c r="N32" s="91">
        <f>SUMIF(Erfassung6!AU:AU,L32,Erfassung6!AX:AX)</f>
        <v>0</v>
      </c>
      <c r="O32" s="91">
        <f t="shared" si="0"/>
        <v>0</v>
      </c>
      <c r="P32" s="91">
        <f t="shared" si="1"/>
        <v>1</v>
      </c>
    </row>
    <row r="33" spans="1:16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SUMIF(Erfassung6!AU:AU,L33,Erfassung6!BJ:BJ)</f>
        <v>0</v>
      </c>
      <c r="N33" s="91">
        <f>SUMIF(Erfassung6!AU:AU,L33,Erfassung6!AX:AX)</f>
        <v>0</v>
      </c>
      <c r="O33" s="91">
        <f t="shared" si="0"/>
        <v>0</v>
      </c>
      <c r="P33" s="91">
        <f t="shared" si="1"/>
        <v>1</v>
      </c>
    </row>
    <row r="34" spans="1:16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SUMIF(Erfassung6!AU:AU,L34,Erfassung6!BJ:BJ)</f>
        <v>0</v>
      </c>
      <c r="N34" s="91">
        <f>SUMIF(Erfassung6!AU:AU,L34,Erfassung6!AX:AX)</f>
        <v>0</v>
      </c>
      <c r="O34" s="91">
        <f t="shared" si="0"/>
        <v>0</v>
      </c>
      <c r="P34" s="91">
        <f t="shared" si="1"/>
        <v>1</v>
      </c>
    </row>
    <row r="35" spans="1:16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SUMIF(Erfassung6!AU:AU,L35,Erfassung6!BJ:BJ)</f>
        <v>0</v>
      </c>
      <c r="N35" s="91">
        <f>SUMIF(Erfassung6!AU:AU,L35,Erfassung6!AX:AX)</f>
        <v>0</v>
      </c>
      <c r="O35" s="91">
        <f t="shared" si="0"/>
        <v>0</v>
      </c>
      <c r="P35" s="91">
        <f t="shared" si="1"/>
        <v>1</v>
      </c>
    </row>
    <row r="36" spans="1:16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SUMIF(Erfassung6!AU:AU,L36,Erfassung6!BJ:BJ)</f>
        <v>0</v>
      </c>
      <c r="N36" s="91">
        <f>SUMIF(Erfassung6!AU:AU,L36,Erfassung6!AX:AX)</f>
        <v>0</v>
      </c>
      <c r="O36" s="91">
        <f t="shared" si="0"/>
        <v>0</v>
      </c>
      <c r="P36" s="91">
        <f t="shared" si="1"/>
        <v>1</v>
      </c>
    </row>
    <row r="37" spans="1:16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SUMIF(Erfassung6!AU:AU,L37,Erfassung6!BJ:BJ)</f>
        <v>0</v>
      </c>
      <c r="N37" s="91">
        <f>SUMIF(Erfassung6!AU:AU,L37,Erfassung6!AX:AX)</f>
        <v>0</v>
      </c>
      <c r="O37" s="91">
        <f t="shared" si="0"/>
        <v>0</v>
      </c>
      <c r="P37" s="91">
        <f t="shared" si="1"/>
        <v>1</v>
      </c>
    </row>
    <row r="38" spans="1:16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SUMIF(Erfassung6!AU:AU,L38,Erfassung6!BJ:BJ)</f>
        <v>0</v>
      </c>
      <c r="N38" s="91">
        <f>SUMIF(Erfassung6!AU:AU,L38,Erfassung6!AX:AX)</f>
        <v>0</v>
      </c>
      <c r="O38" s="91">
        <f t="shared" si="0"/>
        <v>0</v>
      </c>
      <c r="P38" s="91">
        <f t="shared" si="1"/>
        <v>1</v>
      </c>
    </row>
    <row r="39" spans="1:16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SUMIF(Erfassung6!AU:AU,L39,Erfassung6!BJ:BJ)</f>
        <v>0</v>
      </c>
      <c r="N39" s="91">
        <f>SUMIF(Erfassung6!AU:AU,L39,Erfassung6!AX:AX)</f>
        <v>0</v>
      </c>
      <c r="O39" s="91">
        <f t="shared" si="0"/>
        <v>0</v>
      </c>
      <c r="P39" s="91">
        <f t="shared" si="1"/>
        <v>1</v>
      </c>
    </row>
    <row r="40" spans="1:16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SUMIF(Erfassung6!AU:AU,L40,Erfassung6!BJ:BJ)</f>
        <v>0</v>
      </c>
      <c r="N40" s="91">
        <f>SUMIF(Erfassung6!AU:AU,L40,Erfassung6!AX:AX)</f>
        <v>0</v>
      </c>
      <c r="O40" s="91">
        <f t="shared" si="0"/>
        <v>0</v>
      </c>
      <c r="P40" s="91">
        <f t="shared" si="1"/>
        <v>1</v>
      </c>
    </row>
    <row r="41" spans="1:16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SUMIF(Erfassung6!AU:AU,L41,Erfassung6!BJ:BJ)</f>
        <v>0</v>
      </c>
      <c r="N41" s="91">
        <f>SUMIF(Erfassung6!AU:AU,L41,Erfassung6!AX:AX)</f>
        <v>0</v>
      </c>
      <c r="O41" s="91">
        <f t="shared" si="0"/>
        <v>0</v>
      </c>
      <c r="P41" s="91">
        <f t="shared" si="1"/>
        <v>1</v>
      </c>
    </row>
    <row r="42" spans="1:16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SUMIF(Erfassung6!AU:AU,L42,Erfassung6!BJ:BJ)</f>
        <v>0</v>
      </c>
      <c r="N42" s="91">
        <f>SUMIF(Erfassung6!AU:AU,L42,Erfassung6!AX:AX)</f>
        <v>0</v>
      </c>
      <c r="O42" s="91">
        <f t="shared" si="0"/>
        <v>0</v>
      </c>
      <c r="P42" s="91">
        <f t="shared" si="1"/>
        <v>1</v>
      </c>
    </row>
    <row r="43" spans="1:16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SUMIF(Erfassung6!AU:AU,L43,Erfassung6!BJ:BJ)</f>
        <v>0</v>
      </c>
      <c r="N43" s="91">
        <f>SUMIF(Erfassung6!AU:AU,L43,Erfassung6!AX:AX)</f>
        <v>0</v>
      </c>
      <c r="O43" s="91">
        <f t="shared" si="0"/>
        <v>0</v>
      </c>
      <c r="P43" s="91">
        <f t="shared" si="1"/>
        <v>1</v>
      </c>
    </row>
    <row r="44" spans="1:16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SUMIF(Erfassung6!AU:AU,L44,Erfassung6!BJ:BJ)</f>
        <v>0</v>
      </c>
      <c r="N44" s="91">
        <f>SUMIF(Erfassung6!AU:AU,L44,Erfassung6!AX:AX)</f>
        <v>0</v>
      </c>
      <c r="O44" s="91">
        <f t="shared" si="0"/>
        <v>0</v>
      </c>
      <c r="P44" s="91">
        <f t="shared" si="1"/>
        <v>1</v>
      </c>
    </row>
    <row r="45" spans="1:16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SUMIF(Erfassung6!AU:AU,L45,Erfassung6!BJ:BJ)</f>
        <v>0</v>
      </c>
      <c r="N45" s="91">
        <f>SUMIF(Erfassung6!AU:AU,L45,Erfassung6!AX:AX)</f>
        <v>0</v>
      </c>
      <c r="O45" s="91">
        <f t="shared" si="0"/>
        <v>0</v>
      </c>
      <c r="P45" s="91">
        <f t="shared" si="1"/>
        <v>1</v>
      </c>
    </row>
    <row r="46" spans="1:16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SUMIF(Erfassung6!AU:AU,L46,Erfassung6!BJ:BJ)</f>
        <v>0</v>
      </c>
      <c r="N46" s="91">
        <f>SUMIF(Erfassung6!AU:AU,L46,Erfassung6!AX:AX)</f>
        <v>0</v>
      </c>
      <c r="O46" s="91">
        <f t="shared" si="0"/>
        <v>0</v>
      </c>
      <c r="P46" s="91">
        <f t="shared" si="1"/>
        <v>1</v>
      </c>
    </row>
    <row r="47" spans="1:16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SUMIF(Erfassung6!AU:AU,L47,Erfassung6!BJ:BJ)</f>
        <v>0</v>
      </c>
      <c r="N47" s="91">
        <f>SUMIF(Erfassung6!AU:AU,L47,Erfassung6!AX:AX)</f>
        <v>0</v>
      </c>
      <c r="O47" s="91">
        <f t="shared" si="0"/>
        <v>0</v>
      </c>
      <c r="P47" s="91">
        <f t="shared" si="1"/>
        <v>1</v>
      </c>
    </row>
    <row r="48" spans="1:16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SUMIF(Erfassung6!AU:AU,L48,Erfassung6!BJ:BJ)</f>
        <v>0</v>
      </c>
      <c r="N48" s="91">
        <f>SUMIF(Erfassung6!AU:AU,L48,Erfassung6!AX:AX)</f>
        <v>0</v>
      </c>
      <c r="O48" s="91">
        <f t="shared" si="0"/>
        <v>0</v>
      </c>
      <c r="P48" s="91">
        <f t="shared" si="1"/>
        <v>1</v>
      </c>
    </row>
    <row r="49" spans="1:16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SUMIF(Erfassung6!AU:AU,L49,Erfassung6!BJ:BJ)</f>
        <v>0</v>
      </c>
      <c r="N49" s="91">
        <f>SUMIF(Erfassung6!AU:AU,L49,Erfassung6!AX:AX)</f>
        <v>0</v>
      </c>
      <c r="O49" s="91">
        <f t="shared" si="0"/>
        <v>0</v>
      </c>
      <c r="P49" s="91">
        <f t="shared" si="1"/>
        <v>1</v>
      </c>
    </row>
    <row r="50" spans="1:16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SUMIF(Erfassung6!AU:AU,L50,Erfassung6!BJ:BJ)</f>
        <v>0</v>
      </c>
      <c r="N50" s="91">
        <f>SUMIF(Erfassung6!AU:AU,L50,Erfassung6!AX:AX)</f>
        <v>0</v>
      </c>
      <c r="O50" s="91">
        <f t="shared" si="0"/>
        <v>0</v>
      </c>
      <c r="P50" s="91">
        <f t="shared" si="1"/>
        <v>1</v>
      </c>
    </row>
    <row r="51" spans="1:16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SUMIF(Erfassung6!AU:AU,L51,Erfassung6!BJ:BJ)</f>
        <v>0</v>
      </c>
      <c r="N51" s="91">
        <f>SUMIF(Erfassung6!AU:AU,L51,Erfassung6!AX:AX)</f>
        <v>0</v>
      </c>
      <c r="O51" s="91">
        <f t="shared" si="0"/>
        <v>0</v>
      </c>
      <c r="P51" s="91">
        <f t="shared" si="1"/>
        <v>1</v>
      </c>
    </row>
    <row r="52" spans="1:16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SUMIF(Erfassung6!AU:AU,L52,Erfassung6!BJ:BJ)</f>
        <v>0</v>
      </c>
      <c r="N52" s="91">
        <f>SUMIF(Erfassung6!AU:AU,L52,Erfassung6!AX:AX)</f>
        <v>0</v>
      </c>
      <c r="O52" s="91">
        <f t="shared" si="0"/>
        <v>0</v>
      </c>
      <c r="P52" s="91">
        <f t="shared" si="1"/>
        <v>1</v>
      </c>
    </row>
    <row r="53" spans="1:16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SUMIF(Erfassung6!AU:AU,L53,Erfassung6!BJ:BJ)</f>
        <v>0</v>
      </c>
      <c r="N53" s="91">
        <f>SUMIF(Erfassung6!AU:AU,L53,Erfassung6!AX:AX)</f>
        <v>0</v>
      </c>
      <c r="O53" s="91">
        <f t="shared" si="0"/>
        <v>0</v>
      </c>
      <c r="P53" s="91">
        <f t="shared" si="1"/>
        <v>1</v>
      </c>
    </row>
    <row r="54" spans="1:16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SUMIF(Erfassung6!AU:AU,L54,Erfassung6!BJ:BJ)</f>
        <v>0</v>
      </c>
      <c r="N54" s="91">
        <f>SUMIF(Erfassung6!AU:AU,L54,Erfassung6!AX:AX)</f>
        <v>0</v>
      </c>
      <c r="O54" s="91">
        <f t="shared" si="0"/>
        <v>0</v>
      </c>
      <c r="P54" s="91">
        <f t="shared" si="1"/>
        <v>1</v>
      </c>
    </row>
    <row r="55" spans="1:16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SUMIF(Erfassung6!AU:AU,L55,Erfassung6!BJ:BJ)</f>
        <v>0</v>
      </c>
      <c r="N55" s="91">
        <f>SUMIF(Erfassung6!AU:AU,L55,Erfassung6!AX:AX)</f>
        <v>0</v>
      </c>
      <c r="O55" s="91">
        <f t="shared" si="0"/>
        <v>0</v>
      </c>
      <c r="P55" s="91">
        <f t="shared" si="1"/>
        <v>1</v>
      </c>
    </row>
    <row r="56" spans="1:16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SUMIF(Erfassung6!AU:AU,L56,Erfassung6!BJ:BJ)</f>
        <v>0</v>
      </c>
      <c r="N56" s="91">
        <f>SUMIF(Erfassung6!AU:AU,L56,Erfassung6!AX:AX)</f>
        <v>0</v>
      </c>
      <c r="O56" s="91">
        <f t="shared" si="0"/>
        <v>0</v>
      </c>
      <c r="P56" s="91">
        <f t="shared" si="1"/>
        <v>1</v>
      </c>
    </row>
    <row r="57" spans="1:16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SUMIF(Erfassung6!AU:AU,L57,Erfassung6!BJ:BJ)</f>
        <v>0</v>
      </c>
      <c r="N57" s="91">
        <f>SUMIF(Erfassung6!AU:AU,L57,Erfassung6!AX:AX)</f>
        <v>0</v>
      </c>
      <c r="O57" s="91">
        <f t="shared" si="0"/>
        <v>0</v>
      </c>
      <c r="P57" s="91">
        <f t="shared" si="1"/>
        <v>1</v>
      </c>
    </row>
    <row r="58" spans="1:16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SUMIF(Erfassung6!AU:AU,L58,Erfassung6!BJ:BJ)</f>
        <v>0</v>
      </c>
      <c r="N58" s="91">
        <f>SUMIF(Erfassung6!AU:AU,L58,Erfassung6!AX:AX)</f>
        <v>0</v>
      </c>
      <c r="O58" s="91">
        <f t="shared" si="0"/>
        <v>0</v>
      </c>
      <c r="P58" s="91">
        <f t="shared" si="1"/>
        <v>1</v>
      </c>
    </row>
    <row r="59" spans="1:16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SUMIF(Erfassung6!AU:AU,L59,Erfassung6!BJ:BJ)</f>
        <v>0</v>
      </c>
      <c r="N59" s="91">
        <f>SUMIF(Erfassung6!AU:AU,L59,Erfassung6!AX:AX)</f>
        <v>0</v>
      </c>
      <c r="O59" s="91">
        <f t="shared" si="0"/>
        <v>0</v>
      </c>
      <c r="P59" s="91">
        <f t="shared" si="1"/>
        <v>1</v>
      </c>
    </row>
    <row r="60" spans="1:16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SUMIF(Erfassung6!AU:AU,L60,Erfassung6!BJ:BJ)</f>
        <v>0</v>
      </c>
      <c r="N60" s="91">
        <f>SUMIF(Erfassung6!AU:AU,L60,Erfassung6!AX:AX)</f>
        <v>0</v>
      </c>
      <c r="O60" s="91">
        <f t="shared" si="0"/>
        <v>0</v>
      </c>
      <c r="P60" s="91">
        <f t="shared" si="1"/>
        <v>1</v>
      </c>
    </row>
    <row r="61" spans="1:16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SUMIF(Erfassung6!AU:AU,L61,Erfassung6!BJ:BJ)</f>
        <v>0</v>
      </c>
      <c r="N61" s="91">
        <f>SUMIF(Erfassung6!AU:AU,L61,Erfassung6!AX:AX)</f>
        <v>0</v>
      </c>
      <c r="O61" s="91">
        <f t="shared" si="0"/>
        <v>0</v>
      </c>
      <c r="P61" s="91">
        <f t="shared" si="1"/>
        <v>1</v>
      </c>
    </row>
    <row r="62" spans="1:16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SUMIF(Erfassung6!AU:AU,L62,Erfassung6!BJ:BJ)</f>
        <v>0</v>
      </c>
      <c r="N62" s="91">
        <f>SUMIF(Erfassung6!AU:AU,L62,Erfassung6!AX:AX)</f>
        <v>0</v>
      </c>
      <c r="O62" s="91">
        <f t="shared" si="0"/>
        <v>0</v>
      </c>
      <c r="P62" s="91">
        <f t="shared" si="1"/>
        <v>1</v>
      </c>
    </row>
    <row r="63" spans="1:16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SUMIF(Erfassung6!AU:AU,L63,Erfassung6!BJ:BJ)</f>
        <v>0</v>
      </c>
      <c r="N63" s="91">
        <f>SUMIF(Erfassung6!AU:AU,L63,Erfassung6!AX:AX)</f>
        <v>0</v>
      </c>
      <c r="O63" s="91">
        <f t="shared" si="0"/>
        <v>0</v>
      </c>
      <c r="P63" s="91">
        <f t="shared" si="1"/>
        <v>1</v>
      </c>
    </row>
    <row r="64" spans="1:16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SUMIF(Erfassung6!AU:AU,L64,Erfassung6!BJ:BJ)</f>
        <v>0</v>
      </c>
      <c r="N64" s="91">
        <f>SUMIF(Erfassung6!AU:AU,L64,Erfassung6!AX:AX)</f>
        <v>0</v>
      </c>
      <c r="O64" s="91">
        <f t="shared" si="0"/>
        <v>0</v>
      </c>
      <c r="P64" s="91">
        <f t="shared" si="1"/>
        <v>1</v>
      </c>
    </row>
    <row r="65" spans="1:16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SUMIF(Erfassung6!AU:AU,L65,Erfassung6!BJ:BJ)</f>
        <v>0</v>
      </c>
      <c r="N65" s="91">
        <f>SUMIF(Erfassung6!AU:AU,L65,Erfassung6!AX:AX)</f>
        <v>0</v>
      </c>
      <c r="O65" s="91">
        <f t="shared" si="0"/>
        <v>0</v>
      </c>
      <c r="P65" s="91">
        <f t="shared" si="1"/>
        <v>1</v>
      </c>
    </row>
    <row r="66" spans="1:16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SUMIF(Erfassung6!AU:AU,L66,Erfassung6!BJ:BJ)</f>
        <v>0</v>
      </c>
      <c r="N66" s="91">
        <f>SUMIF(Erfassung6!AU:AU,L66,Erfassung6!AX:AX)</f>
        <v>0</v>
      </c>
      <c r="O66" s="91">
        <f t="shared" ref="O66:O104" si="7">IF(N66=0,0,M66/N66-ROW()/1000000000)</f>
        <v>0</v>
      </c>
      <c r="P66" s="91">
        <f t="shared" ref="P66:P104" si="8">RANK(O66,O:O)</f>
        <v>1</v>
      </c>
    </row>
    <row r="67" spans="1:16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SUMIF(Erfassung6!AU:AU,L67,Erfassung6!BJ:BJ)</f>
        <v>0</v>
      </c>
      <c r="N67" s="91">
        <f>SUMIF(Erfassung6!AU:AU,L67,Erfassung6!AX:AX)</f>
        <v>0</v>
      </c>
      <c r="O67" s="91">
        <f t="shared" si="7"/>
        <v>0</v>
      </c>
      <c r="P67" s="91">
        <f t="shared" si="8"/>
        <v>1</v>
      </c>
    </row>
    <row r="68" spans="1:16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SUMIF(Erfassung6!AU:AU,L68,Erfassung6!BJ:BJ)</f>
        <v>0</v>
      </c>
      <c r="N68" s="91">
        <f>SUMIF(Erfassung6!AU:AU,L68,Erfassung6!AX:AX)</f>
        <v>0</v>
      </c>
      <c r="O68" s="91">
        <f t="shared" si="7"/>
        <v>0</v>
      </c>
      <c r="P68" s="91">
        <f t="shared" si="8"/>
        <v>1</v>
      </c>
    </row>
    <row r="69" spans="1:16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SUMIF(Erfassung6!AU:AU,L69,Erfassung6!BJ:BJ)</f>
        <v>0</v>
      </c>
      <c r="N69" s="91">
        <f>SUMIF(Erfassung6!AU:AU,L69,Erfassung6!AX:AX)</f>
        <v>0</v>
      </c>
      <c r="O69" s="91">
        <f t="shared" si="7"/>
        <v>0</v>
      </c>
      <c r="P69" s="91">
        <f t="shared" si="8"/>
        <v>1</v>
      </c>
    </row>
    <row r="70" spans="1:16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SUMIF(Erfassung6!AU:AU,L70,Erfassung6!BJ:BJ)</f>
        <v>0</v>
      </c>
      <c r="N70" s="91">
        <f>SUMIF(Erfassung6!AU:AU,L70,Erfassung6!AX:AX)</f>
        <v>0</v>
      </c>
      <c r="O70" s="91">
        <f t="shared" si="7"/>
        <v>0</v>
      </c>
      <c r="P70" s="91">
        <f t="shared" si="8"/>
        <v>1</v>
      </c>
    </row>
    <row r="71" spans="1:16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SUMIF(Erfassung6!AU:AU,L71,Erfassung6!BJ:BJ)</f>
        <v>0</v>
      </c>
      <c r="N71" s="91">
        <f>SUMIF(Erfassung6!AU:AU,L71,Erfassung6!AX:AX)</f>
        <v>0</v>
      </c>
      <c r="O71" s="91">
        <f t="shared" si="7"/>
        <v>0</v>
      </c>
      <c r="P71" s="91">
        <f t="shared" si="8"/>
        <v>1</v>
      </c>
    </row>
    <row r="72" spans="1:16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SUMIF(Erfassung6!AU:AU,L72,Erfassung6!BJ:BJ)</f>
        <v>0</v>
      </c>
      <c r="N72" s="91">
        <f>SUMIF(Erfassung6!AU:AU,L72,Erfassung6!AX:AX)</f>
        <v>0</v>
      </c>
      <c r="O72" s="91">
        <f t="shared" si="7"/>
        <v>0</v>
      </c>
      <c r="P72" s="91">
        <f t="shared" si="8"/>
        <v>1</v>
      </c>
    </row>
    <row r="73" spans="1:16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SUMIF(Erfassung6!AU:AU,L73,Erfassung6!BJ:BJ)</f>
        <v>0</v>
      </c>
      <c r="N73" s="91">
        <f>SUMIF(Erfassung6!AU:AU,L73,Erfassung6!AX:AX)</f>
        <v>0</v>
      </c>
      <c r="O73" s="91">
        <f t="shared" si="7"/>
        <v>0</v>
      </c>
      <c r="P73" s="91">
        <f t="shared" si="8"/>
        <v>1</v>
      </c>
    </row>
    <row r="74" spans="1:16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SUMIF(Erfassung6!AU:AU,L74,Erfassung6!BJ:BJ)</f>
        <v>0</v>
      </c>
      <c r="N74" s="91">
        <f>SUMIF(Erfassung6!AU:AU,L74,Erfassung6!AX:AX)</f>
        <v>0</v>
      </c>
      <c r="O74" s="91">
        <f t="shared" si="7"/>
        <v>0</v>
      </c>
      <c r="P74" s="91">
        <f t="shared" si="8"/>
        <v>1</v>
      </c>
    </row>
    <row r="75" spans="1:16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SUMIF(Erfassung6!AU:AU,L75,Erfassung6!BJ:BJ)</f>
        <v>0</v>
      </c>
      <c r="N75" s="91">
        <f>SUMIF(Erfassung6!AU:AU,L75,Erfassung6!AX:AX)</f>
        <v>0</v>
      </c>
      <c r="O75" s="91">
        <f t="shared" si="7"/>
        <v>0</v>
      </c>
      <c r="P75" s="91">
        <f t="shared" si="8"/>
        <v>1</v>
      </c>
    </row>
    <row r="76" spans="1:16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SUMIF(Erfassung6!AU:AU,L76,Erfassung6!BJ:BJ)</f>
        <v>0</v>
      </c>
      <c r="N76" s="91">
        <f>SUMIF(Erfassung6!AU:AU,L76,Erfassung6!AX:AX)</f>
        <v>0</v>
      </c>
      <c r="O76" s="91">
        <f t="shared" si="7"/>
        <v>0</v>
      </c>
      <c r="P76" s="91">
        <f t="shared" si="8"/>
        <v>1</v>
      </c>
    </row>
    <row r="77" spans="1:16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SUMIF(Erfassung6!AU:AU,L77,Erfassung6!BJ:BJ)</f>
        <v>0</v>
      </c>
      <c r="N77" s="91">
        <f>SUMIF(Erfassung6!AU:AU,L77,Erfassung6!AX:AX)</f>
        <v>0</v>
      </c>
      <c r="O77" s="91">
        <f t="shared" si="7"/>
        <v>0</v>
      </c>
      <c r="P77" s="91">
        <f t="shared" si="8"/>
        <v>1</v>
      </c>
    </row>
    <row r="78" spans="1:16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SUMIF(Erfassung6!AU:AU,L78,Erfassung6!BJ:BJ)</f>
        <v>0</v>
      </c>
      <c r="N78" s="91">
        <f>SUMIF(Erfassung6!AU:AU,L78,Erfassung6!AX:AX)</f>
        <v>0</v>
      </c>
      <c r="O78" s="91">
        <f t="shared" si="7"/>
        <v>0</v>
      </c>
      <c r="P78" s="91">
        <f t="shared" si="8"/>
        <v>1</v>
      </c>
    </row>
    <row r="79" spans="1:16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SUMIF(Erfassung6!AU:AU,L79,Erfassung6!BJ:BJ)</f>
        <v>0</v>
      </c>
      <c r="N79" s="91">
        <f>SUMIF(Erfassung6!AU:AU,L79,Erfassung6!AX:AX)</f>
        <v>0</v>
      </c>
      <c r="O79" s="91">
        <f t="shared" si="7"/>
        <v>0</v>
      </c>
      <c r="P79" s="91">
        <f t="shared" si="8"/>
        <v>1</v>
      </c>
    </row>
    <row r="80" spans="1:16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SUMIF(Erfassung6!AU:AU,L80,Erfassung6!BJ:BJ)</f>
        <v>0</v>
      </c>
      <c r="N80" s="91">
        <f>SUMIF(Erfassung6!AU:AU,L80,Erfassung6!AX:AX)</f>
        <v>0</v>
      </c>
      <c r="O80" s="91">
        <f t="shared" si="7"/>
        <v>0</v>
      </c>
      <c r="P80" s="91">
        <f t="shared" si="8"/>
        <v>1</v>
      </c>
    </row>
    <row r="81" spans="1:16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SUMIF(Erfassung6!AU:AU,L81,Erfassung6!BJ:BJ)</f>
        <v>0</v>
      </c>
      <c r="N81" s="91">
        <f>SUMIF(Erfassung6!AU:AU,L81,Erfassung6!AX:AX)</f>
        <v>0</v>
      </c>
      <c r="O81" s="91">
        <f t="shared" si="7"/>
        <v>0</v>
      </c>
      <c r="P81" s="91">
        <f t="shared" si="8"/>
        <v>1</v>
      </c>
    </row>
    <row r="82" spans="1:16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SUMIF(Erfassung6!AU:AU,L82,Erfassung6!BJ:BJ)</f>
        <v>0</v>
      </c>
      <c r="N82" s="91">
        <f>SUMIF(Erfassung6!AU:AU,L82,Erfassung6!AX:AX)</f>
        <v>0</v>
      </c>
      <c r="O82" s="91">
        <f t="shared" si="7"/>
        <v>0</v>
      </c>
      <c r="P82" s="91">
        <f t="shared" si="8"/>
        <v>1</v>
      </c>
    </row>
    <row r="83" spans="1:16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SUMIF(Erfassung6!AU:AU,L83,Erfassung6!BJ:BJ)</f>
        <v>0</v>
      </c>
      <c r="N83" s="91">
        <f>SUMIF(Erfassung6!AU:AU,L83,Erfassung6!AX:AX)</f>
        <v>0</v>
      </c>
      <c r="O83" s="91">
        <f t="shared" si="7"/>
        <v>0</v>
      </c>
      <c r="P83" s="91">
        <f t="shared" si="8"/>
        <v>1</v>
      </c>
    </row>
    <row r="84" spans="1:16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SUMIF(Erfassung6!AU:AU,L84,Erfassung6!BJ:BJ)</f>
        <v>0</v>
      </c>
      <c r="N84" s="91">
        <f>SUMIF(Erfassung6!AU:AU,L84,Erfassung6!AX:AX)</f>
        <v>0</v>
      </c>
      <c r="O84" s="91">
        <f t="shared" si="7"/>
        <v>0</v>
      </c>
      <c r="P84" s="91">
        <f t="shared" si="8"/>
        <v>1</v>
      </c>
    </row>
    <row r="85" spans="1:16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SUMIF(Erfassung6!AU:AU,L85,Erfassung6!BJ:BJ)</f>
        <v>0</v>
      </c>
      <c r="N85" s="91">
        <f>SUMIF(Erfassung6!AU:AU,L85,Erfassung6!AX:AX)</f>
        <v>0</v>
      </c>
      <c r="O85" s="91">
        <f t="shared" si="7"/>
        <v>0</v>
      </c>
      <c r="P85" s="91">
        <f t="shared" si="8"/>
        <v>1</v>
      </c>
    </row>
    <row r="86" spans="1:16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SUMIF(Erfassung6!AU:AU,L86,Erfassung6!BJ:BJ)</f>
        <v>0</v>
      </c>
      <c r="N86" s="91">
        <f>SUMIF(Erfassung6!AU:AU,L86,Erfassung6!AX:AX)</f>
        <v>0</v>
      </c>
      <c r="O86" s="91">
        <f t="shared" si="7"/>
        <v>0</v>
      </c>
      <c r="P86" s="91">
        <f t="shared" si="8"/>
        <v>1</v>
      </c>
    </row>
    <row r="87" spans="1:16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SUMIF(Erfassung6!AU:AU,L87,Erfassung6!BJ:BJ)</f>
        <v>0</v>
      </c>
      <c r="N87" s="91">
        <f>SUMIF(Erfassung6!AU:AU,L87,Erfassung6!AX:AX)</f>
        <v>0</v>
      </c>
      <c r="O87" s="91">
        <f t="shared" si="7"/>
        <v>0</v>
      </c>
      <c r="P87" s="91">
        <f t="shared" si="8"/>
        <v>1</v>
      </c>
    </row>
    <row r="88" spans="1:16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SUMIF(Erfassung6!AU:AU,L88,Erfassung6!BJ:BJ)</f>
        <v>0</v>
      </c>
      <c r="N88" s="91">
        <f>SUMIF(Erfassung6!AU:AU,L88,Erfassung6!AX:AX)</f>
        <v>0</v>
      </c>
      <c r="O88" s="91">
        <f t="shared" si="7"/>
        <v>0</v>
      </c>
      <c r="P88" s="91">
        <f t="shared" si="8"/>
        <v>1</v>
      </c>
    </row>
    <row r="89" spans="1:16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SUMIF(Erfassung6!AU:AU,L89,Erfassung6!BJ:BJ)</f>
        <v>0</v>
      </c>
      <c r="N89" s="91">
        <f>SUMIF(Erfassung6!AU:AU,L89,Erfassung6!AX:AX)</f>
        <v>0</v>
      </c>
      <c r="O89" s="91">
        <f t="shared" si="7"/>
        <v>0</v>
      </c>
      <c r="P89" s="91">
        <f t="shared" si="8"/>
        <v>1</v>
      </c>
    </row>
    <row r="90" spans="1:16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SUMIF(Erfassung6!AU:AU,L90,Erfassung6!BJ:BJ)</f>
        <v>0</v>
      </c>
      <c r="N90" s="91">
        <f>SUMIF(Erfassung6!AU:AU,L90,Erfassung6!AX:AX)</f>
        <v>0</v>
      </c>
      <c r="O90" s="91">
        <f t="shared" si="7"/>
        <v>0</v>
      </c>
      <c r="P90" s="91">
        <f t="shared" si="8"/>
        <v>1</v>
      </c>
    </row>
    <row r="91" spans="1:16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SUMIF(Erfassung6!AU:AU,L91,Erfassung6!BJ:BJ)</f>
        <v>0</v>
      </c>
      <c r="N91" s="91">
        <f>SUMIF(Erfassung6!AU:AU,L91,Erfassung6!AX:AX)</f>
        <v>0</v>
      </c>
      <c r="O91" s="91">
        <f t="shared" si="7"/>
        <v>0</v>
      </c>
      <c r="P91" s="91">
        <f t="shared" si="8"/>
        <v>1</v>
      </c>
    </row>
    <row r="92" spans="1:16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SUMIF(Erfassung6!AU:AU,L92,Erfassung6!BJ:BJ)</f>
        <v>0</v>
      </c>
      <c r="N92" s="91">
        <f>SUMIF(Erfassung6!AU:AU,L92,Erfassung6!AX:AX)</f>
        <v>0</v>
      </c>
      <c r="O92" s="91">
        <f t="shared" si="7"/>
        <v>0</v>
      </c>
      <c r="P92" s="91">
        <f t="shared" si="8"/>
        <v>1</v>
      </c>
    </row>
    <row r="93" spans="1:16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SUMIF(Erfassung6!AU:AU,L93,Erfassung6!BJ:BJ)</f>
        <v>0</v>
      </c>
      <c r="N93" s="91">
        <f>SUMIF(Erfassung6!AU:AU,L93,Erfassung6!AX:AX)</f>
        <v>0</v>
      </c>
      <c r="O93" s="91">
        <f t="shared" si="7"/>
        <v>0</v>
      </c>
      <c r="P93" s="91">
        <f t="shared" si="8"/>
        <v>1</v>
      </c>
    </row>
    <row r="94" spans="1:16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SUMIF(Erfassung6!AU:AU,L94,Erfassung6!BJ:BJ)</f>
        <v>0</v>
      </c>
      <c r="N94" s="91">
        <f>SUMIF(Erfassung6!AU:AU,L94,Erfassung6!AX:AX)</f>
        <v>0</v>
      </c>
      <c r="O94" s="91">
        <f t="shared" si="7"/>
        <v>0</v>
      </c>
      <c r="P94" s="91">
        <f t="shared" si="8"/>
        <v>1</v>
      </c>
    </row>
    <row r="95" spans="1:16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SUMIF(Erfassung6!AU:AU,L95,Erfassung6!BJ:BJ)</f>
        <v>0</v>
      </c>
      <c r="N95" s="91">
        <f>SUMIF(Erfassung6!AU:AU,L95,Erfassung6!AX:AX)</f>
        <v>0</v>
      </c>
      <c r="O95" s="91">
        <f t="shared" si="7"/>
        <v>0</v>
      </c>
      <c r="P95" s="91">
        <f t="shared" si="8"/>
        <v>1</v>
      </c>
    </row>
    <row r="96" spans="1:16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SUMIF(Erfassung6!AU:AU,L96,Erfassung6!BJ:BJ)</f>
        <v>0</v>
      </c>
      <c r="N96" s="91">
        <f>SUMIF(Erfassung6!AU:AU,L96,Erfassung6!AX:AX)</f>
        <v>0</v>
      </c>
      <c r="O96" s="91">
        <f t="shared" si="7"/>
        <v>0</v>
      </c>
      <c r="P96" s="91">
        <f t="shared" si="8"/>
        <v>1</v>
      </c>
    </row>
    <row r="97" spans="1:16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SUMIF(Erfassung6!AU:AU,L97,Erfassung6!BJ:BJ)</f>
        <v>0</v>
      </c>
      <c r="N97" s="91">
        <f>SUMIF(Erfassung6!AU:AU,L97,Erfassung6!AX:AX)</f>
        <v>0</v>
      </c>
      <c r="O97" s="91">
        <f t="shared" si="7"/>
        <v>0</v>
      </c>
      <c r="P97" s="91">
        <f t="shared" si="8"/>
        <v>1</v>
      </c>
    </row>
    <row r="98" spans="1:16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SUMIF(Erfassung6!AU:AU,L98,Erfassung6!BJ:BJ)</f>
        <v>0</v>
      </c>
      <c r="N98" s="91">
        <f>SUMIF(Erfassung6!AU:AU,L98,Erfassung6!AX:AX)</f>
        <v>0</v>
      </c>
      <c r="O98" s="91">
        <f t="shared" si="7"/>
        <v>0</v>
      </c>
      <c r="P98" s="91">
        <f t="shared" si="8"/>
        <v>1</v>
      </c>
    </row>
    <row r="99" spans="1:16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SUMIF(Erfassung6!AU:AU,L99,Erfassung6!BJ:BJ)</f>
        <v>0</v>
      </c>
      <c r="N99" s="91">
        <f>SUMIF(Erfassung6!AU:AU,L99,Erfassung6!AX:AX)</f>
        <v>0</v>
      </c>
      <c r="O99" s="91">
        <f t="shared" si="7"/>
        <v>0</v>
      </c>
      <c r="P99" s="91">
        <f t="shared" si="8"/>
        <v>1</v>
      </c>
    </row>
    <row r="100" spans="1:16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SUMIF(Erfassung6!AU:AU,L100,Erfassung6!BJ:BJ)</f>
        <v>0</v>
      </c>
      <c r="N100" s="91">
        <f>SUMIF(Erfassung6!AU:AU,L100,Erfassung6!AX:AX)</f>
        <v>0</v>
      </c>
      <c r="O100" s="91">
        <f t="shared" si="7"/>
        <v>0</v>
      </c>
      <c r="P100" s="91">
        <f t="shared" si="8"/>
        <v>1</v>
      </c>
    </row>
    <row r="101" spans="1:16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SUMIF(Erfassung6!AU:AU,L101,Erfassung6!BJ:BJ)</f>
        <v>0</v>
      </c>
      <c r="N101" s="91">
        <f>SUMIF(Erfassung6!AU:AU,L101,Erfassung6!AX:AX)</f>
        <v>0</v>
      </c>
      <c r="O101" s="91">
        <f t="shared" si="7"/>
        <v>0</v>
      </c>
      <c r="P101" s="91">
        <f t="shared" si="8"/>
        <v>1</v>
      </c>
    </row>
    <row r="102" spans="1:16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SUMIF(Erfassung6!AU:AU,L102,Erfassung6!BJ:BJ)</f>
        <v>0</v>
      </c>
      <c r="N102" s="91">
        <f>SUMIF(Erfassung6!AU:AU,L102,Erfassung6!AX:AX)</f>
        <v>0</v>
      </c>
      <c r="O102" s="91">
        <f t="shared" si="7"/>
        <v>0</v>
      </c>
      <c r="P102" s="91">
        <f t="shared" si="8"/>
        <v>1</v>
      </c>
    </row>
    <row r="103" spans="1:16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SUMIF(Erfassung6!AU:AU,L103,Erfassung6!BJ:BJ)</f>
        <v>0</v>
      </c>
      <c r="N103" s="91">
        <f>SUMIF(Erfassung6!AU:AU,L103,Erfassung6!AX:AX)</f>
        <v>0</v>
      </c>
      <c r="O103" s="91">
        <f t="shared" si="7"/>
        <v>0</v>
      </c>
      <c r="P103" s="91">
        <f t="shared" si="8"/>
        <v>1</v>
      </c>
    </row>
    <row r="104" spans="1:16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SUMIF(Erfassung6!AU:AU,L104,Erfassung6!BJ:BJ)</f>
        <v>0</v>
      </c>
      <c r="N104" s="91">
        <f>SUMIF(Erfassung6!AU:AU,L104,Erfassung6!AX:AX)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7030A0"/>
    <pageSetUpPr fitToPage="1"/>
  </sheetPr>
  <dimension ref="A1:P104"/>
  <sheetViews>
    <sheetView view="pageBreakPreview" topLeftCell="A19" zoomScaleNormal="100" zoomScaleSheetLayoutView="100" workbookViewId="0">
      <selection activeCell="E8" sqref="E7:J9"/>
    </sheetView>
  </sheetViews>
  <sheetFormatPr baseColWidth="10" defaultColWidth="11.44140625" defaultRowHeight="13.2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44140625" customWidth="1"/>
    <col min="12" max="12" width="11.44140625" style="91" hidden="1" customWidth="1"/>
    <col min="13" max="16" width="11.44140625" hidden="1" customWidth="1"/>
    <col min="17" max="20" width="11.44140625" customWidth="1"/>
  </cols>
  <sheetData>
    <row r="1" spans="1:16" ht="28.5" customHeight="1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>
      <c r="A2" s="154" t="s">
        <v>1785</v>
      </c>
      <c r="C2" s="33">
        <v>6</v>
      </c>
      <c r="D2" s="33" t="s">
        <v>1864</v>
      </c>
      <c r="E2" s="155"/>
      <c r="F2" s="156"/>
      <c r="L2" s="91">
        <f>INDEX(Starter!A:A,ROW()-1)</f>
        <v>38890</v>
      </c>
      <c r="M2">
        <f>INDEX(SchnittGes5!M:M,MATCH(L2,SchnittGes5!L:L,0))+INDEX(Schnitt6!M:M,MATCH(L2,Schnitt6!L:L,0))</f>
        <v>1855</v>
      </c>
      <c r="N2">
        <f>INDEX(SchnittGes5!N:N,MATCH(L2,SchnittGes5!L:L,0))+INDEX(Schnitt6!N:N,MATCH(L2,Schnitt6!L:L,0))</f>
        <v>19</v>
      </c>
      <c r="O2">
        <f t="shared" ref="O2:O65" si="0">IF(N2=0,0,M2/N2-ROW()/1000000000)</f>
        <v>97.631578945368432</v>
      </c>
      <c r="P2">
        <f t="shared" ref="P2:P65" si="1">RANK(O2,O:O)</f>
        <v>37</v>
      </c>
    </row>
    <row r="3" spans="1:16">
      <c r="L3" s="91">
        <f>INDEX(Starter!A:A,ROW()-1)</f>
        <v>38785</v>
      </c>
      <c r="M3">
        <f>INDEX(SchnittGes5!M:M,MATCH(L3,SchnittGes5!L:L,0))+INDEX(Schnitt6!M:M,MATCH(L3,Schnitt6!L:L,0))</f>
        <v>896</v>
      </c>
      <c r="N3">
        <f>INDEX(SchnittGes5!N:N,MATCH(L3,SchnittGes5!L:L,0))+INDEX(Schnitt6!N:N,MATCH(L3,Schnitt6!L:L,0))</f>
        <v>8</v>
      </c>
      <c r="O3">
        <f t="shared" si="0"/>
        <v>111.999999997</v>
      </c>
      <c r="P3">
        <f t="shared" si="1"/>
        <v>34</v>
      </c>
    </row>
    <row r="4" spans="1:16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INDEX(SchnittGes5!M:M,MATCH(L4,SchnittGes5!L:L,0))+INDEX(Schnitt6!M:M,MATCH(L4,Schnitt6!L:L,0))</f>
        <v>2004</v>
      </c>
      <c r="N4">
        <f>INDEX(SchnittGes5!N:N,MATCH(L4,SchnittGes5!L:L,0))+INDEX(Schnitt6!N:N,MATCH(L4,Schnitt6!L:L,0))</f>
        <v>13</v>
      </c>
      <c r="O4">
        <f t="shared" si="0"/>
        <v>154.15384614984617</v>
      </c>
      <c r="P4">
        <f t="shared" si="1"/>
        <v>11</v>
      </c>
    </row>
    <row r="5" spans="1:16">
      <c r="A5">
        <v>1</v>
      </c>
      <c r="B5">
        <f t="shared" ref="B5:B68" si="2">IFERROR(INDEX(L:L,MATCH(A5,P:P,0)),"")</f>
        <v>38708</v>
      </c>
      <c r="C5" t="str">
        <f>IFERROR(INDEX(Starter!B:B,MATCH(B5,Starter!A:A,0)),"")</f>
        <v>Gründl, Alexander</v>
      </c>
      <c r="D5" t="str">
        <f>IFERROR(INDEX(Starter!C:C,MATCH(B5,Starter!A:A,0)),"")</f>
        <v>BK München</v>
      </c>
      <c r="E5" s="78">
        <f t="shared" ref="E5:E68" si="3">IFERROR(INDEX(M:M,MATCH(A5,P:P,0)),"")</f>
        <v>4938</v>
      </c>
      <c r="F5">
        <f t="shared" ref="F5:F68" si="4">IFERROR(INDEX(N:N,MATCH(A5,P:P,0)),"")</f>
        <v>25</v>
      </c>
      <c r="G5" s="153">
        <f t="shared" ref="G5:G68" si="5">IFERROR(INDEX(O:O,MATCH(A5,P:P,0)),"")</f>
        <v>197.51999996500001</v>
      </c>
      <c r="L5" s="91">
        <f>INDEX(Starter!A:A,ROW()-1)</f>
        <v>38904</v>
      </c>
      <c r="M5">
        <f>INDEX(SchnittGes5!M:M,MATCH(L5,SchnittGes5!L:L,0))+INDEX(Schnitt6!M:M,MATCH(L5,Schnitt6!L:L,0))</f>
        <v>2447</v>
      </c>
      <c r="N5">
        <f>INDEX(SchnittGes5!N:N,MATCH(L5,SchnittGes5!L:L,0))+INDEX(Schnitt6!N:N,MATCH(L5,Schnitt6!L:L,0))</f>
        <v>20</v>
      </c>
      <c r="O5">
        <f t="shared" si="0"/>
        <v>122.34999999499999</v>
      </c>
      <c r="P5">
        <f t="shared" si="1"/>
        <v>25</v>
      </c>
    </row>
    <row r="6" spans="1:16">
      <c r="A6">
        <f t="shared" ref="A6:A69" si="6">IFERROR(IF(A5+1&gt;MAX(P:P)-1,"",A5+1),"")</f>
        <v>2</v>
      </c>
      <c r="B6">
        <f t="shared" si="2"/>
        <v>38327</v>
      </c>
      <c r="C6" t="str">
        <f>IFERROR(INDEX(Starter!B:B,MATCH(B6,Starter!A:A,0)),"")</f>
        <v>Jakobi, Moritz</v>
      </c>
      <c r="D6" t="str">
        <f>IFERROR(INDEX(Starter!C:C,MATCH(B6,Starter!A:A,0)),"")</f>
        <v>BK München</v>
      </c>
      <c r="E6" s="78">
        <f t="shared" si="3"/>
        <v>3929</v>
      </c>
      <c r="F6">
        <f t="shared" si="4"/>
        <v>20</v>
      </c>
      <c r="G6" s="153">
        <f t="shared" si="5"/>
        <v>196.449999964</v>
      </c>
      <c r="L6" s="91">
        <f>INDEX(Starter!A:A,ROW()-1)</f>
        <v>38910</v>
      </c>
      <c r="M6">
        <f>INDEX(SchnittGes5!M:M,MATCH(L6,SchnittGes5!L:L,0))+INDEX(Schnitt6!M:M,MATCH(L6,Schnitt6!L:L,0))</f>
        <v>1816</v>
      </c>
      <c r="N6">
        <f>INDEX(SchnittGes5!N:N,MATCH(L6,SchnittGes5!L:L,0))+INDEX(Schnitt6!N:N,MATCH(L6,Schnitt6!L:L,0))</f>
        <v>15</v>
      </c>
      <c r="O6">
        <f t="shared" si="0"/>
        <v>121.06666666066667</v>
      </c>
      <c r="P6">
        <f t="shared" si="1"/>
        <v>27</v>
      </c>
    </row>
    <row r="7" spans="1:16">
      <c r="A7">
        <f t="shared" si="6"/>
        <v>3</v>
      </c>
      <c r="B7">
        <f t="shared" si="2"/>
        <v>38655</v>
      </c>
      <c r="C7" t="str">
        <f>IFERROR(INDEX(Starter!B:B,MATCH(B7,Starter!A:A,0)),"")</f>
        <v>Wheeldon, Vincent</v>
      </c>
      <c r="D7" t="str">
        <f>IFERROR(INDEX(Starter!C:C,MATCH(B7,Starter!A:A,0)),"")</f>
        <v>BK München</v>
      </c>
      <c r="E7" s="78">
        <f t="shared" si="3"/>
        <v>1940</v>
      </c>
      <c r="F7">
        <f t="shared" si="4"/>
        <v>10</v>
      </c>
      <c r="G7" s="153">
        <f t="shared" si="5"/>
        <v>193.99999996599999</v>
      </c>
      <c r="L7" s="91">
        <f>INDEX(Starter!A:A,ROW()-1)</f>
        <v>38861</v>
      </c>
      <c r="M7">
        <f>INDEX(SchnittGes5!M:M,MATCH(L7,SchnittGes5!L:L,0))+INDEX(Schnitt6!M:M,MATCH(L7,Schnitt6!L:L,0))</f>
        <v>0</v>
      </c>
      <c r="N7">
        <f>INDEX(SchnittGes5!N:N,MATCH(L7,SchnittGes5!L:L,0))+INDEX(Schnitt6!N:N,MATCH(L7,Schnitt6!L:L,0))</f>
        <v>0</v>
      </c>
      <c r="O7">
        <f t="shared" si="0"/>
        <v>0</v>
      </c>
      <c r="P7">
        <f t="shared" si="1"/>
        <v>43</v>
      </c>
    </row>
    <row r="8" spans="1:16">
      <c r="A8">
        <f t="shared" si="6"/>
        <v>4</v>
      </c>
      <c r="B8">
        <f t="shared" si="2"/>
        <v>38334</v>
      </c>
      <c r="C8" t="str">
        <f>IFERROR(INDEX(Starter!B:B,MATCH(B8,Starter!A:A,0)),"")</f>
        <v>Lauchner, Julian</v>
      </c>
      <c r="D8" t="str">
        <f>IFERROR(INDEX(Starter!C:C,MATCH(B8,Starter!A:A,0)),"")</f>
        <v>BK München</v>
      </c>
      <c r="E8" s="78">
        <f t="shared" si="3"/>
        <v>2849</v>
      </c>
      <c r="F8">
        <f t="shared" si="4"/>
        <v>15</v>
      </c>
      <c r="G8" s="153">
        <f t="shared" si="5"/>
        <v>189.93333328833333</v>
      </c>
      <c r="L8" s="91">
        <f>INDEX(Starter!A:A,ROW()-1)</f>
        <v>38845</v>
      </c>
      <c r="M8">
        <f>INDEX(SchnittGes5!M:M,MATCH(L8,SchnittGes5!L:L,0))+INDEX(Schnitt6!M:M,MATCH(L8,Schnitt6!L:L,0))</f>
        <v>3751</v>
      </c>
      <c r="N8">
        <f>INDEX(SchnittGes5!N:N,MATCH(L8,SchnittGes5!L:L,0))+INDEX(Schnitt6!N:N,MATCH(L8,Schnitt6!L:L,0))</f>
        <v>20</v>
      </c>
      <c r="O8">
        <f t="shared" si="0"/>
        <v>187.54999999200001</v>
      </c>
      <c r="P8">
        <f t="shared" si="1"/>
        <v>5</v>
      </c>
    </row>
    <row r="9" spans="1:16">
      <c r="A9">
        <f t="shared" si="6"/>
        <v>5</v>
      </c>
      <c r="B9">
        <f t="shared" si="2"/>
        <v>38845</v>
      </c>
      <c r="C9" t="str">
        <f>IFERROR(INDEX(Starter!B:B,MATCH(B9,Starter!A:A,0)),"")</f>
        <v>Kugler, Laurin</v>
      </c>
      <c r="D9" t="str">
        <f>IFERROR(INDEX(Starter!C:C,MATCH(B9,Starter!A:A,0)),"")</f>
        <v>Absolut-Sports.com</v>
      </c>
      <c r="E9" s="78">
        <f t="shared" si="3"/>
        <v>3751</v>
      </c>
      <c r="F9">
        <f t="shared" si="4"/>
        <v>20</v>
      </c>
      <c r="G9" s="153">
        <f t="shared" si="5"/>
        <v>187.54999999200001</v>
      </c>
      <c r="L9" s="91">
        <f>INDEX(Starter!A:A,ROW()-1)</f>
        <v>38843</v>
      </c>
      <c r="M9">
        <f>INDEX(SchnittGes5!M:M,MATCH(L9,SchnittGes5!L:L,0))+INDEX(Schnitt6!M:M,MATCH(L9,Schnitt6!L:L,0))</f>
        <v>783</v>
      </c>
      <c r="N9">
        <f>INDEX(SchnittGes5!N:N,MATCH(L9,SchnittGes5!L:L,0))+INDEX(Schnitt6!N:N,MATCH(L9,Schnitt6!L:L,0))</f>
        <v>6</v>
      </c>
      <c r="O9">
        <f t="shared" si="0"/>
        <v>130.49999999100001</v>
      </c>
      <c r="P9">
        <f t="shared" si="1"/>
        <v>22</v>
      </c>
    </row>
    <row r="10" spans="1:16">
      <c r="A10">
        <f t="shared" si="6"/>
        <v>6</v>
      </c>
      <c r="B10">
        <f t="shared" si="2"/>
        <v>38844</v>
      </c>
      <c r="C10" t="str">
        <f>IFERROR(INDEX(Starter!B:B,MATCH(B10,Starter!A:A,0)),"")</f>
        <v>Mathe, Maximilian</v>
      </c>
      <c r="D10" t="str">
        <f>IFERROR(INDEX(Starter!C:C,MATCH(B10,Starter!A:A,0)),"")</f>
        <v>Absolut-Sports.com</v>
      </c>
      <c r="E10" s="78">
        <f t="shared" si="3"/>
        <v>1763</v>
      </c>
      <c r="F10">
        <f t="shared" si="4"/>
        <v>10</v>
      </c>
      <c r="G10" s="153">
        <f t="shared" si="5"/>
        <v>176.29999999</v>
      </c>
      <c r="L10" s="91">
        <f>INDEX(Starter!A:A,ROW()-1)</f>
        <v>38844</v>
      </c>
      <c r="M10">
        <f>INDEX(SchnittGes5!M:M,MATCH(L10,SchnittGes5!L:L,0))+INDEX(Schnitt6!M:M,MATCH(L10,Schnitt6!L:L,0))</f>
        <v>1763</v>
      </c>
      <c r="N10">
        <f>INDEX(SchnittGes5!N:N,MATCH(L10,SchnittGes5!L:L,0))+INDEX(Schnitt6!N:N,MATCH(L10,Schnitt6!L:L,0))</f>
        <v>10</v>
      </c>
      <c r="O10">
        <f t="shared" si="0"/>
        <v>176.29999999</v>
      </c>
      <c r="P10">
        <f t="shared" si="1"/>
        <v>6</v>
      </c>
    </row>
    <row r="11" spans="1:16">
      <c r="A11">
        <f t="shared" si="6"/>
        <v>7</v>
      </c>
      <c r="B11">
        <f t="shared" si="2"/>
        <v>38626</v>
      </c>
      <c r="C11" t="str">
        <f>IFERROR(INDEX(Starter!B:B,MATCH(B11,Starter!A:A,0)),"")</f>
        <v>Wolf, Alexander</v>
      </c>
      <c r="D11" t="str">
        <f>IFERROR(INDEX(Starter!C:C,MATCH(B11,Starter!A:A,0)),"")</f>
        <v>BK München</v>
      </c>
      <c r="E11" s="78">
        <f t="shared" si="3"/>
        <v>794</v>
      </c>
      <c r="F11">
        <f t="shared" si="4"/>
        <v>5</v>
      </c>
      <c r="G11" s="153">
        <f t="shared" si="5"/>
        <v>158.79999995300003</v>
      </c>
      <c r="L11" s="91">
        <f>INDEX(Starter!A:A,ROW()-1)</f>
        <v>38772</v>
      </c>
      <c r="M11">
        <f>INDEX(SchnittGes5!M:M,MATCH(L11,SchnittGes5!L:L,0))+INDEX(Schnitt6!M:M,MATCH(L11,Schnitt6!L:L,0))</f>
        <v>2076</v>
      </c>
      <c r="N11">
        <f>INDEX(SchnittGes5!N:N,MATCH(L11,SchnittGes5!L:L,0))+INDEX(Schnitt6!N:N,MATCH(L11,Schnitt6!L:L,0))</f>
        <v>15</v>
      </c>
      <c r="O11">
        <f t="shared" si="0"/>
        <v>138.39999998900001</v>
      </c>
      <c r="P11">
        <f t="shared" si="1"/>
        <v>19</v>
      </c>
    </row>
    <row r="12" spans="1:16">
      <c r="A12">
        <f t="shared" si="6"/>
        <v>8</v>
      </c>
      <c r="B12">
        <f t="shared" si="2"/>
        <v>38809</v>
      </c>
      <c r="C12" t="str">
        <f>IFERROR(INDEX(Starter!B:B,MATCH(B12,Starter!A:A,0)),"")</f>
        <v>Elze, Julian</v>
      </c>
      <c r="D12" t="str">
        <f>IFERROR(INDEX(Starter!C:C,MATCH(B12,Starter!A:A,0)),"")</f>
        <v>BSC Highroller Rosenheim</v>
      </c>
      <c r="E12" s="78">
        <f t="shared" si="3"/>
        <v>939</v>
      </c>
      <c r="F12">
        <f t="shared" si="4"/>
        <v>6</v>
      </c>
      <c r="G12" s="153">
        <f t="shared" si="5"/>
        <v>156.49999998300001</v>
      </c>
      <c r="L12" s="91">
        <f>INDEX(Starter!A:A,ROW()-1)</f>
        <v>38893</v>
      </c>
      <c r="M12">
        <f>INDEX(SchnittGes5!M:M,MATCH(L12,SchnittGes5!L:L,0))+INDEX(Schnitt6!M:M,MATCH(L12,Schnitt6!L:L,0))</f>
        <v>1199</v>
      </c>
      <c r="N12">
        <f>INDEX(SchnittGes5!N:N,MATCH(L12,SchnittGes5!L:L,0))+INDEX(Schnitt6!N:N,MATCH(L12,Schnitt6!L:L,0))</f>
        <v>13</v>
      </c>
      <c r="O12">
        <f t="shared" si="0"/>
        <v>92.230769218769225</v>
      </c>
      <c r="P12">
        <f t="shared" si="1"/>
        <v>40</v>
      </c>
    </row>
    <row r="13" spans="1:16">
      <c r="A13">
        <f t="shared" si="6"/>
        <v>9</v>
      </c>
      <c r="B13">
        <f t="shared" si="2"/>
        <v>38759</v>
      </c>
      <c r="C13" t="str">
        <f>IFERROR(INDEX(Starter!B:B,MATCH(B13,Starter!A:A,0)),"")</f>
        <v>Stölzel, Celia</v>
      </c>
      <c r="D13" t="str">
        <f>IFERROR(INDEX(Starter!C:C,MATCH(B13,Starter!A:A,0)),"")</f>
        <v>BSC Highroller Rosenheim</v>
      </c>
      <c r="E13" s="78">
        <f t="shared" si="3"/>
        <v>3593</v>
      </c>
      <c r="F13">
        <f t="shared" si="4"/>
        <v>23</v>
      </c>
      <c r="G13" s="153">
        <f t="shared" si="5"/>
        <v>156.21739129034782</v>
      </c>
      <c r="L13" s="91">
        <f>INDEX(Starter!A:A,ROW()-1)</f>
        <v>38760</v>
      </c>
      <c r="M13">
        <f>INDEX(SchnittGes5!M:M,MATCH(L13,SchnittGes5!L:L,0))+INDEX(Schnitt6!M:M,MATCH(L13,Schnitt6!L:L,0))</f>
        <v>3288</v>
      </c>
      <c r="N13">
        <f>INDEX(SchnittGes5!N:N,MATCH(L13,SchnittGes5!L:L,0))+INDEX(Schnitt6!N:N,MATCH(L13,Schnitt6!L:L,0))</f>
        <v>23</v>
      </c>
      <c r="O13">
        <f t="shared" si="0"/>
        <v>142.95652172613043</v>
      </c>
      <c r="P13">
        <f t="shared" si="1"/>
        <v>17</v>
      </c>
    </row>
    <row r="14" spans="1:16">
      <c r="A14">
        <f t="shared" si="6"/>
        <v>10</v>
      </c>
      <c r="B14">
        <f t="shared" si="2"/>
        <v>38795</v>
      </c>
      <c r="C14" t="str">
        <f>IFERROR(INDEX(Starter!B:B,MATCH(B14,Starter!A:A,0)),"")</f>
        <v>Catalano, Leandro</v>
      </c>
      <c r="D14" t="str">
        <f>IFERROR(INDEX(Starter!C:C,MATCH(B14,Starter!A:A,0)),"")</f>
        <v>Bowling Jugend Bayern</v>
      </c>
      <c r="E14" s="78">
        <f t="shared" si="3"/>
        <v>778</v>
      </c>
      <c r="F14">
        <f t="shared" si="4"/>
        <v>5</v>
      </c>
      <c r="G14" s="153">
        <f t="shared" si="5"/>
        <v>155.599999962</v>
      </c>
      <c r="L14" s="91">
        <f>INDEX(Starter!A:A,ROW()-1)</f>
        <v>38759</v>
      </c>
      <c r="M14">
        <f>INDEX(SchnittGes5!M:M,MATCH(L14,SchnittGes5!L:L,0))+INDEX(Schnitt6!M:M,MATCH(L14,Schnitt6!L:L,0))</f>
        <v>3593</v>
      </c>
      <c r="N14">
        <f>INDEX(SchnittGes5!N:N,MATCH(L14,SchnittGes5!L:L,0))+INDEX(Schnitt6!N:N,MATCH(L14,Schnitt6!L:L,0))</f>
        <v>23</v>
      </c>
      <c r="O14">
        <f t="shared" si="0"/>
        <v>156.21739129034782</v>
      </c>
      <c r="P14">
        <f t="shared" si="1"/>
        <v>9</v>
      </c>
    </row>
    <row r="15" spans="1:16">
      <c r="A15">
        <f t="shared" si="6"/>
        <v>11</v>
      </c>
      <c r="B15">
        <f t="shared" si="2"/>
        <v>38706</v>
      </c>
      <c r="C15" t="str">
        <f>IFERROR(INDEX(Starter!B:B,MATCH(B15,Starter!A:A,0)),"")</f>
        <v>Böhm, Eric-Pascal</v>
      </c>
      <c r="D15" t="str">
        <f>IFERROR(INDEX(Starter!C:C,MATCH(B15,Starter!A:A,0)),"")</f>
        <v>BC EMAX</v>
      </c>
      <c r="E15" s="78">
        <f t="shared" si="3"/>
        <v>2004</v>
      </c>
      <c r="F15">
        <f t="shared" si="4"/>
        <v>13</v>
      </c>
      <c r="G15" s="153">
        <f t="shared" si="5"/>
        <v>154.15384614984617</v>
      </c>
      <c r="L15" s="91">
        <f>INDEX(Starter!A:A,ROW()-1)</f>
        <v>38831</v>
      </c>
      <c r="M15">
        <f>INDEX(SchnittGes5!M:M,MATCH(L15,SchnittGes5!L:L,0))+INDEX(Schnitt6!M:M,MATCH(L15,Schnitt6!L:L,0))</f>
        <v>589</v>
      </c>
      <c r="N15">
        <f>INDEX(SchnittGes5!N:N,MATCH(L15,SchnittGes5!L:L,0))+INDEX(Schnitt6!N:N,MATCH(L15,Schnitt6!L:L,0))</f>
        <v>6</v>
      </c>
      <c r="O15">
        <f t="shared" si="0"/>
        <v>98.166666651666674</v>
      </c>
      <c r="P15">
        <f t="shared" si="1"/>
        <v>36</v>
      </c>
    </row>
    <row r="16" spans="1:16">
      <c r="A16">
        <f t="shared" si="6"/>
        <v>12</v>
      </c>
      <c r="B16">
        <f t="shared" si="2"/>
        <v>38942</v>
      </c>
      <c r="C16" t="str">
        <f>IFERROR(INDEX(Starter!B:B,MATCH(B16,Starter!A:A,0)),"")</f>
        <v>Klettenheimer, Julius</v>
      </c>
      <c r="D16" t="str">
        <f>IFERROR(INDEX(Starter!C:C,MATCH(B16,Starter!A:A,0)),"")</f>
        <v>Bowling Jugend Bayern</v>
      </c>
      <c r="E16" s="78">
        <f t="shared" si="3"/>
        <v>2300</v>
      </c>
      <c r="F16">
        <f t="shared" si="4"/>
        <v>15</v>
      </c>
      <c r="G16" s="153">
        <f t="shared" si="5"/>
        <v>153.33333328933335</v>
      </c>
      <c r="L16" s="91">
        <f>INDEX(Starter!A:A,ROW()-1)</f>
        <v>38773</v>
      </c>
      <c r="M16">
        <f>INDEX(SchnittGes5!M:M,MATCH(L16,SchnittGes5!L:L,0))+INDEX(Schnitt6!M:M,MATCH(L16,Schnitt6!L:L,0))</f>
        <v>3330</v>
      </c>
      <c r="N16">
        <f>INDEX(SchnittGes5!N:N,MATCH(L16,SchnittGes5!L:L,0))+INDEX(Schnitt6!N:N,MATCH(L16,Schnitt6!L:L,0))</f>
        <v>23</v>
      </c>
      <c r="O16">
        <f t="shared" si="0"/>
        <v>144.78260867965218</v>
      </c>
      <c r="P16">
        <f t="shared" si="1"/>
        <v>15</v>
      </c>
    </row>
    <row r="17" spans="1:16">
      <c r="A17">
        <f t="shared" si="6"/>
        <v>13</v>
      </c>
      <c r="B17">
        <f t="shared" si="2"/>
        <v>38714</v>
      </c>
      <c r="C17" t="str">
        <f>IFERROR(INDEX(Starter!B:B,MATCH(B17,Starter!A:A,0)),"")</f>
        <v>Wieser, Lukas</v>
      </c>
      <c r="D17" t="str">
        <f>IFERROR(INDEX(Starter!C:C,MATCH(B17,Starter!A:A,0)),"")</f>
        <v>BC Berchtesgaden</v>
      </c>
      <c r="E17" s="78">
        <f t="shared" si="3"/>
        <v>2594</v>
      </c>
      <c r="F17">
        <f t="shared" si="4"/>
        <v>17</v>
      </c>
      <c r="G17" s="153">
        <f t="shared" si="5"/>
        <v>152.58823526511765</v>
      </c>
      <c r="L17" s="91">
        <f>INDEX(Starter!A:A,ROW()-1)</f>
        <v>38809</v>
      </c>
      <c r="M17">
        <f>INDEX(SchnittGes5!M:M,MATCH(L17,SchnittGes5!L:L,0))+INDEX(Schnitt6!M:M,MATCH(L17,Schnitt6!L:L,0))</f>
        <v>939</v>
      </c>
      <c r="N17">
        <f>INDEX(SchnittGes5!N:N,MATCH(L17,SchnittGes5!L:L,0))+INDEX(Schnitt6!N:N,MATCH(L17,Schnitt6!L:L,0))</f>
        <v>6</v>
      </c>
      <c r="O17">
        <f t="shared" si="0"/>
        <v>156.49999998300001</v>
      </c>
      <c r="P17">
        <f t="shared" si="1"/>
        <v>8</v>
      </c>
    </row>
    <row r="18" spans="1:16">
      <c r="A18">
        <f t="shared" si="6"/>
        <v>14</v>
      </c>
      <c r="B18">
        <f t="shared" si="2"/>
        <v>38781</v>
      </c>
      <c r="C18" t="str">
        <f>IFERROR(INDEX(Starter!B:B,MATCH(B18,Starter!A:A,0)),"")</f>
        <v>Reichenauer, Leon</v>
      </c>
      <c r="D18" t="str">
        <f>IFERROR(INDEX(Starter!C:C,MATCH(B18,Starter!A:A,0)),"")</f>
        <v>Bowling Jugend Bayern</v>
      </c>
      <c r="E18" s="78">
        <f t="shared" si="3"/>
        <v>2242</v>
      </c>
      <c r="F18">
        <f t="shared" si="4"/>
        <v>15</v>
      </c>
      <c r="G18" s="153">
        <f t="shared" si="5"/>
        <v>149.46666662466666</v>
      </c>
      <c r="L18" s="91">
        <f>INDEX(Starter!A:A,ROW()-1)</f>
        <v>38923</v>
      </c>
      <c r="M18">
        <f>INDEX(SchnittGes5!M:M,MATCH(L18,SchnittGes5!L:L,0))+INDEX(Schnitt6!M:M,MATCH(L18,Schnitt6!L:L,0))</f>
        <v>1583</v>
      </c>
      <c r="N18">
        <f>INDEX(SchnittGes5!N:N,MATCH(L18,SchnittGes5!L:L,0))+INDEX(Schnitt6!N:N,MATCH(L18,Schnitt6!L:L,0))</f>
        <v>14</v>
      </c>
      <c r="O18">
        <f t="shared" si="0"/>
        <v>113.07142855342858</v>
      </c>
      <c r="P18">
        <f t="shared" si="1"/>
        <v>33</v>
      </c>
    </row>
    <row r="19" spans="1:16">
      <c r="A19">
        <f t="shared" si="6"/>
        <v>15</v>
      </c>
      <c r="B19">
        <f t="shared" si="2"/>
        <v>38773</v>
      </c>
      <c r="C19" t="str">
        <f>IFERROR(INDEX(Starter!B:B,MATCH(B19,Starter!A:A,0)),"")</f>
        <v>Weiss, Luisa Samira</v>
      </c>
      <c r="D19" t="str">
        <f>IFERROR(INDEX(Starter!C:C,MATCH(B19,Starter!A:A,0)),"")</f>
        <v>BSC Highroller Rosenheim</v>
      </c>
      <c r="E19" s="78">
        <f t="shared" si="3"/>
        <v>3330</v>
      </c>
      <c r="F19">
        <f t="shared" si="4"/>
        <v>23</v>
      </c>
      <c r="G19" s="153">
        <f t="shared" si="5"/>
        <v>144.78260867965218</v>
      </c>
      <c r="L19" s="91">
        <f>INDEX(Starter!A:A,ROW()-1)</f>
        <v>38920</v>
      </c>
      <c r="M19">
        <f>INDEX(SchnittGes5!M:M,MATCH(L19,SchnittGes5!L:L,0))+INDEX(Schnitt6!M:M,MATCH(L19,Schnitt6!L:L,0))</f>
        <v>1897</v>
      </c>
      <c r="N19">
        <f>INDEX(SchnittGes5!N:N,MATCH(L19,SchnittGes5!L:L,0))+INDEX(Schnitt6!N:N,MATCH(L19,Schnitt6!L:L,0))</f>
        <v>19</v>
      </c>
      <c r="O19">
        <f t="shared" si="0"/>
        <v>99.842105244157892</v>
      </c>
      <c r="P19">
        <f t="shared" si="1"/>
        <v>35</v>
      </c>
    </row>
    <row r="20" spans="1:16">
      <c r="A20">
        <f t="shared" si="6"/>
        <v>16</v>
      </c>
      <c r="B20">
        <f t="shared" si="2"/>
        <v>38674</v>
      </c>
      <c r="C20" t="str">
        <f>IFERROR(INDEX(Starter!B:B,MATCH(B20,Starter!A:A,0)),"")</f>
        <v>Mäurer, Odin</v>
      </c>
      <c r="D20" t="str">
        <f>IFERROR(INDEX(Starter!C:C,MATCH(B20,Starter!A:A,0)),"")</f>
        <v>Bowling Jugend Bayern</v>
      </c>
      <c r="E20" s="78">
        <f t="shared" si="3"/>
        <v>717</v>
      </c>
      <c r="F20">
        <f t="shared" si="4"/>
        <v>5</v>
      </c>
      <c r="G20" s="153">
        <f t="shared" si="5"/>
        <v>143.39999996099999</v>
      </c>
      <c r="L20" s="91">
        <f>INDEX(Starter!A:A,ROW()-1)</f>
        <v>38921</v>
      </c>
      <c r="M20">
        <f>INDEX(SchnittGes5!M:M,MATCH(L20,SchnittGes5!L:L,0))+INDEX(Schnitt6!M:M,MATCH(L20,Schnitt6!L:L,0))</f>
        <v>1368</v>
      </c>
      <c r="N20">
        <f>INDEX(SchnittGes5!N:N,MATCH(L20,SchnittGes5!L:L,0))+INDEX(Schnitt6!N:N,MATCH(L20,Schnitt6!L:L,0))</f>
        <v>18</v>
      </c>
      <c r="O20">
        <f t="shared" si="0"/>
        <v>75.999999979999998</v>
      </c>
      <c r="P20">
        <f t="shared" si="1"/>
        <v>41</v>
      </c>
    </row>
    <row r="21" spans="1:16">
      <c r="A21">
        <f t="shared" si="6"/>
        <v>17</v>
      </c>
      <c r="B21">
        <f t="shared" si="2"/>
        <v>38760</v>
      </c>
      <c r="C21" t="str">
        <f>IFERROR(INDEX(Starter!B:B,MATCH(B21,Starter!A:A,0)),"")</f>
        <v>Achhammer, Klara</v>
      </c>
      <c r="D21" t="str">
        <f>IFERROR(INDEX(Starter!C:C,MATCH(B21,Starter!A:A,0)),"")</f>
        <v>BSC Highroller Rosenheim</v>
      </c>
      <c r="E21" s="78">
        <f t="shared" si="3"/>
        <v>3288</v>
      </c>
      <c r="F21">
        <f t="shared" si="4"/>
        <v>23</v>
      </c>
      <c r="G21" s="153">
        <f t="shared" si="5"/>
        <v>142.95652172613043</v>
      </c>
      <c r="L21" s="91">
        <f>INDEX(Starter!A:A,ROW()-1)</f>
        <v>38922</v>
      </c>
      <c r="M21">
        <f>INDEX(SchnittGes5!M:M,MATCH(L21,SchnittGes5!L:L,0))+INDEX(Schnitt6!M:M,MATCH(L21,Schnitt6!L:L,0))</f>
        <v>1730</v>
      </c>
      <c r="N21">
        <f>INDEX(SchnittGes5!N:N,MATCH(L21,SchnittGes5!L:L,0))+INDEX(Schnitt6!N:N,MATCH(L21,Schnitt6!L:L,0))</f>
        <v>18</v>
      </c>
      <c r="O21">
        <f t="shared" si="0"/>
        <v>96.111111090111109</v>
      </c>
      <c r="P21">
        <f t="shared" si="1"/>
        <v>39</v>
      </c>
    </row>
    <row r="22" spans="1:16">
      <c r="A22">
        <f t="shared" si="6"/>
        <v>18</v>
      </c>
      <c r="B22">
        <f t="shared" si="2"/>
        <v>38894</v>
      </c>
      <c r="C22" t="str">
        <f>IFERROR(INDEX(Starter!B:B,MATCH(B22,Starter!A:A,0)),"")</f>
        <v>Prieß, Marc</v>
      </c>
      <c r="D22" t="str">
        <f>IFERROR(INDEX(Starter!C:C,MATCH(B22,Starter!A:A,0)),"")</f>
        <v>Bowling Jugend Bayern</v>
      </c>
      <c r="E22" s="78">
        <f t="shared" si="3"/>
        <v>713</v>
      </c>
      <c r="F22">
        <f t="shared" si="4"/>
        <v>5</v>
      </c>
      <c r="G22" s="153">
        <f t="shared" si="5"/>
        <v>142.59999995999999</v>
      </c>
      <c r="L22" s="91">
        <f>INDEX(Starter!A:A,ROW()-1)</f>
        <v>38808</v>
      </c>
      <c r="M22">
        <f>INDEX(SchnittGes5!M:M,MATCH(L22,SchnittGes5!L:L,0))+INDEX(Schnitt6!M:M,MATCH(L22,Schnitt6!L:L,0))</f>
        <v>2213</v>
      </c>
      <c r="N22">
        <f>INDEX(SchnittGes5!N:N,MATCH(L22,SchnittGes5!L:L,0))+INDEX(Schnitt6!N:N,MATCH(L22,Schnitt6!L:L,0))</f>
        <v>18</v>
      </c>
      <c r="O22">
        <f t="shared" si="0"/>
        <v>122.94444442244445</v>
      </c>
      <c r="P22">
        <f t="shared" si="1"/>
        <v>24</v>
      </c>
    </row>
    <row r="23" spans="1:16">
      <c r="A23">
        <f t="shared" si="6"/>
        <v>19</v>
      </c>
      <c r="B23">
        <f t="shared" si="2"/>
        <v>38772</v>
      </c>
      <c r="C23" t="str">
        <f>IFERROR(INDEX(Starter!B:B,MATCH(B23,Starter!A:A,0)),"")</f>
        <v>Sturm, Sebastian</v>
      </c>
      <c r="D23" t="str">
        <f>IFERROR(INDEX(Starter!C:C,MATCH(B23,Starter!A:A,0)),"")</f>
        <v>Absolut-Sports.com</v>
      </c>
      <c r="E23" s="78">
        <f t="shared" si="3"/>
        <v>2076</v>
      </c>
      <c r="F23">
        <f t="shared" si="4"/>
        <v>15</v>
      </c>
      <c r="G23" s="153">
        <f t="shared" si="5"/>
        <v>138.39999998900001</v>
      </c>
      <c r="L23" s="91">
        <f>INDEX(Starter!A:A,ROW()-1)</f>
        <v>38810</v>
      </c>
      <c r="M23">
        <f>INDEX(SchnittGes5!M:M,MATCH(L23,SchnittGes5!L:L,0))+INDEX(Schnitt6!M:M,MATCH(L23,Schnitt6!L:L,0))</f>
        <v>1823</v>
      </c>
      <c r="N23">
        <f>INDEX(SchnittGes5!N:N,MATCH(L23,SchnittGes5!L:L,0))+INDEX(Schnitt6!N:N,MATCH(L23,Schnitt6!L:L,0))</f>
        <v>16</v>
      </c>
      <c r="O23">
        <f t="shared" si="0"/>
        <v>113.937499977</v>
      </c>
      <c r="P23">
        <f t="shared" si="1"/>
        <v>31</v>
      </c>
    </row>
    <row r="24" spans="1:16">
      <c r="A24">
        <f t="shared" si="6"/>
        <v>20</v>
      </c>
      <c r="B24">
        <f t="shared" si="2"/>
        <v>38937</v>
      </c>
      <c r="C24" t="str">
        <f>IFERROR(INDEX(Starter!B:B,MATCH(B24,Starter!A:A,0)),"")</f>
        <v>Ruppert, Raja</v>
      </c>
      <c r="D24" t="str">
        <f>IFERROR(INDEX(Starter!C:C,MATCH(B24,Starter!A:A,0)),"")</f>
        <v>LA Bowling</v>
      </c>
      <c r="E24" s="78">
        <f t="shared" si="3"/>
        <v>1602</v>
      </c>
      <c r="F24">
        <f t="shared" si="4"/>
        <v>12</v>
      </c>
      <c r="G24" s="153">
        <f t="shared" si="5"/>
        <v>133.49999996700001</v>
      </c>
      <c r="L24" s="91">
        <f>INDEX(Starter!A:A,ROW()-1)</f>
        <v>38848</v>
      </c>
      <c r="M24">
        <f>INDEX(SchnittGes5!M:M,MATCH(L24,SchnittGes5!L:L,0))+INDEX(Schnitt6!M:M,MATCH(L24,Schnitt6!L:L,0))</f>
        <v>2439</v>
      </c>
      <c r="N24">
        <f>INDEX(SchnittGes5!N:N,MATCH(L24,SchnittGes5!L:L,0))+INDEX(Schnitt6!N:N,MATCH(L24,Schnitt6!L:L,0))</f>
        <v>20</v>
      </c>
      <c r="O24">
        <f t="shared" si="0"/>
        <v>121.949999976</v>
      </c>
      <c r="P24">
        <f t="shared" si="1"/>
        <v>26</v>
      </c>
    </row>
    <row r="25" spans="1:16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2092</v>
      </c>
      <c r="F25">
        <f t="shared" si="4"/>
        <v>16</v>
      </c>
      <c r="G25" s="153">
        <f t="shared" si="5"/>
        <v>130.74999997</v>
      </c>
      <c r="L25" s="91">
        <f>INDEX(Starter!A:A,ROW()-1)</f>
        <v>38849</v>
      </c>
      <c r="M25">
        <f>INDEX(SchnittGes5!M:M,MATCH(L25,SchnittGes5!L:L,0))+INDEX(Schnitt6!M:M,MATCH(L25,Schnitt6!L:L,0))</f>
        <v>2377</v>
      </c>
      <c r="N25">
        <f>INDEX(SchnittGes5!N:N,MATCH(L25,SchnittGes5!L:L,0))+INDEX(Schnitt6!N:N,MATCH(L25,Schnitt6!L:L,0))</f>
        <v>21</v>
      </c>
      <c r="O25">
        <f t="shared" si="0"/>
        <v>113.19047616547618</v>
      </c>
      <c r="P25">
        <f t="shared" si="1"/>
        <v>32</v>
      </c>
    </row>
    <row r="26" spans="1:16">
      <c r="A26">
        <f t="shared" si="6"/>
        <v>22</v>
      </c>
      <c r="B26">
        <f t="shared" si="2"/>
        <v>38843</v>
      </c>
      <c r="C26" t="str">
        <f>IFERROR(INDEX(Starter!B:B,MATCH(B26,Starter!A:A,0)),"")</f>
        <v>Lintner, Lena</v>
      </c>
      <c r="D26" t="str">
        <f>IFERROR(INDEX(Starter!C:C,MATCH(B26,Starter!A:A,0)),"")</f>
        <v>Absolut-Sports.com</v>
      </c>
      <c r="E26" s="78">
        <f t="shared" si="3"/>
        <v>783</v>
      </c>
      <c r="F26">
        <f t="shared" si="4"/>
        <v>6</v>
      </c>
      <c r="G26" s="153">
        <f t="shared" si="5"/>
        <v>130.49999999100001</v>
      </c>
      <c r="L26" s="91">
        <f>INDEX(Starter!A:A,ROW()-1)</f>
        <v>38925</v>
      </c>
      <c r="M26">
        <f>INDEX(SchnittGes5!M:M,MATCH(L26,SchnittGes5!L:L,0))+INDEX(Schnitt6!M:M,MATCH(L26,Schnitt6!L:L,0))</f>
        <v>0</v>
      </c>
      <c r="N26">
        <f>INDEX(SchnittGes5!N:N,MATCH(L26,SchnittGes5!L:L,0))+INDEX(Schnitt6!N:N,MATCH(L26,Schnitt6!L:L,0))</f>
        <v>0</v>
      </c>
      <c r="O26">
        <f t="shared" si="0"/>
        <v>0</v>
      </c>
      <c r="P26">
        <f t="shared" si="1"/>
        <v>43</v>
      </c>
    </row>
    <row r="27" spans="1:16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742</v>
      </c>
      <c r="F27">
        <f t="shared" si="4"/>
        <v>6</v>
      </c>
      <c r="G27" s="153">
        <f t="shared" si="5"/>
        <v>123.66666662366667</v>
      </c>
      <c r="L27" s="91">
        <f>INDEX(Starter!A:A,ROW()-1)</f>
        <v>38924</v>
      </c>
      <c r="M27">
        <f>INDEX(SchnittGes5!M:M,MATCH(L27,SchnittGes5!L:L,0))+INDEX(Schnitt6!M:M,MATCH(L27,Schnitt6!L:L,0))</f>
        <v>0</v>
      </c>
      <c r="N27">
        <f>INDEX(SchnittGes5!N:N,MATCH(L27,SchnittGes5!L:L,0))+INDEX(Schnitt6!N:N,MATCH(L27,Schnitt6!L:L,0))</f>
        <v>0</v>
      </c>
      <c r="O27">
        <f t="shared" si="0"/>
        <v>0</v>
      </c>
      <c r="P27">
        <f t="shared" si="1"/>
        <v>43</v>
      </c>
    </row>
    <row r="28" spans="1:16">
      <c r="A28">
        <f t="shared" si="6"/>
        <v>24</v>
      </c>
      <c r="B28">
        <f t="shared" si="2"/>
        <v>38808</v>
      </c>
      <c r="C28" t="str">
        <f>IFERROR(INDEX(Starter!B:B,MATCH(B28,Starter!A:A,0)),"")</f>
        <v>Reinhold, Moritz</v>
      </c>
      <c r="D28" t="str">
        <f>IFERROR(INDEX(Starter!C:C,MATCH(B28,Starter!A:A,0)),"")</f>
        <v>BSC Highroller Rosenheim</v>
      </c>
      <c r="E28" s="78">
        <f t="shared" si="3"/>
        <v>2213</v>
      </c>
      <c r="F28">
        <f t="shared" si="4"/>
        <v>18</v>
      </c>
      <c r="G28" s="153">
        <f t="shared" si="5"/>
        <v>122.94444442244445</v>
      </c>
      <c r="L28" s="91">
        <f>INDEX(Starter!A:A,ROW()-1)</f>
        <v>38865</v>
      </c>
      <c r="M28">
        <f>INDEX(SchnittGes5!M:M,MATCH(L28,SchnittGes5!L:L,0))+INDEX(Schnitt6!M:M,MATCH(L28,Schnitt6!L:L,0))</f>
        <v>2048</v>
      </c>
      <c r="N28">
        <f>INDEX(SchnittGes5!N:N,MATCH(L28,SchnittGes5!L:L,0))+INDEX(Schnitt6!N:N,MATCH(L28,Schnitt6!L:L,0))</f>
        <v>17</v>
      </c>
      <c r="O28">
        <f t="shared" si="0"/>
        <v>120.47058820729411</v>
      </c>
      <c r="P28">
        <f t="shared" si="1"/>
        <v>28</v>
      </c>
    </row>
    <row r="29" spans="1:16">
      <c r="A29">
        <f t="shared" si="6"/>
        <v>25</v>
      </c>
      <c r="B29">
        <f t="shared" si="2"/>
        <v>38904</v>
      </c>
      <c r="C29" t="str">
        <f>IFERROR(INDEX(Starter!B:B,MATCH(B29,Starter!A:A,0)),"")</f>
        <v>Vogt, Leonard</v>
      </c>
      <c r="D29" t="str">
        <f>IFERROR(INDEX(Starter!C:C,MATCH(B29,Starter!A:A,0)),"")</f>
        <v>BC EMAX</v>
      </c>
      <c r="E29" s="78">
        <f t="shared" si="3"/>
        <v>2447</v>
      </c>
      <c r="F29">
        <f t="shared" si="4"/>
        <v>20</v>
      </c>
      <c r="G29" s="153">
        <f t="shared" si="5"/>
        <v>122.34999999499999</v>
      </c>
      <c r="L29" s="91">
        <f>INDEX(Starter!A:A,ROW()-1)</f>
        <v>38714</v>
      </c>
      <c r="M29">
        <f>INDEX(SchnittGes5!M:M,MATCH(L29,SchnittGes5!L:L,0))+INDEX(Schnitt6!M:M,MATCH(L29,Schnitt6!L:L,0))</f>
        <v>2594</v>
      </c>
      <c r="N29">
        <f>INDEX(SchnittGes5!N:N,MATCH(L29,SchnittGes5!L:L,0))+INDEX(Schnitt6!N:N,MATCH(L29,Schnitt6!L:L,0))</f>
        <v>17</v>
      </c>
      <c r="O29">
        <f t="shared" si="0"/>
        <v>152.58823526511765</v>
      </c>
      <c r="P29">
        <f t="shared" si="1"/>
        <v>13</v>
      </c>
    </row>
    <row r="30" spans="1:16">
      <c r="A30">
        <f t="shared" si="6"/>
        <v>26</v>
      </c>
      <c r="B30">
        <f t="shared" si="2"/>
        <v>38848</v>
      </c>
      <c r="C30" t="str">
        <f>IFERROR(INDEX(Starter!B:B,MATCH(B30,Starter!A:A,0)),"")</f>
        <v>Marker, Anna</v>
      </c>
      <c r="D30" t="str">
        <f>IFERROR(INDEX(Starter!C:C,MATCH(B30,Starter!A:A,0)),"")</f>
        <v>BSC Highroller Rosenheim</v>
      </c>
      <c r="E30" s="78">
        <f t="shared" si="3"/>
        <v>2439</v>
      </c>
      <c r="F30">
        <f t="shared" si="4"/>
        <v>20</v>
      </c>
      <c r="G30" s="153">
        <f t="shared" si="5"/>
        <v>121.949999976</v>
      </c>
      <c r="L30" s="91">
        <f>INDEX(Starter!A:A,ROW()-1)</f>
        <v>38819</v>
      </c>
      <c r="M30">
        <f>INDEX(SchnittGes5!M:M,MATCH(L30,SchnittGes5!L:L,0))+INDEX(Schnitt6!M:M,MATCH(L30,Schnitt6!L:L,0))</f>
        <v>2092</v>
      </c>
      <c r="N30">
        <f>INDEX(SchnittGes5!N:N,MATCH(L30,SchnittGes5!L:L,0))+INDEX(Schnitt6!N:N,MATCH(L30,Schnitt6!L:L,0))</f>
        <v>16</v>
      </c>
      <c r="O30">
        <f t="shared" si="0"/>
        <v>130.74999997</v>
      </c>
      <c r="P30">
        <f t="shared" si="1"/>
        <v>21</v>
      </c>
    </row>
    <row r="31" spans="1:16">
      <c r="A31">
        <f t="shared" si="6"/>
        <v>27</v>
      </c>
      <c r="B31">
        <f t="shared" si="2"/>
        <v>38910</v>
      </c>
      <c r="C31" t="str">
        <f>IFERROR(INDEX(Starter!B:B,MATCH(B31,Starter!A:A,0)),"")</f>
        <v>Heiming, Thalea</v>
      </c>
      <c r="D31" t="str">
        <f>IFERROR(INDEX(Starter!C:C,MATCH(B31,Starter!A:A,0)),"")</f>
        <v>BC EMAX</v>
      </c>
      <c r="E31" s="78">
        <f t="shared" si="3"/>
        <v>1816</v>
      </c>
      <c r="F31">
        <f t="shared" si="4"/>
        <v>15</v>
      </c>
      <c r="G31" s="153">
        <f t="shared" si="5"/>
        <v>121.06666666066667</v>
      </c>
      <c r="L31" s="91">
        <f>INDEX(Starter!A:A,ROW()-1)</f>
        <v>38817</v>
      </c>
      <c r="M31">
        <f>INDEX(SchnittGes5!M:M,MATCH(L31,SchnittGes5!L:L,0))+INDEX(Schnitt6!M:M,MATCH(L31,Schnitt6!L:L,0))</f>
        <v>0</v>
      </c>
      <c r="N31">
        <f>INDEX(SchnittGes5!N:N,MATCH(L31,SchnittGes5!L:L,0))+INDEX(Schnitt6!N:N,MATCH(L31,Schnitt6!L:L,0))</f>
        <v>0</v>
      </c>
      <c r="O31">
        <f t="shared" si="0"/>
        <v>0</v>
      </c>
      <c r="P31">
        <f t="shared" si="1"/>
        <v>43</v>
      </c>
    </row>
    <row r="32" spans="1:16">
      <c r="A32">
        <f t="shared" si="6"/>
        <v>28</v>
      </c>
      <c r="B32">
        <f t="shared" si="2"/>
        <v>38865</v>
      </c>
      <c r="C32" t="str">
        <f>IFERROR(INDEX(Starter!B:B,MATCH(B32,Starter!A:A,0)),"")</f>
        <v>Labs, Leon</v>
      </c>
      <c r="D32" t="str">
        <f>IFERROR(INDEX(Starter!C:C,MATCH(B32,Starter!A:A,0)),"")</f>
        <v>BC Berchtesgaden</v>
      </c>
      <c r="E32" s="78">
        <f t="shared" si="3"/>
        <v>2048</v>
      </c>
      <c r="F32">
        <f t="shared" si="4"/>
        <v>17</v>
      </c>
      <c r="G32" s="153">
        <f t="shared" si="5"/>
        <v>120.47058820729411</v>
      </c>
      <c r="L32" s="91">
        <f>INDEX(Starter!A:A,ROW()-1)</f>
        <v>38905</v>
      </c>
      <c r="M32">
        <f>INDEX(SchnittGes5!M:M,MATCH(L32,SchnittGes5!L:L,0))+INDEX(Schnitt6!M:M,MATCH(L32,Schnitt6!L:L,0))</f>
        <v>971</v>
      </c>
      <c r="N32">
        <f>INDEX(SchnittGes5!N:N,MATCH(L32,SchnittGes5!L:L,0))+INDEX(Schnitt6!N:N,MATCH(L32,Schnitt6!L:L,0))</f>
        <v>13</v>
      </c>
      <c r="O32">
        <f t="shared" si="0"/>
        <v>74.692307660307691</v>
      </c>
      <c r="P32">
        <f t="shared" si="1"/>
        <v>42</v>
      </c>
    </row>
    <row r="33" spans="1:16">
      <c r="A33">
        <f t="shared" si="6"/>
        <v>29</v>
      </c>
      <c r="B33">
        <f t="shared" si="2"/>
        <v>38915</v>
      </c>
      <c r="C33" t="str">
        <f>IFERROR(INDEX(Starter!B:B,MATCH(B33,Starter!A:A,0)),"")</f>
        <v>Raj, Milan</v>
      </c>
      <c r="D33" t="str">
        <f>IFERROR(INDEX(Starter!C:C,MATCH(B33,Starter!A:A,0)),"")</f>
        <v>Bowling Jugend Bayern</v>
      </c>
      <c r="E33" s="78">
        <f t="shared" si="3"/>
        <v>827</v>
      </c>
      <c r="F33">
        <f t="shared" si="4"/>
        <v>7</v>
      </c>
      <c r="G33" s="153">
        <f t="shared" si="5"/>
        <v>118.14285710185713</v>
      </c>
      <c r="L33" s="91">
        <f>INDEX(Starter!A:A,ROW()-1)</f>
        <v>38937</v>
      </c>
      <c r="M33">
        <f>INDEX(SchnittGes5!M:M,MATCH(L33,SchnittGes5!L:L,0))+INDEX(Schnitt6!M:M,MATCH(L33,Schnitt6!L:L,0))</f>
        <v>1602</v>
      </c>
      <c r="N33">
        <f>INDEX(SchnittGes5!N:N,MATCH(L33,SchnittGes5!L:L,0))+INDEX(Schnitt6!N:N,MATCH(L33,Schnitt6!L:L,0))</f>
        <v>12</v>
      </c>
      <c r="O33">
        <f t="shared" si="0"/>
        <v>133.49999996700001</v>
      </c>
      <c r="P33">
        <f t="shared" si="1"/>
        <v>20</v>
      </c>
    </row>
    <row r="34" spans="1:16">
      <c r="A34">
        <f t="shared" si="6"/>
        <v>30</v>
      </c>
      <c r="B34">
        <f t="shared" si="2"/>
        <v>38927</v>
      </c>
      <c r="C34" t="str">
        <f>IFERROR(INDEX(Starter!B:B,MATCH(B34,Starter!A:A,0)),"")</f>
        <v>Bonnaire, Ben</v>
      </c>
      <c r="D34" t="str">
        <f>IFERROR(INDEX(Starter!C:C,MATCH(B34,Starter!A:A,0)),"")</f>
        <v>Bowling Jugend Bayern</v>
      </c>
      <c r="E34" s="78">
        <f t="shared" si="3"/>
        <v>1963</v>
      </c>
      <c r="F34">
        <f t="shared" si="4"/>
        <v>17</v>
      </c>
      <c r="G34" s="153">
        <f t="shared" si="5"/>
        <v>115.47058819829411</v>
      </c>
      <c r="L34" s="91">
        <f>INDEX(Starter!A:A,ROW()-1)</f>
        <v>38655</v>
      </c>
      <c r="M34">
        <f>INDEX(SchnittGes5!M:M,MATCH(L34,SchnittGes5!L:L,0))+INDEX(Schnitt6!M:M,MATCH(L34,Schnitt6!L:L,0))</f>
        <v>1940</v>
      </c>
      <c r="N34">
        <f>INDEX(SchnittGes5!N:N,MATCH(L34,SchnittGes5!L:L,0))+INDEX(Schnitt6!N:N,MATCH(L34,Schnitt6!L:L,0))</f>
        <v>10</v>
      </c>
      <c r="O34">
        <f t="shared" si="0"/>
        <v>193.99999996599999</v>
      </c>
      <c r="P34">
        <f t="shared" si="1"/>
        <v>3</v>
      </c>
    </row>
    <row r="35" spans="1:16">
      <c r="A35">
        <f t="shared" si="6"/>
        <v>31</v>
      </c>
      <c r="B35">
        <f t="shared" si="2"/>
        <v>38810</v>
      </c>
      <c r="C35" t="str">
        <f>IFERROR(INDEX(Starter!B:B,MATCH(B35,Starter!A:A,0)),"")</f>
        <v>Vokshi, Finn</v>
      </c>
      <c r="D35" t="str">
        <f>IFERROR(INDEX(Starter!C:C,MATCH(B35,Starter!A:A,0)),"")</f>
        <v>BSC Highroller Rosenheim</v>
      </c>
      <c r="E35" s="78">
        <f t="shared" si="3"/>
        <v>1823</v>
      </c>
      <c r="F35">
        <f t="shared" si="4"/>
        <v>16</v>
      </c>
      <c r="G35" s="153">
        <f t="shared" si="5"/>
        <v>113.937499977</v>
      </c>
      <c r="L35" s="91">
        <f>INDEX(Starter!A:A,ROW()-1)</f>
        <v>38708</v>
      </c>
      <c r="M35">
        <f>INDEX(SchnittGes5!M:M,MATCH(L35,SchnittGes5!L:L,0))+INDEX(Schnitt6!M:M,MATCH(L35,Schnitt6!L:L,0))</f>
        <v>4938</v>
      </c>
      <c r="N35">
        <f>INDEX(SchnittGes5!N:N,MATCH(L35,SchnittGes5!L:L,0))+INDEX(Schnitt6!N:N,MATCH(L35,Schnitt6!L:L,0))</f>
        <v>25</v>
      </c>
      <c r="O35">
        <f t="shared" si="0"/>
        <v>197.51999996500001</v>
      </c>
      <c r="P35">
        <f t="shared" si="1"/>
        <v>1</v>
      </c>
    </row>
    <row r="36" spans="1:16">
      <c r="A36">
        <f t="shared" si="6"/>
        <v>32</v>
      </c>
      <c r="B36">
        <f t="shared" si="2"/>
        <v>38849</v>
      </c>
      <c r="C36" t="str">
        <f>IFERROR(INDEX(Starter!B:B,MATCH(B36,Starter!A:A,0)),"")</f>
        <v>Marker, Lena</v>
      </c>
      <c r="D36" t="str">
        <f>IFERROR(INDEX(Starter!C:C,MATCH(B36,Starter!A:A,0)),"")</f>
        <v>BSC Highroller Rosenheim</v>
      </c>
      <c r="E36" s="78">
        <f t="shared" si="3"/>
        <v>2377</v>
      </c>
      <c r="F36">
        <f t="shared" si="4"/>
        <v>21</v>
      </c>
      <c r="G36" s="153">
        <f t="shared" si="5"/>
        <v>113.19047616547618</v>
      </c>
      <c r="L36" s="91">
        <f>INDEX(Starter!A:A,ROW()-1)</f>
        <v>38327</v>
      </c>
      <c r="M36">
        <f>INDEX(SchnittGes5!M:M,MATCH(L36,SchnittGes5!L:L,0))+INDEX(Schnitt6!M:M,MATCH(L36,Schnitt6!L:L,0))</f>
        <v>3929</v>
      </c>
      <c r="N36">
        <f>INDEX(SchnittGes5!N:N,MATCH(L36,SchnittGes5!L:L,0))+INDEX(Schnitt6!N:N,MATCH(L36,Schnitt6!L:L,0))</f>
        <v>20</v>
      </c>
      <c r="O36">
        <f t="shared" si="0"/>
        <v>196.449999964</v>
      </c>
      <c r="P36">
        <f t="shared" si="1"/>
        <v>2</v>
      </c>
    </row>
    <row r="37" spans="1:16">
      <c r="A37">
        <f t="shared" si="6"/>
        <v>33</v>
      </c>
      <c r="B37">
        <f t="shared" si="2"/>
        <v>38923</v>
      </c>
      <c r="C37" t="str">
        <f>IFERROR(INDEX(Starter!B:B,MATCH(B37,Starter!A:A,0)),"")</f>
        <v>Weinrich, Lena</v>
      </c>
      <c r="D37" t="str">
        <f>IFERROR(INDEX(Starter!C:C,MATCH(B37,Starter!A:A,0)),"")</f>
        <v>BSC Highroller Rosenheim</v>
      </c>
      <c r="E37" s="78">
        <f t="shared" si="3"/>
        <v>1583</v>
      </c>
      <c r="F37">
        <f t="shared" si="4"/>
        <v>14</v>
      </c>
      <c r="G37" s="153">
        <f t="shared" si="5"/>
        <v>113.07142855342858</v>
      </c>
      <c r="L37" s="91">
        <f>INDEX(Starter!A:A,ROW()-1)</f>
        <v>38927</v>
      </c>
      <c r="M37">
        <f>INDEX(SchnittGes5!M:M,MATCH(L37,SchnittGes5!L:L,0))+INDEX(Schnitt6!M:M,MATCH(L37,Schnitt6!L:L,0))</f>
        <v>1963</v>
      </c>
      <c r="N37">
        <f>INDEX(SchnittGes5!N:N,MATCH(L37,SchnittGes5!L:L,0))+INDEX(Schnitt6!N:N,MATCH(L37,Schnitt6!L:L,0))</f>
        <v>17</v>
      </c>
      <c r="O37">
        <f t="shared" si="0"/>
        <v>115.47058819829411</v>
      </c>
      <c r="P37">
        <f t="shared" si="1"/>
        <v>30</v>
      </c>
    </row>
    <row r="38" spans="1:16">
      <c r="A38">
        <f t="shared" si="6"/>
        <v>34</v>
      </c>
      <c r="B38">
        <f t="shared" si="2"/>
        <v>38785</v>
      </c>
      <c r="C38" t="str">
        <f>IFERROR(INDEX(Starter!B:B,MATCH(B38,Starter!A:A,0)),"")</f>
        <v>Mrosek, Laura Maria</v>
      </c>
      <c r="D38" t="str">
        <f>IFERROR(INDEX(Starter!C:C,MATCH(B38,Starter!A:A,0)),"")</f>
        <v>BC EMAX</v>
      </c>
      <c r="E38" s="78">
        <f t="shared" si="3"/>
        <v>896</v>
      </c>
      <c r="F38">
        <f t="shared" si="4"/>
        <v>8</v>
      </c>
      <c r="G38" s="153">
        <f t="shared" si="5"/>
        <v>111.999999997</v>
      </c>
      <c r="L38" s="91">
        <f>INDEX(Starter!A:A,ROW()-1)</f>
        <v>38795</v>
      </c>
      <c r="M38">
        <f>INDEX(SchnittGes5!M:M,MATCH(L38,SchnittGes5!L:L,0))+INDEX(Schnitt6!M:M,MATCH(L38,Schnitt6!L:L,0))</f>
        <v>778</v>
      </c>
      <c r="N38">
        <f>INDEX(SchnittGes5!N:N,MATCH(L38,SchnittGes5!L:L,0))+INDEX(Schnitt6!N:N,MATCH(L38,Schnitt6!L:L,0))</f>
        <v>5</v>
      </c>
      <c r="O38">
        <f t="shared" si="0"/>
        <v>155.599999962</v>
      </c>
      <c r="P38">
        <f t="shared" si="1"/>
        <v>10</v>
      </c>
    </row>
    <row r="39" spans="1:16">
      <c r="A39">
        <f t="shared" si="6"/>
        <v>35</v>
      </c>
      <c r="B39">
        <f t="shared" si="2"/>
        <v>38920</v>
      </c>
      <c r="C39" t="str">
        <f>IFERROR(INDEX(Starter!B:B,MATCH(B39,Starter!A:A,0)),"")</f>
        <v>Schwarzfischer, Leon</v>
      </c>
      <c r="D39" t="str">
        <f>IFERROR(INDEX(Starter!C:C,MATCH(B39,Starter!A:A,0)),"")</f>
        <v>BSC Highroller Rosenheim</v>
      </c>
      <c r="E39" s="78">
        <f t="shared" si="3"/>
        <v>1897</v>
      </c>
      <c r="F39">
        <f t="shared" si="4"/>
        <v>19</v>
      </c>
      <c r="G39" s="153">
        <f t="shared" si="5"/>
        <v>99.842105244157892</v>
      </c>
      <c r="L39" s="91">
        <f>INDEX(Starter!A:A,ROW()-1)</f>
        <v>38674</v>
      </c>
      <c r="M39">
        <f>INDEX(SchnittGes5!M:M,MATCH(L39,SchnittGes5!L:L,0))+INDEX(Schnitt6!M:M,MATCH(L39,Schnitt6!L:L,0))</f>
        <v>717</v>
      </c>
      <c r="N39">
        <f>INDEX(SchnittGes5!N:N,MATCH(L39,SchnittGes5!L:L,0))+INDEX(Schnitt6!N:N,MATCH(L39,Schnitt6!L:L,0))</f>
        <v>5</v>
      </c>
      <c r="O39">
        <f t="shared" si="0"/>
        <v>143.39999996099999</v>
      </c>
      <c r="P39">
        <f t="shared" si="1"/>
        <v>16</v>
      </c>
    </row>
    <row r="40" spans="1:16">
      <c r="A40">
        <f t="shared" si="6"/>
        <v>36</v>
      </c>
      <c r="B40">
        <f t="shared" si="2"/>
        <v>38831</v>
      </c>
      <c r="C40" t="str">
        <f>IFERROR(INDEX(Starter!B:B,MATCH(B40,Starter!A:A,0)),"")</f>
        <v>Thiele, Isabelle</v>
      </c>
      <c r="D40" t="str">
        <f>IFERROR(INDEX(Starter!C:C,MATCH(B40,Starter!A:A,0)),"")</f>
        <v>BSC Highroller Rosenheim</v>
      </c>
      <c r="E40" s="78">
        <f t="shared" si="3"/>
        <v>589</v>
      </c>
      <c r="F40">
        <f t="shared" si="4"/>
        <v>6</v>
      </c>
      <c r="G40" s="153">
        <f t="shared" si="5"/>
        <v>98.166666651666674</v>
      </c>
      <c r="L40" s="91">
        <f>INDEX(Starter!A:A,ROW()-1)</f>
        <v>38894</v>
      </c>
      <c r="M40">
        <f>INDEX(SchnittGes5!M:M,MATCH(L40,SchnittGes5!L:L,0))+INDEX(Schnitt6!M:M,MATCH(L40,Schnitt6!L:L,0))</f>
        <v>713</v>
      </c>
      <c r="N40">
        <f>INDEX(SchnittGes5!N:N,MATCH(L40,SchnittGes5!L:L,0))+INDEX(Schnitt6!N:N,MATCH(L40,Schnitt6!L:L,0))</f>
        <v>5</v>
      </c>
      <c r="O40">
        <f t="shared" si="0"/>
        <v>142.59999995999999</v>
      </c>
      <c r="P40">
        <f t="shared" si="1"/>
        <v>18</v>
      </c>
    </row>
    <row r="41" spans="1:16">
      <c r="A41">
        <f t="shared" si="6"/>
        <v>37</v>
      </c>
      <c r="B41">
        <f t="shared" si="2"/>
        <v>38890</v>
      </c>
      <c r="C41" t="str">
        <f>IFERROR(INDEX(Starter!B:B,MATCH(B41,Starter!A:A,0)),"")</f>
        <v>Hofer, Anja</v>
      </c>
      <c r="D41" t="str">
        <f>IFERROR(INDEX(Starter!C:C,MATCH(B41,Starter!A:A,0)),"")</f>
        <v>BC EMAX</v>
      </c>
      <c r="E41" s="78">
        <f t="shared" si="3"/>
        <v>1855</v>
      </c>
      <c r="F41">
        <f t="shared" si="4"/>
        <v>19</v>
      </c>
      <c r="G41" s="153">
        <f t="shared" si="5"/>
        <v>97.631578945368432</v>
      </c>
      <c r="L41" s="91">
        <f>INDEX(Starter!A:A,ROW()-1)</f>
        <v>38915</v>
      </c>
      <c r="M41">
        <f>INDEX(SchnittGes5!M:M,MATCH(L41,SchnittGes5!L:L,0))+INDEX(Schnitt6!M:M,MATCH(L41,Schnitt6!L:L,0))</f>
        <v>827</v>
      </c>
      <c r="N41">
        <f>INDEX(SchnittGes5!N:N,MATCH(L41,SchnittGes5!L:L,0))+INDEX(Schnitt6!N:N,MATCH(L41,Schnitt6!L:L,0))</f>
        <v>7</v>
      </c>
      <c r="O41">
        <f t="shared" si="0"/>
        <v>118.14285710185713</v>
      </c>
      <c r="P41">
        <f t="shared" si="1"/>
        <v>29</v>
      </c>
    </row>
    <row r="42" spans="1:16">
      <c r="A42">
        <f t="shared" si="6"/>
        <v>38</v>
      </c>
      <c r="B42">
        <f t="shared" si="2"/>
        <v>38941</v>
      </c>
      <c r="C42" t="str">
        <f>IFERROR(INDEX(Starter!B:B,MATCH(B42,Starter!A:A,0)),"")</f>
        <v>Calik, Ilay</v>
      </c>
      <c r="D42" t="str">
        <f>IFERROR(INDEX(Starter!C:C,MATCH(B42,Starter!A:A,0)),"")</f>
        <v>Bowling Jugend Bayern</v>
      </c>
      <c r="E42" s="78">
        <f t="shared" si="3"/>
        <v>580</v>
      </c>
      <c r="F42">
        <f t="shared" si="4"/>
        <v>6</v>
      </c>
      <c r="G42" s="153">
        <f t="shared" si="5"/>
        <v>96.666666620666675</v>
      </c>
      <c r="L42" s="91">
        <f>INDEX(Starter!A:A,ROW()-1)</f>
        <v>38781</v>
      </c>
      <c r="M42">
        <f>INDEX(SchnittGes5!M:M,MATCH(L42,SchnittGes5!L:L,0))+INDEX(Schnitt6!M:M,MATCH(L42,Schnitt6!L:L,0))</f>
        <v>2242</v>
      </c>
      <c r="N42">
        <f>INDEX(SchnittGes5!N:N,MATCH(L42,SchnittGes5!L:L,0))+INDEX(Schnitt6!N:N,MATCH(L42,Schnitt6!L:L,0))</f>
        <v>15</v>
      </c>
      <c r="O42">
        <f t="shared" si="0"/>
        <v>149.46666662466666</v>
      </c>
      <c r="P42">
        <f t="shared" si="1"/>
        <v>14</v>
      </c>
    </row>
    <row r="43" spans="1:16">
      <c r="A43">
        <f t="shared" si="6"/>
        <v>39</v>
      </c>
      <c r="B43">
        <f t="shared" si="2"/>
        <v>38922</v>
      </c>
      <c r="C43" t="str">
        <f>IFERROR(INDEX(Starter!B:B,MATCH(B43,Starter!A:A,0)),"")</f>
        <v>Schimanski, Theodor</v>
      </c>
      <c r="D43" t="str">
        <f>IFERROR(INDEX(Starter!C:C,MATCH(B43,Starter!A:A,0)),"")</f>
        <v>BSC Highroller Rosenheim</v>
      </c>
      <c r="E43" s="78">
        <f t="shared" si="3"/>
        <v>1730</v>
      </c>
      <c r="F43">
        <f t="shared" si="4"/>
        <v>18</v>
      </c>
      <c r="G43" s="153">
        <f t="shared" si="5"/>
        <v>96.111111090111109</v>
      </c>
      <c r="L43" s="91">
        <f>INDEX(Starter!A:A,ROW()-1)</f>
        <v>38940</v>
      </c>
      <c r="M43">
        <f>INDEX(SchnittGes5!M:M,MATCH(L43,SchnittGes5!L:L,0))+INDEX(Schnitt6!M:M,MATCH(L43,Schnitt6!L:L,0))</f>
        <v>742</v>
      </c>
      <c r="N43">
        <f>INDEX(SchnittGes5!N:N,MATCH(L43,SchnittGes5!L:L,0))+INDEX(Schnitt6!N:N,MATCH(L43,Schnitt6!L:L,0))</f>
        <v>6</v>
      </c>
      <c r="O43">
        <f t="shared" si="0"/>
        <v>123.66666662366667</v>
      </c>
      <c r="P43">
        <f t="shared" si="1"/>
        <v>23</v>
      </c>
    </row>
    <row r="44" spans="1:16">
      <c r="A44">
        <f t="shared" si="6"/>
        <v>40</v>
      </c>
      <c r="B44">
        <f t="shared" si="2"/>
        <v>38893</v>
      </c>
      <c r="C44" t="str">
        <f>IFERROR(INDEX(Starter!B:B,MATCH(B44,Starter!A:A,0)),"")</f>
        <v>Rothemund, Louis</v>
      </c>
      <c r="D44" t="str">
        <f>IFERROR(INDEX(Starter!C:C,MATCH(B44,Starter!A:A,0)),"")</f>
        <v>Absolut-Sports.com</v>
      </c>
      <c r="E44" s="78">
        <f t="shared" si="3"/>
        <v>1199</v>
      </c>
      <c r="F44">
        <f t="shared" si="4"/>
        <v>13</v>
      </c>
      <c r="G44" s="153">
        <f t="shared" si="5"/>
        <v>92.230769218769225</v>
      </c>
      <c r="L44" s="91">
        <f>INDEX(Starter!A:A,ROW()-1)</f>
        <v>38942</v>
      </c>
      <c r="M44">
        <f>INDEX(SchnittGes5!M:M,MATCH(L44,SchnittGes5!L:L,0))+INDEX(Schnitt6!M:M,MATCH(L44,Schnitt6!L:L,0))</f>
        <v>2300</v>
      </c>
      <c r="N44">
        <f>INDEX(SchnittGes5!N:N,MATCH(L44,SchnittGes5!L:L,0))+INDEX(Schnitt6!N:N,MATCH(L44,Schnitt6!L:L,0))</f>
        <v>15</v>
      </c>
      <c r="O44">
        <f t="shared" si="0"/>
        <v>153.33333328933335</v>
      </c>
      <c r="P44">
        <f t="shared" si="1"/>
        <v>12</v>
      </c>
    </row>
    <row r="45" spans="1:16">
      <c r="A45">
        <f t="shared" si="6"/>
        <v>41</v>
      </c>
      <c r="B45">
        <f t="shared" si="2"/>
        <v>38921</v>
      </c>
      <c r="C45" t="str">
        <f>IFERROR(INDEX(Starter!B:B,MATCH(B45,Starter!A:A,0)),"")</f>
        <v>Schimanski, Johanna</v>
      </c>
      <c r="D45" t="str">
        <f>IFERROR(INDEX(Starter!C:C,MATCH(B45,Starter!A:A,0)),"")</f>
        <v>BSC Highroller Rosenheim</v>
      </c>
      <c r="E45" s="78">
        <f t="shared" si="3"/>
        <v>1368</v>
      </c>
      <c r="F45">
        <f t="shared" si="4"/>
        <v>18</v>
      </c>
      <c r="G45" s="153">
        <f t="shared" si="5"/>
        <v>75.999999979999998</v>
      </c>
      <c r="L45" s="91">
        <f>INDEX(Starter!A:A,ROW()-1)</f>
        <v>38334</v>
      </c>
      <c r="M45">
        <f>INDEX(SchnittGes5!M:M,MATCH(L45,SchnittGes5!L:L,0))+INDEX(Schnitt6!M:M,MATCH(L45,Schnitt6!L:L,0))</f>
        <v>2849</v>
      </c>
      <c r="N45">
        <f>INDEX(SchnittGes5!N:N,MATCH(L45,SchnittGes5!L:L,0))+INDEX(Schnitt6!N:N,MATCH(L45,Schnitt6!L:L,0))</f>
        <v>15</v>
      </c>
      <c r="O45">
        <f t="shared" si="0"/>
        <v>189.93333328833333</v>
      </c>
      <c r="P45">
        <f t="shared" si="1"/>
        <v>4</v>
      </c>
    </row>
    <row r="46" spans="1:16">
      <c r="A46">
        <f t="shared" si="6"/>
        <v>42</v>
      </c>
      <c r="B46">
        <f t="shared" si="2"/>
        <v>38905</v>
      </c>
      <c r="C46" t="str">
        <f>IFERROR(INDEX(Starter!B:B,MATCH(B46,Starter!A:A,0)),"")</f>
        <v>Laubach, Nina</v>
      </c>
      <c r="D46" t="str">
        <f>IFERROR(INDEX(Starter!C:C,MATCH(B46,Starter!A:A,0)),"")</f>
        <v>BC Berchtesgaden</v>
      </c>
      <c r="E46" s="78">
        <f t="shared" si="3"/>
        <v>971</v>
      </c>
      <c r="F46">
        <f t="shared" si="4"/>
        <v>13</v>
      </c>
      <c r="G46" s="153">
        <f t="shared" si="5"/>
        <v>74.692307660307691</v>
      </c>
      <c r="L46" s="91">
        <f>INDEX(Starter!A:A,ROW()-1)</f>
        <v>38941</v>
      </c>
      <c r="M46">
        <f>INDEX(SchnittGes5!M:M,MATCH(L46,SchnittGes5!L:L,0))+INDEX(Schnitt6!M:M,MATCH(L46,Schnitt6!L:L,0))</f>
        <v>580</v>
      </c>
      <c r="N46">
        <f>INDEX(SchnittGes5!N:N,MATCH(L46,SchnittGes5!L:L,0))+INDEX(Schnitt6!N:N,MATCH(L46,Schnitt6!L:L,0))</f>
        <v>6</v>
      </c>
      <c r="O46">
        <f t="shared" si="0"/>
        <v>96.666666620666675</v>
      </c>
      <c r="P46">
        <f t="shared" si="1"/>
        <v>38</v>
      </c>
    </row>
    <row r="47" spans="1:16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38626</v>
      </c>
      <c r="M47">
        <f>INDEX(SchnittGes5!M:M,MATCH(L47,SchnittGes5!L:L,0))+INDEX(Schnitt6!M:M,MATCH(L47,Schnitt6!L:L,0))</f>
        <v>794</v>
      </c>
      <c r="N47">
        <f>INDEX(SchnittGes5!N:N,MATCH(L47,SchnittGes5!L:L,0))+INDEX(Schnitt6!N:N,MATCH(L47,Schnitt6!L:L,0))</f>
        <v>5</v>
      </c>
      <c r="O47">
        <f t="shared" si="0"/>
        <v>158.79999995300003</v>
      </c>
      <c r="P47">
        <f t="shared" si="1"/>
        <v>7</v>
      </c>
    </row>
    <row r="48" spans="1:16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INDEX(SchnittGes5!M:M,MATCH(L48,SchnittGes5!L:L,0))+INDEX(Schnitt6!M:M,MATCH(L48,Schnitt6!L:L,0))</f>
        <v>0</v>
      </c>
      <c r="N48">
        <f>INDEX(SchnittGes5!N:N,MATCH(L48,SchnittGes5!L:L,0))+INDEX(Schnitt6!N:N,MATCH(L48,Schnitt6!L:L,0))</f>
        <v>0</v>
      </c>
      <c r="O48">
        <f t="shared" si="0"/>
        <v>0</v>
      </c>
      <c r="P48">
        <f t="shared" si="1"/>
        <v>43</v>
      </c>
    </row>
    <row r="49" spans="1:16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INDEX(SchnittGes5!M:M,MATCH(L49,SchnittGes5!L:L,0))+INDEX(Schnitt6!M:M,MATCH(L49,Schnitt6!L:L,0))</f>
        <v>0</v>
      </c>
      <c r="N49">
        <f>INDEX(SchnittGes5!N:N,MATCH(L49,SchnittGes5!L:L,0))+INDEX(Schnitt6!N:N,MATCH(L49,Schnitt6!L:L,0))</f>
        <v>0</v>
      </c>
      <c r="O49">
        <f t="shared" si="0"/>
        <v>0</v>
      </c>
      <c r="P49">
        <f t="shared" si="1"/>
        <v>43</v>
      </c>
    </row>
    <row r="50" spans="1:16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INDEX(SchnittGes5!M:M,MATCH(L50,SchnittGes5!L:L,0))+INDEX(Schnitt6!M:M,MATCH(L50,Schnitt6!L:L,0))</f>
        <v>0</v>
      </c>
      <c r="N50">
        <f>INDEX(SchnittGes5!N:N,MATCH(L50,SchnittGes5!L:L,0))+INDEX(Schnitt6!N:N,MATCH(L50,Schnitt6!L:L,0))</f>
        <v>0</v>
      </c>
      <c r="O50">
        <f t="shared" si="0"/>
        <v>0</v>
      </c>
      <c r="P50">
        <f t="shared" si="1"/>
        <v>43</v>
      </c>
    </row>
    <row r="51" spans="1:16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INDEX(SchnittGes5!M:M,MATCH(L51,SchnittGes5!L:L,0))+INDEX(Schnitt6!M:M,MATCH(L51,Schnitt6!L:L,0))</f>
        <v>0</v>
      </c>
      <c r="N51">
        <f>INDEX(SchnittGes5!N:N,MATCH(L51,SchnittGes5!L:L,0))+INDEX(Schnitt6!N:N,MATCH(L51,Schnitt6!L:L,0))</f>
        <v>0</v>
      </c>
      <c r="O51">
        <f t="shared" si="0"/>
        <v>0</v>
      </c>
      <c r="P51">
        <f t="shared" si="1"/>
        <v>43</v>
      </c>
    </row>
    <row r="52" spans="1:16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INDEX(SchnittGes5!M:M,MATCH(L52,SchnittGes5!L:L,0))+INDEX(Schnitt6!M:M,MATCH(L52,Schnitt6!L:L,0))</f>
        <v>0</v>
      </c>
      <c r="N52">
        <f>INDEX(SchnittGes5!N:N,MATCH(L52,SchnittGes5!L:L,0))+INDEX(Schnitt6!N:N,MATCH(L52,Schnitt6!L:L,0))</f>
        <v>0</v>
      </c>
      <c r="O52">
        <f t="shared" si="0"/>
        <v>0</v>
      </c>
      <c r="P52">
        <f t="shared" si="1"/>
        <v>43</v>
      </c>
    </row>
    <row r="53" spans="1:16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INDEX(SchnittGes5!M:M,MATCH(L53,SchnittGes5!L:L,0))+INDEX(Schnitt6!M:M,MATCH(L53,Schnitt6!L:L,0))</f>
        <v>0</v>
      </c>
      <c r="N53">
        <f>INDEX(SchnittGes5!N:N,MATCH(L53,SchnittGes5!L:L,0))+INDEX(Schnitt6!N:N,MATCH(L53,Schnitt6!L:L,0))</f>
        <v>0</v>
      </c>
      <c r="O53">
        <f t="shared" si="0"/>
        <v>0</v>
      </c>
      <c r="P53">
        <f t="shared" si="1"/>
        <v>43</v>
      </c>
    </row>
    <row r="54" spans="1:16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INDEX(SchnittGes5!M:M,MATCH(L54,SchnittGes5!L:L,0))+INDEX(Schnitt6!M:M,MATCH(L54,Schnitt6!L:L,0))</f>
        <v>0</v>
      </c>
      <c r="N54">
        <f>INDEX(SchnittGes5!N:N,MATCH(L54,SchnittGes5!L:L,0))+INDEX(Schnitt6!N:N,MATCH(L54,Schnitt6!L:L,0))</f>
        <v>0</v>
      </c>
      <c r="O54">
        <f t="shared" si="0"/>
        <v>0</v>
      </c>
      <c r="P54">
        <f t="shared" si="1"/>
        <v>43</v>
      </c>
    </row>
    <row r="55" spans="1:16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INDEX(SchnittGes5!M:M,MATCH(L55,SchnittGes5!L:L,0))+INDEX(Schnitt6!M:M,MATCH(L55,Schnitt6!L:L,0))</f>
        <v>0</v>
      </c>
      <c r="N55">
        <f>INDEX(SchnittGes5!N:N,MATCH(L55,SchnittGes5!L:L,0))+INDEX(Schnitt6!N:N,MATCH(L55,Schnitt6!L:L,0))</f>
        <v>0</v>
      </c>
      <c r="O55">
        <f t="shared" si="0"/>
        <v>0</v>
      </c>
      <c r="P55">
        <f t="shared" si="1"/>
        <v>43</v>
      </c>
    </row>
    <row r="56" spans="1:16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INDEX(SchnittGes5!M:M,MATCH(L56,SchnittGes5!L:L,0))+INDEX(Schnitt6!M:M,MATCH(L56,Schnitt6!L:L,0))</f>
        <v>0</v>
      </c>
      <c r="N56">
        <f>INDEX(SchnittGes5!N:N,MATCH(L56,SchnittGes5!L:L,0))+INDEX(Schnitt6!N:N,MATCH(L56,Schnitt6!L:L,0))</f>
        <v>0</v>
      </c>
      <c r="O56">
        <f t="shared" si="0"/>
        <v>0</v>
      </c>
      <c r="P56">
        <f t="shared" si="1"/>
        <v>43</v>
      </c>
    </row>
    <row r="57" spans="1:16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INDEX(SchnittGes5!M:M,MATCH(L57,SchnittGes5!L:L,0))+INDEX(Schnitt6!M:M,MATCH(L57,Schnitt6!L:L,0))</f>
        <v>0</v>
      </c>
      <c r="N57">
        <f>INDEX(SchnittGes5!N:N,MATCH(L57,SchnittGes5!L:L,0))+INDEX(Schnitt6!N:N,MATCH(L57,Schnitt6!L:L,0))</f>
        <v>0</v>
      </c>
      <c r="O57">
        <f t="shared" si="0"/>
        <v>0</v>
      </c>
      <c r="P57">
        <f t="shared" si="1"/>
        <v>43</v>
      </c>
    </row>
    <row r="58" spans="1:16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INDEX(SchnittGes5!M:M,MATCH(L58,SchnittGes5!L:L,0))+INDEX(Schnitt6!M:M,MATCH(L58,Schnitt6!L:L,0))</f>
        <v>0</v>
      </c>
      <c r="N58">
        <f>INDEX(SchnittGes5!N:N,MATCH(L58,SchnittGes5!L:L,0))+INDEX(Schnitt6!N:N,MATCH(L58,Schnitt6!L:L,0))</f>
        <v>0</v>
      </c>
      <c r="O58">
        <f t="shared" si="0"/>
        <v>0</v>
      </c>
      <c r="P58">
        <f t="shared" si="1"/>
        <v>43</v>
      </c>
    </row>
    <row r="59" spans="1:16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INDEX(SchnittGes5!M:M,MATCH(L59,SchnittGes5!L:L,0))+INDEX(Schnitt6!M:M,MATCH(L59,Schnitt6!L:L,0))</f>
        <v>0</v>
      </c>
      <c r="N59">
        <f>INDEX(SchnittGes5!N:N,MATCH(L59,SchnittGes5!L:L,0))+INDEX(Schnitt6!N:N,MATCH(L59,Schnitt6!L:L,0))</f>
        <v>0</v>
      </c>
      <c r="O59">
        <f t="shared" si="0"/>
        <v>0</v>
      </c>
      <c r="P59">
        <f t="shared" si="1"/>
        <v>43</v>
      </c>
    </row>
    <row r="60" spans="1:16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INDEX(SchnittGes5!M:M,MATCH(L60,SchnittGes5!L:L,0))+INDEX(Schnitt6!M:M,MATCH(L60,Schnitt6!L:L,0))</f>
        <v>0</v>
      </c>
      <c r="N60">
        <f>INDEX(SchnittGes5!N:N,MATCH(L60,SchnittGes5!L:L,0))+INDEX(Schnitt6!N:N,MATCH(L60,Schnitt6!L:L,0))</f>
        <v>0</v>
      </c>
      <c r="O60">
        <f t="shared" si="0"/>
        <v>0</v>
      </c>
      <c r="P60">
        <f t="shared" si="1"/>
        <v>43</v>
      </c>
    </row>
    <row r="61" spans="1:16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INDEX(SchnittGes5!M:M,MATCH(L61,SchnittGes5!L:L,0))+INDEX(Schnitt6!M:M,MATCH(L61,Schnitt6!L:L,0))</f>
        <v>0</v>
      </c>
      <c r="N61">
        <f>INDEX(SchnittGes5!N:N,MATCH(L61,SchnittGes5!L:L,0))+INDEX(Schnitt6!N:N,MATCH(L61,Schnitt6!L:L,0))</f>
        <v>0</v>
      </c>
      <c r="O61">
        <f t="shared" si="0"/>
        <v>0</v>
      </c>
      <c r="P61">
        <f t="shared" si="1"/>
        <v>43</v>
      </c>
    </row>
    <row r="62" spans="1:16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INDEX(SchnittGes5!M:M,MATCH(L62,SchnittGes5!L:L,0))+INDEX(Schnitt6!M:M,MATCH(L62,Schnitt6!L:L,0))</f>
        <v>0</v>
      </c>
      <c r="N62">
        <f>INDEX(SchnittGes5!N:N,MATCH(L62,SchnittGes5!L:L,0))+INDEX(Schnitt6!N:N,MATCH(L62,Schnitt6!L:L,0))</f>
        <v>0</v>
      </c>
      <c r="O62">
        <f t="shared" si="0"/>
        <v>0</v>
      </c>
      <c r="P62">
        <f t="shared" si="1"/>
        <v>43</v>
      </c>
    </row>
    <row r="63" spans="1:16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INDEX(SchnittGes5!M:M,MATCH(L63,SchnittGes5!L:L,0))+INDEX(Schnitt6!M:M,MATCH(L63,Schnitt6!L:L,0))</f>
        <v>0</v>
      </c>
      <c r="N63">
        <f>INDEX(SchnittGes5!N:N,MATCH(L63,SchnittGes5!L:L,0))+INDEX(Schnitt6!N:N,MATCH(L63,Schnitt6!L:L,0))</f>
        <v>0</v>
      </c>
      <c r="O63">
        <f t="shared" si="0"/>
        <v>0</v>
      </c>
      <c r="P63">
        <f t="shared" si="1"/>
        <v>43</v>
      </c>
    </row>
    <row r="64" spans="1:16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INDEX(SchnittGes5!M:M,MATCH(L64,SchnittGes5!L:L,0))+INDEX(Schnitt6!M:M,MATCH(L64,Schnitt6!L:L,0))</f>
        <v>0</v>
      </c>
      <c r="N64">
        <f>INDEX(SchnittGes5!N:N,MATCH(L64,SchnittGes5!L:L,0))+INDEX(Schnitt6!N:N,MATCH(L64,Schnitt6!L:L,0))</f>
        <v>0</v>
      </c>
      <c r="O64">
        <f t="shared" si="0"/>
        <v>0</v>
      </c>
      <c r="P64">
        <f t="shared" si="1"/>
        <v>43</v>
      </c>
    </row>
    <row r="65" spans="1:16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INDEX(SchnittGes5!M:M,MATCH(L65,SchnittGes5!L:L,0))+INDEX(Schnitt6!M:M,MATCH(L65,Schnitt6!L:L,0))</f>
        <v>0</v>
      </c>
      <c r="N65">
        <f>INDEX(SchnittGes5!N:N,MATCH(L65,SchnittGes5!L:L,0))+INDEX(Schnitt6!N:N,MATCH(L65,Schnitt6!L:L,0))</f>
        <v>0</v>
      </c>
      <c r="O65">
        <f t="shared" si="0"/>
        <v>0</v>
      </c>
      <c r="P65">
        <f t="shared" si="1"/>
        <v>43</v>
      </c>
    </row>
    <row r="66" spans="1:16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INDEX(SchnittGes5!M:M,MATCH(L66,SchnittGes5!L:L,0))+INDEX(Schnitt6!M:M,MATCH(L66,Schnitt6!L:L,0))</f>
        <v>0</v>
      </c>
      <c r="N66">
        <f>INDEX(SchnittGes5!N:N,MATCH(L66,SchnittGes5!L:L,0))+INDEX(Schnitt6!N:N,MATCH(L66,Schnitt6!L:L,0))</f>
        <v>0</v>
      </c>
      <c r="O66">
        <f t="shared" ref="O66:O104" si="7">IF(N66=0,0,M66/N66-ROW()/1000000000)</f>
        <v>0</v>
      </c>
      <c r="P66">
        <f t="shared" ref="P66:P104" si="8">RANK(O66,O:O)</f>
        <v>43</v>
      </c>
    </row>
    <row r="67" spans="1:16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INDEX(SchnittGes5!M:M,MATCH(L67,SchnittGes5!L:L,0))+INDEX(Schnitt6!M:M,MATCH(L67,Schnitt6!L:L,0))</f>
        <v>0</v>
      </c>
      <c r="N67">
        <f>INDEX(SchnittGes5!N:N,MATCH(L67,SchnittGes5!L:L,0))+INDEX(Schnitt6!N:N,MATCH(L67,Schnitt6!L:L,0))</f>
        <v>0</v>
      </c>
      <c r="O67">
        <f t="shared" si="7"/>
        <v>0</v>
      </c>
      <c r="P67">
        <f t="shared" si="8"/>
        <v>43</v>
      </c>
    </row>
    <row r="68" spans="1:16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INDEX(SchnittGes5!M:M,MATCH(L68,SchnittGes5!L:L,0))+INDEX(Schnitt6!M:M,MATCH(L68,Schnitt6!L:L,0))</f>
        <v>0</v>
      </c>
      <c r="N68">
        <f>INDEX(SchnittGes5!N:N,MATCH(L68,SchnittGes5!L:L,0))+INDEX(Schnitt6!N:N,MATCH(L68,Schnitt6!L:L,0))</f>
        <v>0</v>
      </c>
      <c r="O68">
        <f t="shared" si="7"/>
        <v>0</v>
      </c>
      <c r="P68">
        <f t="shared" si="8"/>
        <v>43</v>
      </c>
    </row>
    <row r="69" spans="1:16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INDEX(SchnittGes5!M:M,MATCH(L69,SchnittGes5!L:L,0))+INDEX(Schnitt6!M:M,MATCH(L69,Schnitt6!L:L,0))</f>
        <v>0</v>
      </c>
      <c r="N69">
        <f>INDEX(SchnittGes5!N:N,MATCH(L69,SchnittGes5!L:L,0))+INDEX(Schnitt6!N:N,MATCH(L69,Schnitt6!L:L,0))</f>
        <v>0</v>
      </c>
      <c r="O69">
        <f t="shared" si="7"/>
        <v>0</v>
      </c>
      <c r="P69">
        <f t="shared" si="8"/>
        <v>43</v>
      </c>
    </row>
    <row r="70" spans="1:16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INDEX(SchnittGes5!M:M,MATCH(L70,SchnittGes5!L:L,0))+INDEX(Schnitt6!M:M,MATCH(L70,Schnitt6!L:L,0))</f>
        <v>0</v>
      </c>
      <c r="N70">
        <f>INDEX(SchnittGes5!N:N,MATCH(L70,SchnittGes5!L:L,0))+INDEX(Schnitt6!N:N,MATCH(L70,Schnitt6!L:L,0))</f>
        <v>0</v>
      </c>
      <c r="O70">
        <f t="shared" si="7"/>
        <v>0</v>
      </c>
      <c r="P70">
        <f t="shared" si="8"/>
        <v>43</v>
      </c>
    </row>
    <row r="71" spans="1:16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INDEX(SchnittGes5!M:M,MATCH(L71,SchnittGes5!L:L,0))+INDEX(Schnitt6!M:M,MATCH(L71,Schnitt6!L:L,0))</f>
        <v>0</v>
      </c>
      <c r="N71">
        <f>INDEX(SchnittGes5!N:N,MATCH(L71,SchnittGes5!L:L,0))+INDEX(Schnitt6!N:N,MATCH(L71,Schnitt6!L:L,0))</f>
        <v>0</v>
      </c>
      <c r="O71">
        <f t="shared" si="7"/>
        <v>0</v>
      </c>
      <c r="P71">
        <f t="shared" si="8"/>
        <v>43</v>
      </c>
    </row>
    <row r="72" spans="1:16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INDEX(SchnittGes5!M:M,MATCH(L72,SchnittGes5!L:L,0))+INDEX(Schnitt6!M:M,MATCH(L72,Schnitt6!L:L,0))</f>
        <v>0</v>
      </c>
      <c r="N72">
        <f>INDEX(SchnittGes5!N:N,MATCH(L72,SchnittGes5!L:L,0))+INDEX(Schnitt6!N:N,MATCH(L72,Schnitt6!L:L,0))</f>
        <v>0</v>
      </c>
      <c r="O72">
        <f t="shared" si="7"/>
        <v>0</v>
      </c>
      <c r="P72">
        <f t="shared" si="8"/>
        <v>43</v>
      </c>
    </row>
    <row r="73" spans="1:16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INDEX(SchnittGes5!M:M,MATCH(L73,SchnittGes5!L:L,0))+INDEX(Schnitt6!M:M,MATCH(L73,Schnitt6!L:L,0))</f>
        <v>0</v>
      </c>
      <c r="N73">
        <f>INDEX(SchnittGes5!N:N,MATCH(L73,SchnittGes5!L:L,0))+INDEX(Schnitt6!N:N,MATCH(L73,Schnitt6!L:L,0))</f>
        <v>0</v>
      </c>
      <c r="O73">
        <f t="shared" si="7"/>
        <v>0</v>
      </c>
      <c r="P73">
        <f t="shared" si="8"/>
        <v>43</v>
      </c>
    </row>
    <row r="74" spans="1:16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INDEX(SchnittGes5!M:M,MATCH(L74,SchnittGes5!L:L,0))+INDEX(Schnitt6!M:M,MATCH(L74,Schnitt6!L:L,0))</f>
        <v>0</v>
      </c>
      <c r="N74">
        <f>INDEX(SchnittGes5!N:N,MATCH(L74,SchnittGes5!L:L,0))+INDEX(Schnitt6!N:N,MATCH(L74,Schnitt6!L:L,0))</f>
        <v>0</v>
      </c>
      <c r="O74">
        <f t="shared" si="7"/>
        <v>0</v>
      </c>
      <c r="P74">
        <f t="shared" si="8"/>
        <v>43</v>
      </c>
    </row>
    <row r="75" spans="1:16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8"/>
        <v>43</v>
      </c>
    </row>
    <row r="76" spans="1:16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si="7"/>
        <v>0</v>
      </c>
      <c r="P76">
        <f t="shared" si="8"/>
        <v>43</v>
      </c>
    </row>
    <row r="77" spans="1:16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7"/>
        <v>0</v>
      </c>
      <c r="P77">
        <f t="shared" si="8"/>
        <v>43</v>
      </c>
    </row>
    <row r="78" spans="1:16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7"/>
        <v>0</v>
      </c>
      <c r="P78">
        <f t="shared" si="8"/>
        <v>43</v>
      </c>
    </row>
    <row r="79" spans="1:16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7"/>
        <v>0</v>
      </c>
      <c r="P79">
        <f t="shared" si="8"/>
        <v>43</v>
      </c>
    </row>
    <row r="80" spans="1:16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7"/>
        <v>0</v>
      </c>
      <c r="P80">
        <f t="shared" si="8"/>
        <v>43</v>
      </c>
    </row>
    <row r="81" spans="1:16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7"/>
        <v>0</v>
      </c>
      <c r="P81">
        <f t="shared" si="8"/>
        <v>43</v>
      </c>
    </row>
    <row r="82" spans="1:16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7"/>
        <v>0</v>
      </c>
      <c r="P82">
        <f t="shared" si="8"/>
        <v>43</v>
      </c>
    </row>
    <row r="83" spans="1:16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7"/>
        <v>0</v>
      </c>
      <c r="P83">
        <f t="shared" si="8"/>
        <v>43</v>
      </c>
    </row>
    <row r="84" spans="1:16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7"/>
        <v>0</v>
      </c>
      <c r="P84">
        <f t="shared" si="8"/>
        <v>43</v>
      </c>
    </row>
    <row r="85" spans="1:16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7"/>
        <v>0</v>
      </c>
      <c r="P85">
        <f t="shared" si="8"/>
        <v>43</v>
      </c>
    </row>
    <row r="86" spans="1:16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7"/>
        <v>0</v>
      </c>
      <c r="P86">
        <f t="shared" si="8"/>
        <v>43</v>
      </c>
    </row>
    <row r="87" spans="1:16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7"/>
        <v>0</v>
      </c>
      <c r="P87">
        <f t="shared" si="8"/>
        <v>43</v>
      </c>
    </row>
    <row r="88" spans="1:16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7"/>
        <v>0</v>
      </c>
      <c r="P88">
        <f t="shared" si="8"/>
        <v>43</v>
      </c>
    </row>
    <row r="89" spans="1:16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7"/>
        <v>0</v>
      </c>
      <c r="P89">
        <f t="shared" si="8"/>
        <v>43</v>
      </c>
    </row>
    <row r="90" spans="1:16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7"/>
        <v>0</v>
      </c>
      <c r="P90">
        <f t="shared" si="8"/>
        <v>43</v>
      </c>
    </row>
    <row r="91" spans="1:16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7"/>
        <v>0</v>
      </c>
      <c r="P91">
        <f t="shared" si="8"/>
        <v>43</v>
      </c>
    </row>
    <row r="92" spans="1:16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7"/>
        <v>0</v>
      </c>
      <c r="P92">
        <f t="shared" si="8"/>
        <v>43</v>
      </c>
    </row>
    <row r="93" spans="1:16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7"/>
        <v>0</v>
      </c>
      <c r="P93">
        <f t="shared" si="8"/>
        <v>43</v>
      </c>
    </row>
    <row r="94" spans="1:16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7"/>
        <v>0</v>
      </c>
      <c r="P94">
        <f t="shared" si="8"/>
        <v>43</v>
      </c>
    </row>
    <row r="95" spans="1:16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7"/>
        <v>0</v>
      </c>
      <c r="P95">
        <f t="shared" si="8"/>
        <v>43</v>
      </c>
    </row>
    <row r="96" spans="1:16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7"/>
        <v>0</v>
      </c>
      <c r="P96">
        <f t="shared" si="8"/>
        <v>43</v>
      </c>
    </row>
    <row r="97" spans="1:16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7"/>
        <v>0</v>
      </c>
      <c r="P97">
        <f t="shared" si="8"/>
        <v>43</v>
      </c>
    </row>
    <row r="98" spans="1:16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7"/>
        <v>0</v>
      </c>
      <c r="P98">
        <f t="shared" si="8"/>
        <v>43</v>
      </c>
    </row>
    <row r="99" spans="1:16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7"/>
        <v>0</v>
      </c>
      <c r="P99">
        <f t="shared" si="8"/>
        <v>43</v>
      </c>
    </row>
    <row r="100" spans="1:16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7"/>
        <v>0</v>
      </c>
      <c r="P100">
        <f t="shared" si="8"/>
        <v>43</v>
      </c>
    </row>
    <row r="101" spans="1:16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7"/>
        <v>0</v>
      </c>
      <c r="P101">
        <f t="shared" si="8"/>
        <v>43</v>
      </c>
    </row>
    <row r="102" spans="1:16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7"/>
        <v>0</v>
      </c>
      <c r="P102">
        <f t="shared" si="8"/>
        <v>43</v>
      </c>
    </row>
    <row r="103" spans="1:16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7"/>
        <v>0</v>
      </c>
      <c r="P103">
        <f t="shared" si="8"/>
        <v>43</v>
      </c>
    </row>
    <row r="104" spans="1:16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7"/>
        <v>0</v>
      </c>
      <c r="P104">
        <f t="shared" si="8"/>
        <v>43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1"/>
    <pageSetUpPr autoPageBreaks="0"/>
  </sheetPr>
  <dimension ref="A1:V87"/>
  <sheetViews>
    <sheetView showGridLines="0" topLeftCell="A41" zoomScaleNormal="100" workbookViewId="0">
      <selection activeCell="H43" sqref="H43"/>
    </sheetView>
  </sheetViews>
  <sheetFormatPr baseColWidth="10" defaultColWidth="0" defaultRowHeight="13.2"/>
  <cols>
    <col min="1" max="1" width="1.21875" customWidth="1"/>
    <col min="2" max="2" width="3.44140625" customWidth="1"/>
    <col min="3" max="3" width="10.664062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21875" customWidth="1"/>
    <col min="9" max="9" width="2.21875" customWidth="1"/>
    <col min="10" max="10" width="3.21875" customWidth="1"/>
    <col min="11" max="11" width="0.6640625" customWidth="1"/>
    <col min="12" max="12" width="9.33203125" customWidth="1"/>
    <col min="13" max="13" width="2.21875" customWidth="1"/>
    <col min="14" max="14" width="3.21875" customWidth="1"/>
    <col min="15" max="15" width="0.6640625" customWidth="1"/>
    <col min="16" max="16" width="11.21875" customWidth="1"/>
    <col min="17" max="17" width="2.21875" customWidth="1"/>
    <col min="18" max="18" width="3.21875" customWidth="1"/>
    <col min="19" max="19" width="0.6640625" customWidth="1"/>
    <col min="20" max="20" width="11.6640625" customWidth="1"/>
    <col min="21" max="21" width="2.21875" customWidth="1"/>
    <col min="22" max="22" width="1" customWidth="1"/>
    <col min="23" max="16384" width="9.21875" hidden="1"/>
  </cols>
  <sheetData>
    <row r="1" spans="2:21" ht="3.75" customHeight="1"/>
    <row r="2" spans="2:21" ht="24.6">
      <c r="B2" s="378" t="s">
        <v>1824</v>
      </c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</row>
    <row r="3" spans="2:21" ht="11.25" customHeight="1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>
      <c r="P4" s="106"/>
      <c r="Q4" s="379"/>
      <c r="R4" s="379"/>
      <c r="S4" s="379"/>
      <c r="T4" s="379"/>
      <c r="U4" s="379"/>
    </row>
    <row r="5" spans="2:21" ht="11.25" customHeight="1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>
      <c r="B6" s="56"/>
      <c r="C6" s="110" t="s">
        <v>1788</v>
      </c>
      <c r="D6" s="110"/>
      <c r="E6" s="380">
        <f>+Spielzettel7!N2</f>
        <v>7</v>
      </c>
      <c r="F6" s="381"/>
      <c r="P6" s="110" t="s">
        <v>1825</v>
      </c>
      <c r="Q6" s="382">
        <f>+Spielzettel7!M1</f>
        <v>45829</v>
      </c>
      <c r="R6" s="383">
        <v>0</v>
      </c>
      <c r="S6" s="383">
        <v>0</v>
      </c>
      <c r="T6" s="384">
        <v>0</v>
      </c>
      <c r="U6" s="111"/>
    </row>
    <row r="7" spans="2:21">
      <c r="B7" s="56"/>
      <c r="C7" s="110"/>
      <c r="D7" s="110"/>
      <c r="U7" s="111"/>
    </row>
    <row r="8" spans="2:21">
      <c r="B8" s="56"/>
      <c r="C8" s="110" t="s">
        <v>1826</v>
      </c>
      <c r="D8" s="110"/>
      <c r="E8" s="388" t="str">
        <f>+Spielzettel7!E2</f>
        <v>Brunnthal Max Munich</v>
      </c>
      <c r="F8" s="389"/>
      <c r="G8" s="389"/>
      <c r="H8" s="389">
        <v>0</v>
      </c>
      <c r="I8" s="389"/>
      <c r="J8" s="390"/>
      <c r="N8" s="110" t="s">
        <v>1827</v>
      </c>
      <c r="P8" s="388" t="str">
        <f>+Spielzettel7!E1</f>
        <v>Landesliga Jugend</v>
      </c>
      <c r="Q8" s="389"/>
      <c r="R8" s="389"/>
      <c r="S8" s="389"/>
      <c r="T8" s="390"/>
      <c r="U8" s="111"/>
    </row>
    <row r="9" spans="2:21" ht="11.25" customHeight="1" thickBot="1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3.8" thickBot="1"/>
    <row r="11" spans="2:21" s="2" customFormat="1" ht="30" customHeight="1" thickBot="1">
      <c r="B11" s="115"/>
      <c r="C11" s="372" t="s">
        <v>1828</v>
      </c>
      <c r="D11" s="372"/>
      <c r="E11" s="372"/>
      <c r="F11" s="372"/>
      <c r="G11" s="372"/>
      <c r="H11" s="372"/>
      <c r="I11" s="372"/>
      <c r="J11" s="372"/>
      <c r="K11" s="372"/>
      <c r="L11" s="372"/>
      <c r="M11" s="372"/>
      <c r="N11" s="372"/>
      <c r="O11" s="372"/>
      <c r="P11" s="372"/>
      <c r="Q11" s="372"/>
      <c r="R11" s="372"/>
      <c r="S11" s="372"/>
      <c r="T11" s="372"/>
      <c r="U11" s="116"/>
    </row>
    <row r="12" spans="2:21" ht="21.75" customHeight="1">
      <c r="B12" s="117"/>
      <c r="C12" s="373" t="s">
        <v>1829</v>
      </c>
      <c r="D12" s="373"/>
      <c r="E12" s="373"/>
      <c r="F12" s="373"/>
      <c r="G12" s="373"/>
      <c r="H12" s="373"/>
      <c r="I12" s="373"/>
      <c r="J12" s="373"/>
      <c r="L12" s="118"/>
      <c r="M12" s="119" t="s">
        <v>1830</v>
      </c>
      <c r="P12" s="89"/>
      <c r="U12" s="111"/>
    </row>
    <row r="13" spans="2:21" ht="6.75" customHeight="1" thickBot="1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>
      <c r="B14" s="56"/>
      <c r="U14" s="111"/>
    </row>
    <row r="15" spans="2:21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>
      <c r="B16" s="56"/>
      <c r="C16" s="121"/>
      <c r="D16" s="121"/>
      <c r="F16" s="7"/>
      <c r="J16" s="86"/>
      <c r="U16" s="111"/>
    </row>
    <row r="17" spans="2:21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4.950000000000003" customHeight="1">
      <c r="B19" s="56"/>
      <c r="C19" s="366"/>
      <c r="D19" s="367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4"/>
      <c r="T19" s="375"/>
      <c r="U19" s="111"/>
    </row>
    <row r="20" spans="2:21" ht="12.75" customHeight="1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>
      <c r="B21" s="56"/>
      <c r="C21" s="121" t="s">
        <v>1836</v>
      </c>
      <c r="D21" s="121"/>
      <c r="U21" s="111"/>
    </row>
    <row r="22" spans="2:21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4.950000000000003" customHeight="1">
      <c r="B24" s="56"/>
      <c r="C24" s="366"/>
      <c r="D24" s="367"/>
      <c r="E24" s="367"/>
      <c r="F24" s="367"/>
      <c r="G24" s="367"/>
      <c r="H24" s="367"/>
      <c r="I24" s="367"/>
      <c r="J24" s="367"/>
      <c r="K24" s="367"/>
      <c r="L24" s="367"/>
      <c r="M24" s="367"/>
      <c r="N24" s="367"/>
      <c r="O24" s="367"/>
      <c r="P24" s="367"/>
      <c r="Q24" s="367"/>
      <c r="R24" s="367"/>
      <c r="S24" s="367"/>
      <c r="T24" s="368"/>
      <c r="U24" s="111"/>
    </row>
    <row r="25" spans="2:21" ht="12.75" hidden="1" customHeight="1">
      <c r="B25" s="56"/>
      <c r="C25" s="127"/>
      <c r="D25" s="127"/>
      <c r="U25" s="111"/>
    </row>
    <row r="26" spans="2:21" ht="13.5" hidden="1" customHeight="1">
      <c r="B26" s="56"/>
      <c r="C26" s="121" t="s">
        <v>1838</v>
      </c>
      <c r="D26" s="121"/>
      <c r="U26" s="111"/>
    </row>
    <row r="27" spans="2:21" hidden="1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4.950000000000003" hidden="1" customHeight="1">
      <c r="B29" s="56"/>
      <c r="C29" s="366"/>
      <c r="D29" s="367"/>
      <c r="E29" s="367"/>
      <c r="F29" s="367"/>
      <c r="G29" s="367"/>
      <c r="H29" s="367"/>
      <c r="I29" s="367"/>
      <c r="J29" s="367"/>
      <c r="K29" s="367"/>
      <c r="L29" s="367"/>
      <c r="M29" s="367"/>
      <c r="N29" s="367"/>
      <c r="O29" s="367"/>
      <c r="P29" s="367"/>
      <c r="Q29" s="367"/>
      <c r="R29" s="367"/>
      <c r="S29" s="367"/>
      <c r="T29" s="368"/>
      <c r="U29" s="111"/>
    </row>
    <row r="30" spans="2:21" ht="12.75" customHeight="1" thickBot="1">
      <c r="B30" s="56"/>
      <c r="C30" s="127"/>
      <c r="D30" s="127"/>
      <c r="P30" s="128"/>
      <c r="U30" s="111"/>
    </row>
    <row r="31" spans="2:21" s="133" customFormat="1" ht="21.75" customHeight="1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>
      <c r="B33" s="135"/>
      <c r="U33" s="111"/>
    </row>
    <row r="34" spans="2:21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>
      <c r="B35" s="56"/>
      <c r="C35" s="121" t="s">
        <v>1843</v>
      </c>
      <c r="D35" s="121"/>
      <c r="F35" s="376"/>
      <c r="G35" s="376"/>
      <c r="H35" s="121"/>
      <c r="U35" s="111"/>
    </row>
    <row r="36" spans="2:21" ht="17.25" customHeight="1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4.950000000000003" customHeight="1">
      <c r="B37" s="56"/>
      <c r="C37" s="366"/>
      <c r="D37" s="367"/>
      <c r="E37" s="367"/>
      <c r="F37" s="367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8"/>
      <c r="U37" s="111"/>
    </row>
    <row r="38" spans="2:21">
      <c r="B38" s="56"/>
      <c r="C38" s="127"/>
      <c r="D38" s="127"/>
      <c r="U38" s="111"/>
    </row>
    <row r="39" spans="2:21" ht="6.75" customHeight="1">
      <c r="B39" s="56"/>
      <c r="C39" s="127"/>
      <c r="D39" s="127"/>
      <c r="U39" s="111"/>
    </row>
    <row r="40" spans="2:21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>
      <c r="B41" s="56"/>
      <c r="C41" s="137" t="s">
        <v>1849</v>
      </c>
      <c r="D41" s="137"/>
      <c r="F41" s="377"/>
      <c r="G41" s="377"/>
      <c r="H41" s="377"/>
      <c r="U41" s="111"/>
    </row>
    <row r="42" spans="2:21" ht="11.25" customHeight="1" thickBot="1">
      <c r="B42" s="56"/>
      <c r="U42" s="111"/>
    </row>
    <row r="43" spans="2:21" s="133" customFormat="1" ht="21.75" customHeight="1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>
      <c r="B45" s="135"/>
      <c r="U45" s="111"/>
    </row>
    <row r="46" spans="2:21" ht="13.8">
      <c r="B46" s="138" t="s">
        <v>1850</v>
      </c>
      <c r="U46" s="111"/>
    </row>
    <row r="47" spans="2:21" ht="9" customHeight="1">
      <c r="B47" s="56"/>
      <c r="U47" s="111"/>
    </row>
    <row r="48" spans="2:21" ht="80.25" customHeight="1">
      <c r="B48" s="56"/>
      <c r="C48" s="366"/>
      <c r="D48" s="367"/>
      <c r="E48" s="367"/>
      <c r="F48" s="367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8"/>
      <c r="U48" s="111"/>
    </row>
    <row r="49" spans="2:21" ht="11.25" customHeight="1" thickBot="1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3.8" thickBot="1"/>
    <row r="51" spans="2:21" s="2" customFormat="1" ht="30" customHeight="1" thickBot="1">
      <c r="B51" s="115"/>
      <c r="C51" s="372" t="s">
        <v>1851</v>
      </c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O51" s="372"/>
      <c r="P51" s="372"/>
      <c r="Q51" s="372"/>
      <c r="R51" s="372"/>
      <c r="S51" s="372"/>
      <c r="T51" s="372"/>
      <c r="U51" s="116"/>
    </row>
    <row r="52" spans="2:21" ht="9" customHeight="1">
      <c r="B52" s="56"/>
      <c r="U52" s="111"/>
    </row>
    <row r="53" spans="2:21" ht="13.8">
      <c r="B53" s="138"/>
      <c r="C53" s="89" t="s">
        <v>1852</v>
      </c>
      <c r="D53" s="89"/>
      <c r="U53" s="111"/>
    </row>
    <row r="54" spans="2:21" ht="9" customHeight="1">
      <c r="B54" s="56"/>
      <c r="U54" s="111"/>
    </row>
    <row r="55" spans="2:21" ht="36.75" customHeight="1">
      <c r="B55" s="56"/>
      <c r="C55" s="366"/>
      <c r="D55" s="367"/>
      <c r="E55" s="367"/>
      <c r="F55" s="367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8"/>
      <c r="U55" s="111"/>
    </row>
    <row r="56" spans="2:21" ht="12.75" customHeight="1">
      <c r="B56" s="56"/>
      <c r="C56" s="127"/>
      <c r="D56" s="127"/>
      <c r="U56" s="111"/>
    </row>
    <row r="57" spans="2:21" ht="12.75" customHeight="1">
      <c r="B57" s="138"/>
      <c r="C57" s="89" t="s">
        <v>1853</v>
      </c>
      <c r="D57" s="89"/>
      <c r="U57" s="111"/>
    </row>
    <row r="58" spans="2:21" ht="6.75" customHeight="1">
      <c r="B58" s="56"/>
      <c r="U58" s="111"/>
    </row>
    <row r="59" spans="2:21" ht="36.75" customHeight="1">
      <c r="B59" s="56"/>
      <c r="C59" s="366"/>
      <c r="D59" s="367"/>
      <c r="E59" s="367"/>
      <c r="F59" s="367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8"/>
      <c r="U59" s="111"/>
    </row>
    <row r="60" spans="2:21" ht="12.75" customHeight="1">
      <c r="B60" s="56"/>
      <c r="C60" s="127"/>
      <c r="D60" s="127"/>
      <c r="U60" s="111"/>
    </row>
    <row r="61" spans="2:21" ht="12.75" customHeight="1">
      <c r="B61" s="138"/>
      <c r="C61" s="89" t="s">
        <v>1854</v>
      </c>
      <c r="D61" s="89"/>
      <c r="U61" s="111"/>
    </row>
    <row r="62" spans="2:21" ht="6.75" customHeight="1">
      <c r="B62" s="56"/>
      <c r="U62" s="111"/>
    </row>
    <row r="63" spans="2:21" ht="36.75" customHeight="1">
      <c r="B63" s="56"/>
      <c r="C63" s="366"/>
      <c r="D63" s="367"/>
      <c r="E63" s="367"/>
      <c r="F63" s="367"/>
      <c r="G63" s="367"/>
      <c r="H63" s="367"/>
      <c r="I63" s="36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8"/>
      <c r="U63" s="111"/>
    </row>
    <row r="64" spans="2:21" ht="11.25" customHeight="1">
      <c r="B64" s="56"/>
      <c r="C64" s="127"/>
      <c r="D64" s="127"/>
      <c r="U64" s="111"/>
    </row>
    <row r="65" spans="1:21" ht="13.5" customHeight="1">
      <c r="B65" s="138"/>
      <c r="C65" s="89" t="s">
        <v>1855</v>
      </c>
      <c r="D65" s="89"/>
      <c r="U65" s="111"/>
    </row>
    <row r="66" spans="1:21" ht="6.75" customHeight="1">
      <c r="B66" s="56"/>
      <c r="U66" s="111"/>
    </row>
    <row r="67" spans="1:21" ht="36.75" customHeight="1">
      <c r="B67" s="56"/>
      <c r="C67" s="366"/>
      <c r="D67" s="367"/>
      <c r="E67" s="367"/>
      <c r="F67" s="367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8"/>
      <c r="U67" s="111"/>
    </row>
    <row r="68" spans="1:21" ht="11.25" customHeight="1">
      <c r="B68" s="56"/>
      <c r="C68" s="127"/>
      <c r="D68" s="127"/>
      <c r="U68" s="111"/>
    </row>
    <row r="69" spans="1:21" ht="13.8">
      <c r="B69" s="138"/>
      <c r="C69" s="89" t="s">
        <v>1856</v>
      </c>
      <c r="D69" s="89"/>
      <c r="U69" s="111"/>
    </row>
    <row r="70" spans="1:21" ht="6" customHeight="1">
      <c r="B70" s="56"/>
      <c r="U70" s="111"/>
    </row>
    <row r="71" spans="1:21" ht="36.75" customHeight="1">
      <c r="B71" s="56"/>
      <c r="C71" s="366"/>
      <c r="D71" s="367"/>
      <c r="E71" s="367"/>
      <c r="F71" s="367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8"/>
      <c r="U71" s="111"/>
    </row>
    <row r="72" spans="1:21" ht="12.75" customHeight="1">
      <c r="B72" s="56"/>
      <c r="C72" s="127"/>
      <c r="D72" s="127"/>
      <c r="U72" s="111"/>
    </row>
    <row r="73" spans="1:21" ht="12.75" customHeight="1">
      <c r="B73" s="138"/>
      <c r="C73" s="89" t="s">
        <v>1857</v>
      </c>
      <c r="D73" s="89"/>
      <c r="U73" s="111"/>
    </row>
    <row r="74" spans="1:21" ht="6.75" customHeight="1">
      <c r="B74" s="56"/>
      <c r="U74" s="111"/>
    </row>
    <row r="75" spans="1:21" ht="36.75" customHeight="1">
      <c r="B75" s="56"/>
      <c r="C75" s="366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8"/>
      <c r="U75" s="111"/>
    </row>
    <row r="76" spans="1:21" ht="11.25" customHeight="1" thickBot="1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>
      <c r="B78" s="135"/>
      <c r="U78" s="111"/>
    </row>
    <row r="79" spans="1:21" s="53" customFormat="1" ht="18" customHeight="1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>
      <c r="B80" s="56"/>
      <c r="P80" s="53"/>
      <c r="Q80" s="53"/>
      <c r="U80" s="111"/>
    </row>
    <row r="81" spans="2:21" ht="6" customHeight="1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4.950000000000003" customHeight="1">
      <c r="B82" s="56"/>
      <c r="C82" s="369"/>
      <c r="D82" s="370"/>
      <c r="E82" s="370"/>
      <c r="F82" s="370"/>
      <c r="G82" s="370"/>
      <c r="H82" s="370"/>
      <c r="I82" s="37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1"/>
      <c r="U82" s="111"/>
    </row>
    <row r="83" spans="2:21" ht="11.25" customHeight="1" thickBot="1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/>
    <row r="85" spans="2:21" ht="17.25" customHeight="1"/>
    <row r="86" spans="2:21">
      <c r="B86" s="89" t="s">
        <v>1862</v>
      </c>
      <c r="D86" s="466"/>
      <c r="E86" s="365"/>
      <c r="F86" s="365"/>
      <c r="G86" s="365"/>
      <c r="H86" s="365"/>
      <c r="I86" s="365"/>
      <c r="J86" s="365"/>
      <c r="K86" s="365"/>
      <c r="L86" s="365"/>
      <c r="M86" s="365"/>
      <c r="P86" s="365"/>
      <c r="Q86" s="365"/>
      <c r="R86" s="365"/>
      <c r="S86" s="365"/>
      <c r="T86" s="365"/>
      <c r="U86" s="365"/>
    </row>
    <row r="87" spans="2:21">
      <c r="C87" s="143"/>
      <c r="D87" s="53" t="s">
        <v>1860</v>
      </c>
      <c r="P87" s="144" t="s">
        <v>1861</v>
      </c>
    </row>
  </sheetData>
  <sheetProtection algorithmName="SHA-512" hashValue="vXCOC9COp33cgi5KEc78sy3915e0U0VznX30415o1Zxhf5fm7bfelB4QjaA4oepP7+8GKD6bg/qaAr7El7Esvw==" saltValue="4mBgCM8bSHI5qz/dnChYWg==" spinCount="100000" sheet="1" objects="1" scenarios="1" formatCells="0" formatColumns="0" formatRows="0"/>
  <mergeCells count="25">
    <mergeCell ref="C55:T55"/>
    <mergeCell ref="C82:T82"/>
    <mergeCell ref="F35:G35"/>
    <mergeCell ref="C37:T37"/>
    <mergeCell ref="F41:H41"/>
    <mergeCell ref="C48:T48"/>
    <mergeCell ref="C51:T51"/>
    <mergeCell ref="C11:T11"/>
    <mergeCell ref="C12:J12"/>
    <mergeCell ref="C19:T19"/>
    <mergeCell ref="C24:T24"/>
    <mergeCell ref="C29:T29"/>
    <mergeCell ref="B2:U2"/>
    <mergeCell ref="Q4:U4"/>
    <mergeCell ref="E6:F6"/>
    <mergeCell ref="Q6:T6"/>
    <mergeCell ref="E8:J8"/>
    <mergeCell ref="P8:T8"/>
    <mergeCell ref="D86:M86"/>
    <mergeCell ref="P86:U86"/>
    <mergeCell ref="C59:T59"/>
    <mergeCell ref="C63:T63"/>
    <mergeCell ref="C67:T67"/>
    <mergeCell ref="C71:T71"/>
    <mergeCell ref="C75:T75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0000"/>
  </sheetPr>
  <dimension ref="A1:AD200"/>
  <sheetViews>
    <sheetView view="pageBreakPreview" zoomScaleNormal="100" zoomScaleSheetLayoutView="100" workbookViewId="0">
      <selection activeCell="E8" sqref="E7:J9"/>
    </sheetView>
  </sheetViews>
  <sheetFormatPr baseColWidth="10" defaultRowHeight="13.2"/>
  <cols>
    <col min="1" max="1" width="4.44140625" customWidth="1"/>
    <col min="2" max="2" width="20.6640625" customWidth="1"/>
    <col min="3" max="3" width="13.6640625" customWidth="1"/>
    <col min="4" max="4" width="7.4414062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4414062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6">
        <f>Schlüssel!EC$1</f>
        <v>45829</v>
      </c>
      <c r="N1" s="406"/>
      <c r="O1" s="406"/>
      <c r="AD1" s="76" t="s">
        <v>1814</v>
      </c>
    </row>
    <row r="2" spans="1:30" ht="17.25" customHeight="1" thickBot="1">
      <c r="A2" s="53"/>
      <c r="B2" s="54">
        <v>1</v>
      </c>
      <c r="C2" s="35" t="s">
        <v>1787</v>
      </c>
      <c r="D2" s="35"/>
      <c r="E2" s="72" t="str">
        <f>Schlüssel!$DS$2</f>
        <v>Brunnthal Max Munich</v>
      </c>
      <c r="G2" s="66"/>
      <c r="H2" s="66"/>
      <c r="I2" s="66"/>
      <c r="J2" s="66"/>
      <c r="L2" s="66"/>
      <c r="M2" s="34" t="s">
        <v>1785</v>
      </c>
      <c r="N2" s="38">
        <v>7</v>
      </c>
      <c r="O2" s="33"/>
      <c r="AD2" s="77">
        <v>1</v>
      </c>
    </row>
    <row r="3" spans="1:30" ht="15.75" customHeight="1" thickBot="1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3.8" thickBot="1">
      <c r="A4" s="6"/>
      <c r="B4" s="7"/>
      <c r="C4" s="43"/>
      <c r="D4" s="43"/>
      <c r="E4" s="47" t="s">
        <v>10</v>
      </c>
      <c r="F4" s="7">
        <f>VLOOKUP(B2,Schlüssel!$A$5:$EL$12,133)</f>
        <v>3</v>
      </c>
      <c r="G4" s="51" t="s">
        <v>10</v>
      </c>
      <c r="H4" s="7">
        <f>VLOOKUP(B2,Schlüssel!$A$5:$EL$12,134)</f>
        <v>2</v>
      </c>
      <c r="I4" s="51" t="s">
        <v>10</v>
      </c>
      <c r="J4" s="7">
        <f>VLOOKUP(B2,Schlüssel!$A$5:$EL$12,135)</f>
        <v>8</v>
      </c>
      <c r="K4" s="51" t="s">
        <v>10</v>
      </c>
      <c r="L4" s="7">
        <f>VLOOKUP(B2,Schlüssel!$A$5:$EL$12,136)</f>
        <v>4</v>
      </c>
      <c r="M4" s="51" t="s">
        <v>10</v>
      </c>
      <c r="N4" s="57">
        <f>VLOOKUP(B2,Schlüssel!$A$5:$EL$12,137)</f>
        <v>6</v>
      </c>
    </row>
    <row r="5" spans="1:30" ht="20.25" customHeight="1">
      <c r="B5" s="44" t="s">
        <v>1</v>
      </c>
      <c r="C5" s="45"/>
      <c r="D5" s="45"/>
      <c r="E5" s="407" t="s">
        <v>1793</v>
      </c>
      <c r="F5" s="408"/>
      <c r="G5" s="407" t="s">
        <v>1794</v>
      </c>
      <c r="H5" s="408"/>
      <c r="I5" s="407" t="s">
        <v>1795</v>
      </c>
      <c r="J5" s="408"/>
      <c r="K5" s="407" t="s">
        <v>1796</v>
      </c>
      <c r="L5" s="408"/>
      <c r="M5" s="407" t="s">
        <v>1797</v>
      </c>
      <c r="N5" s="408"/>
      <c r="O5" s="409" t="s">
        <v>1792</v>
      </c>
      <c r="P5" s="410"/>
    </row>
    <row r="6" spans="1:30" ht="15" customHeight="1" thickBot="1">
      <c r="B6" s="9" t="s">
        <v>1798</v>
      </c>
      <c r="C6" s="48" t="s">
        <v>1799</v>
      </c>
      <c r="D6" s="48" t="s">
        <v>2264</v>
      </c>
      <c r="E6" s="464" t="s">
        <v>1800</v>
      </c>
      <c r="F6" s="465" t="s">
        <v>1801</v>
      </c>
      <c r="G6" s="464" t="s">
        <v>1800</v>
      </c>
      <c r="H6" s="465" t="s">
        <v>1801</v>
      </c>
      <c r="I6" s="464" t="s">
        <v>1800</v>
      </c>
      <c r="J6" s="465" t="s">
        <v>1801</v>
      </c>
      <c r="K6" s="464" t="s">
        <v>1800</v>
      </c>
      <c r="L6" s="465" t="s">
        <v>1801</v>
      </c>
      <c r="M6" s="464" t="s">
        <v>1800</v>
      </c>
      <c r="N6" s="465" t="s">
        <v>1801</v>
      </c>
      <c r="O6" s="464" t="s">
        <v>1800</v>
      </c>
      <c r="P6" s="465" t="s">
        <v>1801</v>
      </c>
    </row>
    <row r="7" spans="1:30" ht="16.95" customHeight="1">
      <c r="A7" s="403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58"/>
      <c r="F7" s="459"/>
      <c r="G7" s="458"/>
      <c r="H7" s="459"/>
      <c r="I7" s="458"/>
      <c r="J7" s="459"/>
      <c r="K7" s="458"/>
      <c r="L7" s="459"/>
      <c r="M7" s="458"/>
      <c r="N7" s="459"/>
      <c r="O7" s="458"/>
      <c r="P7" s="459"/>
    </row>
    <row r="8" spans="1:30" ht="16.95" customHeight="1">
      <c r="A8" s="404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60"/>
      <c r="F8" s="461"/>
      <c r="G8" s="460"/>
      <c r="H8" s="461"/>
      <c r="I8" s="460"/>
      <c r="J8" s="461"/>
      <c r="K8" s="460"/>
      <c r="L8" s="461"/>
      <c r="M8" s="460"/>
      <c r="N8" s="461"/>
      <c r="O8" s="460"/>
      <c r="P8" s="461"/>
    </row>
    <row r="9" spans="1:30" ht="16.95" customHeight="1" thickBot="1">
      <c r="A9" s="405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62"/>
      <c r="F9" s="463"/>
      <c r="G9" s="462"/>
      <c r="H9" s="463"/>
      <c r="I9" s="462"/>
      <c r="J9" s="463"/>
      <c r="K9" s="462"/>
      <c r="L9" s="463"/>
      <c r="M9" s="462"/>
      <c r="N9" s="463"/>
      <c r="O9" s="462"/>
      <c r="P9" s="463"/>
    </row>
    <row r="10" spans="1:30" ht="16.95" customHeight="1">
      <c r="A10" s="403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58"/>
      <c r="F10" s="459"/>
      <c r="G10" s="458"/>
      <c r="H10" s="459"/>
      <c r="I10" s="458"/>
      <c r="J10" s="459"/>
      <c r="K10" s="458"/>
      <c r="L10" s="459"/>
      <c r="M10" s="458"/>
      <c r="N10" s="459"/>
      <c r="O10" s="458"/>
      <c r="P10" s="459"/>
    </row>
    <row r="11" spans="1:30" ht="16.95" customHeight="1">
      <c r="A11" s="404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60"/>
      <c r="F11" s="461"/>
      <c r="G11" s="460"/>
      <c r="H11" s="461"/>
      <c r="I11" s="460"/>
      <c r="J11" s="461"/>
      <c r="K11" s="460"/>
      <c r="L11" s="461"/>
      <c r="M11" s="460"/>
      <c r="N11" s="461"/>
      <c r="O11" s="460"/>
      <c r="P11" s="461"/>
    </row>
    <row r="12" spans="1:30" ht="16.95" customHeight="1" thickBot="1">
      <c r="A12" s="405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62"/>
      <c r="F12" s="463"/>
      <c r="G12" s="462"/>
      <c r="H12" s="463"/>
      <c r="I12" s="462"/>
      <c r="J12" s="463"/>
      <c r="K12" s="462"/>
      <c r="L12" s="463"/>
      <c r="M12" s="462"/>
      <c r="N12" s="463"/>
      <c r="O12" s="462"/>
      <c r="P12" s="463"/>
    </row>
    <row r="13" spans="1:30" ht="16.95" customHeight="1">
      <c r="A13" s="403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58"/>
      <c r="F13" s="459"/>
      <c r="G13" s="458"/>
      <c r="H13" s="459"/>
      <c r="I13" s="458"/>
      <c r="J13" s="459"/>
      <c r="K13" s="458"/>
      <c r="L13" s="459"/>
      <c r="M13" s="458"/>
      <c r="N13" s="459"/>
      <c r="O13" s="458"/>
      <c r="P13" s="459"/>
    </row>
    <row r="14" spans="1:30" ht="16.95" customHeight="1">
      <c r="A14" s="404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60"/>
      <c r="F14" s="461"/>
      <c r="G14" s="460"/>
      <c r="H14" s="461"/>
      <c r="I14" s="460"/>
      <c r="J14" s="461"/>
      <c r="K14" s="460"/>
      <c r="L14" s="461"/>
      <c r="M14" s="460"/>
      <c r="N14" s="461"/>
      <c r="O14" s="460"/>
      <c r="P14" s="461"/>
    </row>
    <row r="15" spans="1:30" ht="16.95" customHeight="1" thickBot="1">
      <c r="A15" s="405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62"/>
      <c r="F15" s="463"/>
      <c r="G15" s="462"/>
      <c r="H15" s="463"/>
      <c r="I15" s="462"/>
      <c r="J15" s="463"/>
      <c r="K15" s="462"/>
      <c r="L15" s="463"/>
      <c r="M15" s="462"/>
      <c r="N15" s="463"/>
      <c r="O15" s="462"/>
      <c r="P15" s="463"/>
    </row>
    <row r="16" spans="1:30" ht="27.75" customHeight="1" thickBot="1">
      <c r="B16" s="11"/>
      <c r="C16" s="25"/>
      <c r="D16" s="204"/>
      <c r="E16" s="456"/>
      <c r="F16" s="457"/>
      <c r="G16" s="456"/>
      <c r="H16" s="457"/>
      <c r="I16" s="456"/>
      <c r="J16" s="457"/>
      <c r="K16" s="456"/>
      <c r="L16" s="457"/>
      <c r="M16" s="456"/>
      <c r="N16" s="457"/>
      <c r="O16" s="456"/>
      <c r="P16" s="457"/>
    </row>
    <row r="17" spans="1:30" ht="24" customHeight="1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>
      <c r="B19" s="211" t="s">
        <v>1790</v>
      </c>
      <c r="C19" s="42" t="s">
        <v>1791</v>
      </c>
      <c r="D19" s="42"/>
      <c r="E19" s="398">
        <f>VLOOKUP(B2,Schlüssel!$A$5:$EL$12,123)</f>
        <v>6</v>
      </c>
      <c r="F19" s="398"/>
      <c r="G19" s="398">
        <f>VLOOKUP(B2,Schlüssel!$A$5:$EL$12,124)</f>
        <v>2</v>
      </c>
      <c r="H19" s="398"/>
      <c r="I19" s="398">
        <f>VLOOKUP(B2,Schlüssel!$A$5:$EL$12,125)</f>
        <v>3</v>
      </c>
      <c r="J19" s="398"/>
      <c r="K19" s="398">
        <f>VLOOKUP(B2,Schlüssel!$A$5:$EL$12,126)</f>
        <v>8</v>
      </c>
      <c r="L19" s="398"/>
      <c r="M19" s="398">
        <f>VLOOKUP(B2,Schlüssel!$A$5:$EL$12,127)</f>
        <v>5</v>
      </c>
      <c r="N19" s="398"/>
      <c r="O19" s="399"/>
      <c r="P19" s="399"/>
    </row>
    <row r="20" spans="1:30" ht="28.5" customHeight="1">
      <c r="B20" s="4"/>
      <c r="C20" s="1"/>
      <c r="D20" s="1"/>
      <c r="E20" s="395" t="str">
        <f>VLOOKUP(E19,Schlüssel!$A$5:$K$12,2)</f>
        <v>Bowling Jugend Bayern 1</v>
      </c>
      <c r="F20" s="396"/>
      <c r="G20" s="395" t="str">
        <f>VLOOKUP(G19,Schlüssel!$A$5:$K$12,2)</f>
        <v>Highroller Rosenheim 1</v>
      </c>
      <c r="H20" s="396"/>
      <c r="I20" s="395" t="str">
        <f>VLOOKUP(I19,Schlüssel!$A$5:$K$12,2)</f>
        <v>Highroller Rosenheim 2</v>
      </c>
      <c r="J20" s="396"/>
      <c r="K20" s="395" t="str">
        <f>VLOOKUP(K19,Schlüssel!$A$5:$K$12,2)</f>
        <v>EMAX 1</v>
      </c>
      <c r="L20" s="396"/>
      <c r="M20" s="395" t="str">
        <f>VLOOKUP(M19,Schlüssel!$A$5:$K$12,2)</f>
        <v>Berchtesgaden 1</v>
      </c>
      <c r="N20" s="396"/>
      <c r="O20" s="397"/>
      <c r="P20" s="397"/>
    </row>
    <row r="21" spans="1:30" ht="12" customHeight="1">
      <c r="B21" s="4"/>
      <c r="C21" s="1"/>
      <c r="D21" s="1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53"/>
      <c r="P21" s="353"/>
    </row>
    <row r="22" spans="1:30" ht="16.2" customHeight="1">
      <c r="B22" s="39" t="s">
        <v>0</v>
      </c>
      <c r="C22" s="40"/>
      <c r="D22" s="40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3"/>
      <c r="P22" s="393"/>
    </row>
    <row r="23" spans="1:30" ht="16.2" customHeight="1">
      <c r="B23" s="39" t="s">
        <v>2</v>
      </c>
      <c r="C23" s="40"/>
      <c r="D23" s="40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3"/>
      <c r="P23" s="393"/>
    </row>
    <row r="24" spans="1:30" ht="16.2" customHeight="1">
      <c r="B24" s="39" t="s">
        <v>3</v>
      </c>
      <c r="C24" s="40"/>
      <c r="D24" s="40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3"/>
      <c r="P24" s="393"/>
    </row>
    <row r="25" spans="1:30" ht="16.2" customHeight="1">
      <c r="B25" s="41" t="s">
        <v>1792</v>
      </c>
      <c r="C25" s="42"/>
      <c r="D25" s="42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41"/>
      <c r="P25" s="341"/>
    </row>
    <row r="26" spans="1:30" ht="21" customHeight="1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6">
        <f>Schlüssel!EC$1</f>
        <v>45829</v>
      </c>
      <c r="N26" s="406"/>
      <c r="O26" s="406"/>
      <c r="AD26" s="76"/>
    </row>
    <row r="27" spans="1:30" ht="17.25" customHeight="1" thickBot="1">
      <c r="A27" s="53"/>
      <c r="B27" s="54">
        <f>+B2+1</f>
        <v>2</v>
      </c>
      <c r="C27" s="35" t="s">
        <v>1787</v>
      </c>
      <c r="D27" s="35"/>
      <c r="E27" s="72" t="str">
        <f>Schlüssel!$DS$2</f>
        <v>Brunnthal Max Munich</v>
      </c>
      <c r="G27" s="66"/>
      <c r="H27" s="66"/>
      <c r="I27" s="66"/>
      <c r="J27" s="66"/>
      <c r="L27" s="66"/>
      <c r="M27" s="34" t="s">
        <v>1785</v>
      </c>
      <c r="N27" s="38">
        <f>+N2</f>
        <v>7</v>
      </c>
      <c r="O27" s="33"/>
      <c r="AD27" s="77"/>
    </row>
    <row r="28" spans="1:30" ht="15.75" customHeight="1" thickBot="1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3.8" thickBot="1">
      <c r="A29" s="6"/>
      <c r="B29" s="7"/>
      <c r="C29" s="43"/>
      <c r="D29" s="43"/>
      <c r="E29" s="47" t="s">
        <v>10</v>
      </c>
      <c r="F29" s="7">
        <f>VLOOKUP(B27,Schlüssel!$A$5:$EL$12,133)</f>
        <v>5</v>
      </c>
      <c r="G29" s="51" t="s">
        <v>10</v>
      </c>
      <c r="H29" s="7">
        <f>VLOOKUP(B27,Schlüssel!$A$5:$EL$12,134)</f>
        <v>1</v>
      </c>
      <c r="I29" s="51" t="s">
        <v>10</v>
      </c>
      <c r="J29" s="7">
        <f>VLOOKUP(B27,Schlüssel!$A$5:$EL$12,135)</f>
        <v>6</v>
      </c>
      <c r="K29" s="51" t="s">
        <v>10</v>
      </c>
      <c r="L29" s="7">
        <f>VLOOKUP(B27,Schlüssel!$A$5:$EL$12,136)</f>
        <v>8</v>
      </c>
      <c r="M29" s="51" t="s">
        <v>10</v>
      </c>
      <c r="N29" s="57">
        <f>VLOOKUP(B27,Schlüssel!$A$5:$EL$12,137)</f>
        <v>3</v>
      </c>
    </row>
    <row r="30" spans="1:30" ht="20.25" customHeight="1">
      <c r="B30" s="44" t="s">
        <v>1</v>
      </c>
      <c r="C30" s="45"/>
      <c r="D30" s="45"/>
      <c r="E30" s="407" t="s">
        <v>1793</v>
      </c>
      <c r="F30" s="408"/>
      <c r="G30" s="407" t="s">
        <v>1794</v>
      </c>
      <c r="H30" s="408"/>
      <c r="I30" s="407" t="s">
        <v>1795</v>
      </c>
      <c r="J30" s="408"/>
      <c r="K30" s="407" t="s">
        <v>1796</v>
      </c>
      <c r="L30" s="408"/>
      <c r="M30" s="407" t="s">
        <v>1797</v>
      </c>
      <c r="N30" s="408"/>
      <c r="O30" s="409" t="s">
        <v>1792</v>
      </c>
      <c r="P30" s="410"/>
    </row>
    <row r="31" spans="1:30" ht="15" customHeight="1" thickBot="1">
      <c r="B31" s="9" t="s">
        <v>1798</v>
      </c>
      <c r="C31" s="48" t="s">
        <v>1799</v>
      </c>
      <c r="D31" s="48" t="s">
        <v>2264</v>
      </c>
      <c r="E31" s="464" t="s">
        <v>1800</v>
      </c>
      <c r="F31" s="465" t="s">
        <v>1801</v>
      </c>
      <c r="G31" s="464" t="s">
        <v>1800</v>
      </c>
      <c r="H31" s="465" t="s">
        <v>1801</v>
      </c>
      <c r="I31" s="464" t="s">
        <v>1800</v>
      </c>
      <c r="J31" s="465" t="s">
        <v>1801</v>
      </c>
      <c r="K31" s="464" t="s">
        <v>1800</v>
      </c>
      <c r="L31" s="465" t="s">
        <v>1801</v>
      </c>
      <c r="M31" s="464" t="s">
        <v>1800</v>
      </c>
      <c r="N31" s="465" t="s">
        <v>1801</v>
      </c>
      <c r="O31" s="464" t="s">
        <v>1800</v>
      </c>
      <c r="P31" s="465" t="s">
        <v>1801</v>
      </c>
    </row>
    <row r="32" spans="1:30" ht="16.95" customHeight="1">
      <c r="A32" s="403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58"/>
      <c r="F32" s="459"/>
      <c r="G32" s="458"/>
      <c r="H32" s="459"/>
      <c r="I32" s="458"/>
      <c r="J32" s="459"/>
      <c r="K32" s="458"/>
      <c r="L32" s="459"/>
      <c r="M32" s="458"/>
      <c r="N32" s="459"/>
      <c r="O32" s="458"/>
      <c r="P32" s="459"/>
    </row>
    <row r="33" spans="1:16" ht="16.95" customHeight="1">
      <c r="A33" s="404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60"/>
      <c r="F33" s="461"/>
      <c r="G33" s="460"/>
      <c r="H33" s="461"/>
      <c r="I33" s="460"/>
      <c r="J33" s="461"/>
      <c r="K33" s="460"/>
      <c r="L33" s="461"/>
      <c r="M33" s="460"/>
      <c r="N33" s="461"/>
      <c r="O33" s="460"/>
      <c r="P33" s="461"/>
    </row>
    <row r="34" spans="1:16" ht="16.95" customHeight="1" thickBot="1">
      <c r="A34" s="405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62"/>
      <c r="F34" s="463"/>
      <c r="G34" s="462"/>
      <c r="H34" s="463"/>
      <c r="I34" s="462"/>
      <c r="J34" s="463"/>
      <c r="K34" s="462"/>
      <c r="L34" s="463"/>
      <c r="M34" s="462"/>
      <c r="N34" s="463"/>
      <c r="O34" s="462"/>
      <c r="P34" s="463"/>
    </row>
    <row r="35" spans="1:16" ht="16.95" customHeight="1">
      <c r="A35" s="403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58"/>
      <c r="F35" s="459"/>
      <c r="G35" s="458"/>
      <c r="H35" s="459"/>
      <c r="I35" s="458"/>
      <c r="J35" s="459"/>
      <c r="K35" s="458"/>
      <c r="L35" s="459"/>
      <c r="M35" s="458"/>
      <c r="N35" s="459"/>
      <c r="O35" s="458"/>
      <c r="P35" s="459"/>
    </row>
    <row r="36" spans="1:16" ht="16.95" customHeight="1">
      <c r="A36" s="404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60"/>
      <c r="F36" s="461"/>
      <c r="G36" s="460"/>
      <c r="H36" s="461"/>
      <c r="I36" s="460"/>
      <c r="J36" s="461"/>
      <c r="K36" s="460"/>
      <c r="L36" s="461"/>
      <c r="M36" s="460"/>
      <c r="N36" s="461"/>
      <c r="O36" s="460"/>
      <c r="P36" s="461"/>
    </row>
    <row r="37" spans="1:16" ht="16.95" customHeight="1" thickBot="1">
      <c r="A37" s="405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62"/>
      <c r="F37" s="463"/>
      <c r="G37" s="462"/>
      <c r="H37" s="463"/>
      <c r="I37" s="462"/>
      <c r="J37" s="463"/>
      <c r="K37" s="462"/>
      <c r="L37" s="463"/>
      <c r="M37" s="462"/>
      <c r="N37" s="463"/>
      <c r="O37" s="462"/>
      <c r="P37" s="463"/>
    </row>
    <row r="38" spans="1:16" ht="16.95" customHeight="1">
      <c r="A38" s="403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58"/>
      <c r="F38" s="459"/>
      <c r="G38" s="458"/>
      <c r="H38" s="459"/>
      <c r="I38" s="458"/>
      <c r="J38" s="459"/>
      <c r="K38" s="458"/>
      <c r="L38" s="459"/>
      <c r="M38" s="458"/>
      <c r="N38" s="459"/>
      <c r="O38" s="458"/>
      <c r="P38" s="459"/>
    </row>
    <row r="39" spans="1:16" ht="16.95" customHeight="1">
      <c r="A39" s="404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60"/>
      <c r="F39" s="461"/>
      <c r="G39" s="460"/>
      <c r="H39" s="461"/>
      <c r="I39" s="460"/>
      <c r="J39" s="461"/>
      <c r="K39" s="460"/>
      <c r="L39" s="461"/>
      <c r="M39" s="460"/>
      <c r="N39" s="461"/>
      <c r="O39" s="460"/>
      <c r="P39" s="461"/>
    </row>
    <row r="40" spans="1:16" ht="16.95" customHeight="1" thickBot="1">
      <c r="A40" s="405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62"/>
      <c r="F40" s="463"/>
      <c r="G40" s="462"/>
      <c r="H40" s="463"/>
      <c r="I40" s="462"/>
      <c r="J40" s="463"/>
      <c r="K40" s="462"/>
      <c r="L40" s="463"/>
      <c r="M40" s="462"/>
      <c r="N40" s="463"/>
      <c r="O40" s="462"/>
      <c r="P40" s="463"/>
    </row>
    <row r="41" spans="1:16" ht="27.75" customHeight="1" thickBot="1">
      <c r="B41" s="11"/>
      <c r="C41" s="25"/>
      <c r="D41" s="204"/>
      <c r="E41" s="456"/>
      <c r="F41" s="457"/>
      <c r="G41" s="456"/>
      <c r="H41" s="457"/>
      <c r="I41" s="456"/>
      <c r="J41" s="457"/>
      <c r="K41" s="456"/>
      <c r="L41" s="457"/>
      <c r="M41" s="456"/>
      <c r="N41" s="457"/>
      <c r="O41" s="456"/>
      <c r="P41" s="457"/>
    </row>
    <row r="42" spans="1:16" ht="24" customHeight="1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>
      <c r="B44" s="211" t="s">
        <v>1790</v>
      </c>
      <c r="C44" s="42" t="s">
        <v>1791</v>
      </c>
      <c r="D44" s="42"/>
      <c r="E44" s="398">
        <f>VLOOKUP(B27,Schlüssel!$A$5:$EL$12,123)</f>
        <v>8</v>
      </c>
      <c r="F44" s="398"/>
      <c r="G44" s="398">
        <f>VLOOKUP(B27,Schlüssel!$A$5:$EL$12,124)</f>
        <v>1</v>
      </c>
      <c r="H44" s="398"/>
      <c r="I44" s="398">
        <f>VLOOKUP(B27,Schlüssel!$A$5:$EL$12,125)</f>
        <v>4</v>
      </c>
      <c r="J44" s="398"/>
      <c r="K44" s="398">
        <f>VLOOKUP(B27,Schlüssel!$A$5:$EL$12,126)</f>
        <v>6</v>
      </c>
      <c r="L44" s="398"/>
      <c r="M44" s="398">
        <f>VLOOKUP(B27,Schlüssel!$A$5:$EL$12,127)</f>
        <v>7</v>
      </c>
      <c r="N44" s="398"/>
      <c r="O44" s="399"/>
      <c r="P44" s="399"/>
    </row>
    <row r="45" spans="1:16" ht="28.5" customHeight="1">
      <c r="B45" s="4"/>
      <c r="C45" s="1"/>
      <c r="D45" s="1"/>
      <c r="E45" s="395" t="str">
        <f>VLOOKUP(E44,Schlüssel!$A$5:$K$12,2)</f>
        <v>EMAX 1</v>
      </c>
      <c r="F45" s="396"/>
      <c r="G45" s="395" t="str">
        <f>VLOOKUP(G44,Schlüssel!$A$5:$K$12,2)</f>
        <v>Bad Tölz 1</v>
      </c>
      <c r="H45" s="396"/>
      <c r="I45" s="395" t="str">
        <f>VLOOKUP(I44,Schlüssel!$A$5:$K$12,2)</f>
        <v>Highroller Rosenheim 3</v>
      </c>
      <c r="J45" s="396"/>
      <c r="K45" s="395" t="str">
        <f>VLOOKUP(K44,Schlüssel!$A$5:$K$12,2)</f>
        <v>Bowling Jugend Bayern 1</v>
      </c>
      <c r="L45" s="396"/>
      <c r="M45" s="395" t="str">
        <f>VLOOKUP(M44,Schlüssel!$A$5:$K$12,2)</f>
        <v>BK München 1</v>
      </c>
      <c r="N45" s="396"/>
      <c r="O45" s="397"/>
      <c r="P45" s="397"/>
    </row>
    <row r="46" spans="1:16" ht="12" customHeight="1">
      <c r="B46" s="4"/>
      <c r="C46" s="1"/>
      <c r="D46" s="1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53"/>
      <c r="P46" s="353"/>
    </row>
    <row r="47" spans="1:16" ht="16.2" customHeight="1">
      <c r="B47" s="39" t="s">
        <v>0</v>
      </c>
      <c r="C47" s="40"/>
      <c r="D47" s="40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3"/>
      <c r="P47" s="393"/>
    </row>
    <row r="48" spans="1:16" ht="16.2" customHeight="1">
      <c r="B48" s="39" t="s">
        <v>2</v>
      </c>
      <c r="C48" s="40"/>
      <c r="D48" s="40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3"/>
      <c r="P48" s="393"/>
    </row>
    <row r="49" spans="1:30" ht="16.2" customHeight="1">
      <c r="B49" s="39" t="s">
        <v>3</v>
      </c>
      <c r="C49" s="40"/>
      <c r="D49" s="40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3"/>
      <c r="P49" s="393"/>
    </row>
    <row r="50" spans="1:30" ht="15.75" customHeight="1">
      <c r="B50" s="41" t="s">
        <v>1792</v>
      </c>
      <c r="C50" s="42"/>
      <c r="D50" s="42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41"/>
      <c r="P50" s="341"/>
    </row>
    <row r="51" spans="1:30" ht="21" customHeight="1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6">
        <f>Schlüssel!EC$1</f>
        <v>45829</v>
      </c>
      <c r="N51" s="406"/>
      <c r="O51" s="406"/>
      <c r="AD51" s="76"/>
    </row>
    <row r="52" spans="1:30" ht="17.25" customHeight="1" thickBot="1">
      <c r="A52" s="53"/>
      <c r="B52" s="54">
        <f>+B27+1</f>
        <v>3</v>
      </c>
      <c r="C52" s="35" t="s">
        <v>1787</v>
      </c>
      <c r="D52" s="35"/>
      <c r="E52" s="72" t="str">
        <f>Schlüssel!$DS$2</f>
        <v>Brunnthal Max Munich</v>
      </c>
      <c r="G52" s="66"/>
      <c r="H52" s="66"/>
      <c r="I52" s="66"/>
      <c r="J52" s="66"/>
      <c r="L52" s="66"/>
      <c r="M52" s="34" t="s">
        <v>1785</v>
      </c>
      <c r="N52" s="38">
        <f>+N27</f>
        <v>7</v>
      </c>
      <c r="O52" s="33"/>
      <c r="AD52" s="77"/>
    </row>
    <row r="53" spans="1:30" ht="15.75" customHeight="1" thickBot="1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3.8" thickBot="1">
      <c r="A54" s="6"/>
      <c r="B54" s="7"/>
      <c r="C54" s="43"/>
      <c r="D54" s="43"/>
      <c r="E54" s="47" t="s">
        <v>10</v>
      </c>
      <c r="F54" s="7">
        <f>VLOOKUP(B52,Schlüssel!$A$5:$EL$12,133)</f>
        <v>8</v>
      </c>
      <c r="G54" s="51" t="s">
        <v>10</v>
      </c>
      <c r="H54" s="7">
        <f>VLOOKUP(B52,Schlüssel!$A$5:$EL$12,134)</f>
        <v>4</v>
      </c>
      <c r="I54" s="51" t="s">
        <v>10</v>
      </c>
      <c r="J54" s="7">
        <f>VLOOKUP(B52,Schlüssel!$A$5:$EL$12,135)</f>
        <v>7</v>
      </c>
      <c r="K54" s="51" t="s">
        <v>10</v>
      </c>
      <c r="L54" s="7">
        <f>VLOOKUP(B52,Schlüssel!$A$5:$EL$12,136)</f>
        <v>5</v>
      </c>
      <c r="M54" s="51" t="s">
        <v>10</v>
      </c>
      <c r="N54" s="57">
        <f>VLOOKUP(B52,Schlüssel!$A$5:$EL$12,137)</f>
        <v>2</v>
      </c>
    </row>
    <row r="55" spans="1:30" ht="20.25" customHeight="1">
      <c r="B55" s="44" t="s">
        <v>1</v>
      </c>
      <c r="C55" s="45"/>
      <c r="D55" s="45"/>
      <c r="E55" s="407" t="s">
        <v>1793</v>
      </c>
      <c r="F55" s="408"/>
      <c r="G55" s="407" t="s">
        <v>1794</v>
      </c>
      <c r="H55" s="408"/>
      <c r="I55" s="407" t="s">
        <v>1795</v>
      </c>
      <c r="J55" s="408"/>
      <c r="K55" s="407" t="s">
        <v>1796</v>
      </c>
      <c r="L55" s="408"/>
      <c r="M55" s="407" t="s">
        <v>1797</v>
      </c>
      <c r="N55" s="408"/>
      <c r="O55" s="409" t="s">
        <v>1792</v>
      </c>
      <c r="P55" s="410"/>
    </row>
    <row r="56" spans="1:30" ht="15" customHeight="1" thickBot="1">
      <c r="B56" s="9" t="s">
        <v>1798</v>
      </c>
      <c r="C56" s="48" t="s">
        <v>1799</v>
      </c>
      <c r="D56" s="48" t="s">
        <v>2264</v>
      </c>
      <c r="E56" s="464" t="s">
        <v>1800</v>
      </c>
      <c r="F56" s="465" t="s">
        <v>1801</v>
      </c>
      <c r="G56" s="464" t="s">
        <v>1800</v>
      </c>
      <c r="H56" s="465" t="s">
        <v>1801</v>
      </c>
      <c r="I56" s="464" t="s">
        <v>1800</v>
      </c>
      <c r="J56" s="465" t="s">
        <v>1801</v>
      </c>
      <c r="K56" s="464" t="s">
        <v>1800</v>
      </c>
      <c r="L56" s="465" t="s">
        <v>1801</v>
      </c>
      <c r="M56" s="464" t="s">
        <v>1800</v>
      </c>
      <c r="N56" s="465" t="s">
        <v>1801</v>
      </c>
      <c r="O56" s="464" t="s">
        <v>1800</v>
      </c>
      <c r="P56" s="465" t="s">
        <v>1801</v>
      </c>
    </row>
    <row r="57" spans="1:30" ht="16.95" customHeight="1">
      <c r="A57" s="403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58"/>
      <c r="F57" s="459"/>
      <c r="G57" s="458"/>
      <c r="H57" s="459"/>
      <c r="I57" s="458"/>
      <c r="J57" s="459"/>
      <c r="K57" s="458"/>
      <c r="L57" s="459"/>
      <c r="M57" s="458"/>
      <c r="N57" s="459"/>
      <c r="O57" s="458"/>
      <c r="P57" s="459"/>
    </row>
    <row r="58" spans="1:30" ht="16.95" customHeight="1">
      <c r="A58" s="404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60"/>
      <c r="F58" s="461"/>
      <c r="G58" s="460"/>
      <c r="H58" s="461"/>
      <c r="I58" s="460"/>
      <c r="J58" s="461"/>
      <c r="K58" s="460"/>
      <c r="L58" s="461"/>
      <c r="M58" s="460"/>
      <c r="N58" s="461"/>
      <c r="O58" s="460"/>
      <c r="P58" s="461"/>
    </row>
    <row r="59" spans="1:30" ht="16.95" customHeight="1" thickBot="1">
      <c r="A59" s="405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62"/>
      <c r="F59" s="463"/>
      <c r="G59" s="462"/>
      <c r="H59" s="463"/>
      <c r="I59" s="462"/>
      <c r="J59" s="463"/>
      <c r="K59" s="462"/>
      <c r="L59" s="463"/>
      <c r="M59" s="462"/>
      <c r="N59" s="463"/>
      <c r="O59" s="462"/>
      <c r="P59" s="463"/>
    </row>
    <row r="60" spans="1:30" ht="16.95" customHeight="1">
      <c r="A60" s="403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58"/>
      <c r="F60" s="459"/>
      <c r="G60" s="458"/>
      <c r="H60" s="459"/>
      <c r="I60" s="458"/>
      <c r="J60" s="459"/>
      <c r="K60" s="458"/>
      <c r="L60" s="459"/>
      <c r="M60" s="458"/>
      <c r="N60" s="459"/>
      <c r="O60" s="458"/>
      <c r="P60" s="459"/>
    </row>
    <row r="61" spans="1:30" ht="16.95" customHeight="1">
      <c r="A61" s="404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60"/>
      <c r="F61" s="461"/>
      <c r="G61" s="460"/>
      <c r="H61" s="461"/>
      <c r="I61" s="460"/>
      <c r="J61" s="461"/>
      <c r="K61" s="460"/>
      <c r="L61" s="461"/>
      <c r="M61" s="460"/>
      <c r="N61" s="461"/>
      <c r="O61" s="460"/>
      <c r="P61" s="461"/>
    </row>
    <row r="62" spans="1:30" ht="16.95" customHeight="1" thickBot="1">
      <c r="A62" s="405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62"/>
      <c r="F62" s="463"/>
      <c r="G62" s="462"/>
      <c r="H62" s="463"/>
      <c r="I62" s="462"/>
      <c r="J62" s="463"/>
      <c r="K62" s="462"/>
      <c r="L62" s="463"/>
      <c r="M62" s="462"/>
      <c r="N62" s="463"/>
      <c r="O62" s="462"/>
      <c r="P62" s="463"/>
    </row>
    <row r="63" spans="1:30" ht="16.95" customHeight="1">
      <c r="A63" s="403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58"/>
      <c r="F63" s="459"/>
      <c r="G63" s="458"/>
      <c r="H63" s="459"/>
      <c r="I63" s="458"/>
      <c r="J63" s="459"/>
      <c r="K63" s="458"/>
      <c r="L63" s="459"/>
      <c r="M63" s="458"/>
      <c r="N63" s="459"/>
      <c r="O63" s="458"/>
      <c r="P63" s="459"/>
    </row>
    <row r="64" spans="1:30" ht="16.95" customHeight="1">
      <c r="A64" s="404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60"/>
      <c r="F64" s="461"/>
      <c r="G64" s="460"/>
      <c r="H64" s="461"/>
      <c r="I64" s="460"/>
      <c r="J64" s="461"/>
      <c r="K64" s="460"/>
      <c r="L64" s="461"/>
      <c r="M64" s="460"/>
      <c r="N64" s="461"/>
      <c r="O64" s="460"/>
      <c r="P64" s="461"/>
    </row>
    <row r="65" spans="1:30" ht="16.95" customHeight="1" thickBot="1">
      <c r="A65" s="405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62"/>
      <c r="F65" s="463"/>
      <c r="G65" s="462"/>
      <c r="H65" s="463"/>
      <c r="I65" s="462"/>
      <c r="J65" s="463"/>
      <c r="K65" s="462"/>
      <c r="L65" s="463"/>
      <c r="M65" s="462"/>
      <c r="N65" s="463"/>
      <c r="O65" s="462"/>
      <c r="P65" s="463"/>
    </row>
    <row r="66" spans="1:30" ht="27.75" customHeight="1" thickBot="1">
      <c r="B66" s="11"/>
      <c r="C66" s="25"/>
      <c r="D66" s="204"/>
      <c r="E66" s="456"/>
      <c r="F66" s="457"/>
      <c r="G66" s="456"/>
      <c r="H66" s="457"/>
      <c r="I66" s="456"/>
      <c r="J66" s="457"/>
      <c r="K66" s="456"/>
      <c r="L66" s="457"/>
      <c r="M66" s="456"/>
      <c r="N66" s="457"/>
      <c r="O66" s="456"/>
      <c r="P66" s="457"/>
    </row>
    <row r="67" spans="1:30" ht="24" customHeight="1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>
      <c r="B69" s="211" t="s">
        <v>1790</v>
      </c>
      <c r="C69" s="42" t="s">
        <v>1791</v>
      </c>
      <c r="D69" s="42"/>
      <c r="E69" s="398">
        <f>VLOOKUP(B52,Schlüssel!$A$5:$EL$12,123)</f>
        <v>5</v>
      </c>
      <c r="F69" s="398"/>
      <c r="G69" s="398">
        <f>VLOOKUP(B52,Schlüssel!$A$5:$EL$12,124)</f>
        <v>4</v>
      </c>
      <c r="H69" s="398"/>
      <c r="I69" s="398">
        <f>VLOOKUP(B52,Schlüssel!$A$5:$EL$12,125)</f>
        <v>1</v>
      </c>
      <c r="J69" s="398"/>
      <c r="K69" s="398">
        <f>VLOOKUP(B52,Schlüssel!$A$5:$EL$12,126)</f>
        <v>7</v>
      </c>
      <c r="L69" s="398"/>
      <c r="M69" s="398">
        <f>VLOOKUP(B52,Schlüssel!$A$5:$EL$12,127)</f>
        <v>6</v>
      </c>
      <c r="N69" s="398"/>
      <c r="O69" s="399"/>
      <c r="P69" s="399"/>
    </row>
    <row r="70" spans="1:30" ht="28.5" customHeight="1">
      <c r="B70" s="4"/>
      <c r="C70" s="1"/>
      <c r="D70" s="1"/>
      <c r="E70" s="395" t="str">
        <f>VLOOKUP(E69,Schlüssel!$A$5:$K$12,2)</f>
        <v>Berchtesgaden 1</v>
      </c>
      <c r="F70" s="396"/>
      <c r="G70" s="395" t="str">
        <f>VLOOKUP(G69,Schlüssel!$A$5:$K$12,2)</f>
        <v>Highroller Rosenheim 3</v>
      </c>
      <c r="H70" s="396"/>
      <c r="I70" s="395" t="str">
        <f>VLOOKUP(I69,Schlüssel!$A$5:$K$12,2)</f>
        <v>Bad Tölz 1</v>
      </c>
      <c r="J70" s="396"/>
      <c r="K70" s="395" t="str">
        <f>VLOOKUP(K69,Schlüssel!$A$5:$K$12,2)</f>
        <v>BK München 1</v>
      </c>
      <c r="L70" s="396"/>
      <c r="M70" s="395" t="str">
        <f>VLOOKUP(M69,Schlüssel!$A$5:$K$12,2)</f>
        <v>Bowling Jugend Bayern 1</v>
      </c>
      <c r="N70" s="396"/>
      <c r="O70" s="397"/>
      <c r="P70" s="397"/>
    </row>
    <row r="71" spans="1:30" ht="12" customHeight="1">
      <c r="B71" s="4"/>
      <c r="C71" s="1"/>
      <c r="D71" s="1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53"/>
      <c r="P71" s="353"/>
    </row>
    <row r="72" spans="1:30" ht="16.2" customHeight="1">
      <c r="B72" s="39" t="s">
        <v>0</v>
      </c>
      <c r="C72" s="40"/>
      <c r="D72" s="40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3"/>
      <c r="P72" s="393"/>
    </row>
    <row r="73" spans="1:30" ht="16.2" customHeight="1">
      <c r="B73" s="39" t="s">
        <v>2</v>
      </c>
      <c r="C73" s="40"/>
      <c r="D73" s="40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3"/>
      <c r="P73" s="393"/>
    </row>
    <row r="74" spans="1:30" ht="16.2" customHeight="1">
      <c r="B74" s="39" t="s">
        <v>3</v>
      </c>
      <c r="C74" s="40"/>
      <c r="D74" s="40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3"/>
      <c r="P74" s="393"/>
    </row>
    <row r="75" spans="1:30" ht="15.75" customHeight="1">
      <c r="B75" s="41" t="s">
        <v>1792</v>
      </c>
      <c r="C75" s="42"/>
      <c r="D75" s="42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41"/>
      <c r="P75" s="341"/>
    </row>
    <row r="76" spans="1:30" ht="21" customHeight="1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6">
        <f>Schlüssel!EC$1</f>
        <v>45829</v>
      </c>
      <c r="N76" s="406"/>
      <c r="O76" s="406"/>
      <c r="AD76" s="76"/>
    </row>
    <row r="77" spans="1:30" ht="17.25" customHeight="1" thickBot="1">
      <c r="A77" s="53"/>
      <c r="B77" s="54">
        <f>+B52+1</f>
        <v>4</v>
      </c>
      <c r="C77" s="35" t="s">
        <v>1787</v>
      </c>
      <c r="D77" s="35"/>
      <c r="E77" s="72" t="str">
        <f>Schlüssel!$DS$2</f>
        <v>Brunnthal Max Munich</v>
      </c>
      <c r="G77" s="66"/>
      <c r="H77" s="66"/>
      <c r="I77" s="66"/>
      <c r="J77" s="66"/>
      <c r="L77" s="66"/>
      <c r="M77" s="34" t="s">
        <v>1785</v>
      </c>
      <c r="N77" s="38">
        <f>+N52</f>
        <v>7</v>
      </c>
      <c r="O77" s="33"/>
      <c r="AD77" s="77"/>
    </row>
    <row r="78" spans="1:30" ht="15.75" customHeight="1" thickBot="1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3.8" thickBot="1">
      <c r="A79" s="6"/>
      <c r="B79" s="7"/>
      <c r="C79" s="43"/>
      <c r="D79" s="43"/>
      <c r="E79" s="47" t="s">
        <v>10</v>
      </c>
      <c r="F79" s="7">
        <f>VLOOKUP(B77,Schlüssel!$A$5:$EL$12,133)</f>
        <v>2</v>
      </c>
      <c r="G79" s="51" t="s">
        <v>10</v>
      </c>
      <c r="H79" s="7">
        <f>VLOOKUP(B77,Schlüssel!$A$5:$EL$12,134)</f>
        <v>3</v>
      </c>
      <c r="I79" s="51" t="s">
        <v>10</v>
      </c>
      <c r="J79" s="7">
        <f>VLOOKUP(B77,Schlüssel!$A$5:$EL$12,135)</f>
        <v>5</v>
      </c>
      <c r="K79" s="51" t="s">
        <v>10</v>
      </c>
      <c r="L79" s="7">
        <f>VLOOKUP(B77,Schlüssel!$A$5:$EL$12,136)</f>
        <v>1</v>
      </c>
      <c r="M79" s="51" t="s">
        <v>10</v>
      </c>
      <c r="N79" s="57">
        <f>VLOOKUP(B77,Schlüssel!$A$5:$EL$12,137)</f>
        <v>7</v>
      </c>
    </row>
    <row r="80" spans="1:30" ht="20.25" customHeight="1">
      <c r="B80" s="44" t="s">
        <v>1</v>
      </c>
      <c r="C80" s="45"/>
      <c r="D80" s="45"/>
      <c r="E80" s="407" t="s">
        <v>1793</v>
      </c>
      <c r="F80" s="408"/>
      <c r="G80" s="407" t="s">
        <v>1794</v>
      </c>
      <c r="H80" s="408"/>
      <c r="I80" s="407" t="s">
        <v>1795</v>
      </c>
      <c r="J80" s="408"/>
      <c r="K80" s="407" t="s">
        <v>1796</v>
      </c>
      <c r="L80" s="408"/>
      <c r="M80" s="407" t="s">
        <v>1797</v>
      </c>
      <c r="N80" s="408"/>
      <c r="O80" s="409" t="s">
        <v>1792</v>
      </c>
      <c r="P80" s="410"/>
    </row>
    <row r="81" spans="1:16" ht="15" customHeight="1" thickBot="1">
      <c r="B81" s="9" t="s">
        <v>1798</v>
      </c>
      <c r="C81" s="48" t="s">
        <v>1799</v>
      </c>
      <c r="D81" s="48" t="s">
        <v>2264</v>
      </c>
      <c r="E81" s="464" t="s">
        <v>1800</v>
      </c>
      <c r="F81" s="465" t="s">
        <v>1801</v>
      </c>
      <c r="G81" s="464" t="s">
        <v>1800</v>
      </c>
      <c r="H81" s="465" t="s">
        <v>1801</v>
      </c>
      <c r="I81" s="464" t="s">
        <v>1800</v>
      </c>
      <c r="J81" s="465" t="s">
        <v>1801</v>
      </c>
      <c r="K81" s="464" t="s">
        <v>1800</v>
      </c>
      <c r="L81" s="465" t="s">
        <v>1801</v>
      </c>
      <c r="M81" s="464" t="s">
        <v>1800</v>
      </c>
      <c r="N81" s="465" t="s">
        <v>1801</v>
      </c>
      <c r="O81" s="464" t="s">
        <v>1800</v>
      </c>
      <c r="P81" s="465" t="s">
        <v>1801</v>
      </c>
    </row>
    <row r="82" spans="1:16" ht="16.95" customHeight="1">
      <c r="A82" s="403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58"/>
      <c r="F82" s="459"/>
      <c r="G82" s="458"/>
      <c r="H82" s="459"/>
      <c r="I82" s="458"/>
      <c r="J82" s="459"/>
      <c r="K82" s="458"/>
      <c r="L82" s="459"/>
      <c r="M82" s="458"/>
      <c r="N82" s="459"/>
      <c r="O82" s="458"/>
      <c r="P82" s="459"/>
    </row>
    <row r="83" spans="1:16" ht="16.95" customHeight="1">
      <c r="A83" s="404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60"/>
      <c r="F83" s="461"/>
      <c r="G83" s="460"/>
      <c r="H83" s="461"/>
      <c r="I83" s="460"/>
      <c r="J83" s="461"/>
      <c r="K83" s="460"/>
      <c r="L83" s="461"/>
      <c r="M83" s="460"/>
      <c r="N83" s="461"/>
      <c r="O83" s="460"/>
      <c r="P83" s="461"/>
    </row>
    <row r="84" spans="1:16" ht="16.95" customHeight="1" thickBot="1">
      <c r="A84" s="405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62"/>
      <c r="F84" s="463"/>
      <c r="G84" s="462"/>
      <c r="H84" s="463"/>
      <c r="I84" s="462"/>
      <c r="J84" s="463"/>
      <c r="K84" s="462"/>
      <c r="L84" s="463"/>
      <c r="M84" s="462"/>
      <c r="N84" s="463"/>
      <c r="O84" s="462"/>
      <c r="P84" s="463"/>
    </row>
    <row r="85" spans="1:16" ht="16.95" customHeight="1">
      <c r="A85" s="403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58"/>
      <c r="F85" s="459"/>
      <c r="G85" s="458"/>
      <c r="H85" s="459"/>
      <c r="I85" s="458"/>
      <c r="J85" s="459"/>
      <c r="K85" s="458"/>
      <c r="L85" s="459"/>
      <c r="M85" s="458"/>
      <c r="N85" s="459"/>
      <c r="O85" s="458"/>
      <c r="P85" s="459"/>
    </row>
    <row r="86" spans="1:16" ht="16.95" customHeight="1">
      <c r="A86" s="404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60"/>
      <c r="F86" s="461"/>
      <c r="G86" s="460"/>
      <c r="H86" s="461"/>
      <c r="I86" s="460"/>
      <c r="J86" s="461"/>
      <c r="K86" s="460"/>
      <c r="L86" s="461"/>
      <c r="M86" s="460"/>
      <c r="N86" s="461"/>
      <c r="O86" s="460"/>
      <c r="P86" s="461"/>
    </row>
    <row r="87" spans="1:16" ht="16.95" customHeight="1" thickBot="1">
      <c r="A87" s="405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62"/>
      <c r="F87" s="463"/>
      <c r="G87" s="462"/>
      <c r="H87" s="463"/>
      <c r="I87" s="462"/>
      <c r="J87" s="463"/>
      <c r="K87" s="462"/>
      <c r="L87" s="463"/>
      <c r="M87" s="462"/>
      <c r="N87" s="463"/>
      <c r="O87" s="462"/>
      <c r="P87" s="463"/>
    </row>
    <row r="88" spans="1:16" ht="16.95" customHeight="1">
      <c r="A88" s="403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58"/>
      <c r="F88" s="459"/>
      <c r="G88" s="458"/>
      <c r="H88" s="459"/>
      <c r="I88" s="458"/>
      <c r="J88" s="459"/>
      <c r="K88" s="458"/>
      <c r="L88" s="459"/>
      <c r="M88" s="458"/>
      <c r="N88" s="459"/>
      <c r="O88" s="458"/>
      <c r="P88" s="459"/>
    </row>
    <row r="89" spans="1:16" ht="16.95" customHeight="1">
      <c r="A89" s="404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60"/>
      <c r="F89" s="461"/>
      <c r="G89" s="460"/>
      <c r="H89" s="461"/>
      <c r="I89" s="460"/>
      <c r="J89" s="461"/>
      <c r="K89" s="460"/>
      <c r="L89" s="461"/>
      <c r="M89" s="460"/>
      <c r="N89" s="461"/>
      <c r="O89" s="460"/>
      <c r="P89" s="461"/>
    </row>
    <row r="90" spans="1:16" ht="16.95" customHeight="1" thickBot="1">
      <c r="A90" s="405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62"/>
      <c r="F90" s="463"/>
      <c r="G90" s="462"/>
      <c r="H90" s="463"/>
      <c r="I90" s="462"/>
      <c r="J90" s="463"/>
      <c r="K90" s="462"/>
      <c r="L90" s="463"/>
      <c r="M90" s="462"/>
      <c r="N90" s="463"/>
      <c r="O90" s="462"/>
      <c r="P90" s="463"/>
    </row>
    <row r="91" spans="1:16" ht="27.75" customHeight="1" thickBot="1">
      <c r="B91" s="11"/>
      <c r="C91" s="25"/>
      <c r="D91" s="204"/>
      <c r="E91" s="456"/>
      <c r="F91" s="457"/>
      <c r="G91" s="456"/>
      <c r="H91" s="457"/>
      <c r="I91" s="456"/>
      <c r="J91" s="457"/>
      <c r="K91" s="456"/>
      <c r="L91" s="457"/>
      <c r="M91" s="456"/>
      <c r="N91" s="457"/>
      <c r="O91" s="456"/>
      <c r="P91" s="457"/>
    </row>
    <row r="92" spans="1:16" ht="24" customHeight="1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>
      <c r="B94" s="211" t="s">
        <v>1790</v>
      </c>
      <c r="C94" s="42" t="s">
        <v>1791</v>
      </c>
      <c r="D94" s="42"/>
      <c r="E94" s="398">
        <f>VLOOKUP(B77,Schlüssel!$A$5:$EL$12,123)</f>
        <v>7</v>
      </c>
      <c r="F94" s="398"/>
      <c r="G94" s="398">
        <f>VLOOKUP(B77,Schlüssel!$A$5:$EL$12,124)</f>
        <v>3</v>
      </c>
      <c r="H94" s="398"/>
      <c r="I94" s="398">
        <f>VLOOKUP(B77,Schlüssel!$A$5:$EL$12,125)</f>
        <v>2</v>
      </c>
      <c r="J94" s="398"/>
      <c r="K94" s="398">
        <f>VLOOKUP(B77,Schlüssel!$A$5:$EL$12,126)</f>
        <v>5</v>
      </c>
      <c r="L94" s="398"/>
      <c r="M94" s="398">
        <f>VLOOKUP(B77,Schlüssel!$A$5:$EL$12,127)</f>
        <v>8</v>
      </c>
      <c r="N94" s="398"/>
      <c r="O94" s="399"/>
      <c r="P94" s="399"/>
    </row>
    <row r="95" spans="1:16" ht="28.5" customHeight="1">
      <c r="B95" s="4"/>
      <c r="C95" s="1"/>
      <c r="D95" s="1"/>
      <c r="E95" s="395" t="str">
        <f>VLOOKUP(E94,Schlüssel!$A$5:$K$12,2)</f>
        <v>BK München 1</v>
      </c>
      <c r="F95" s="396"/>
      <c r="G95" s="395" t="str">
        <f>VLOOKUP(G94,Schlüssel!$A$5:$K$12,2)</f>
        <v>Highroller Rosenheim 2</v>
      </c>
      <c r="H95" s="396"/>
      <c r="I95" s="395" t="str">
        <f>VLOOKUP(I94,Schlüssel!$A$5:$K$12,2)</f>
        <v>Highroller Rosenheim 1</v>
      </c>
      <c r="J95" s="396"/>
      <c r="K95" s="395" t="str">
        <f>VLOOKUP(K94,Schlüssel!$A$5:$K$12,2)</f>
        <v>Berchtesgaden 1</v>
      </c>
      <c r="L95" s="396"/>
      <c r="M95" s="395" t="str">
        <f>VLOOKUP(M94,Schlüssel!$A$5:$K$12,2)</f>
        <v>EMAX 1</v>
      </c>
      <c r="N95" s="396"/>
      <c r="O95" s="397"/>
      <c r="P95" s="397"/>
    </row>
    <row r="96" spans="1:16" ht="12" customHeight="1">
      <c r="B96" s="4"/>
      <c r="C96" s="1"/>
      <c r="D96" s="1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53"/>
      <c r="P96" s="353"/>
    </row>
    <row r="97" spans="1:30" ht="16.2" customHeight="1">
      <c r="B97" s="39" t="s">
        <v>0</v>
      </c>
      <c r="C97" s="40"/>
      <c r="D97" s="40"/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393"/>
      <c r="P97" s="393"/>
    </row>
    <row r="98" spans="1:30" ht="16.2" customHeight="1">
      <c r="B98" s="39" t="s">
        <v>2</v>
      </c>
      <c r="C98" s="40"/>
      <c r="D98" s="40"/>
      <c r="E98" s="392"/>
      <c r="F98" s="392"/>
      <c r="G98" s="392"/>
      <c r="H98" s="392"/>
      <c r="I98" s="392"/>
      <c r="J98" s="392"/>
      <c r="K98" s="392"/>
      <c r="L98" s="392"/>
      <c r="M98" s="392"/>
      <c r="N98" s="392"/>
      <c r="O98" s="393"/>
      <c r="P98" s="393"/>
    </row>
    <row r="99" spans="1:30" ht="16.2" customHeight="1">
      <c r="B99" s="39" t="s">
        <v>3</v>
      </c>
      <c r="C99" s="40"/>
      <c r="D99" s="40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3"/>
      <c r="P99" s="393"/>
    </row>
    <row r="100" spans="1:30" ht="15.75" customHeight="1">
      <c r="B100" s="41" t="s">
        <v>1792</v>
      </c>
      <c r="C100" s="42"/>
      <c r="D100" s="42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41"/>
      <c r="P100" s="341"/>
    </row>
    <row r="101" spans="1:30" ht="21" customHeight="1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6">
        <f>Schlüssel!EC$1</f>
        <v>45829</v>
      </c>
      <c r="N101" s="406"/>
      <c r="O101" s="406"/>
      <c r="AD101" s="76"/>
    </row>
    <row r="102" spans="1:30" ht="17.25" customHeight="1" thickBot="1">
      <c r="A102" s="53"/>
      <c r="B102" s="54">
        <f>+B77+1</f>
        <v>5</v>
      </c>
      <c r="C102" s="35" t="s">
        <v>1787</v>
      </c>
      <c r="D102" s="35"/>
      <c r="E102" s="72" t="str">
        <f>Schlüssel!$DS$2</f>
        <v>Brunnthal Max Munich</v>
      </c>
      <c r="G102" s="66"/>
      <c r="H102" s="66"/>
      <c r="I102" s="66"/>
      <c r="J102" s="66"/>
      <c r="L102" s="66"/>
      <c r="M102" s="34" t="s">
        <v>1785</v>
      </c>
      <c r="N102" s="38">
        <f>+N77</f>
        <v>7</v>
      </c>
      <c r="O102" s="33"/>
      <c r="AD102" s="77"/>
    </row>
    <row r="103" spans="1:30" ht="15.75" customHeight="1" thickBot="1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3.8" thickBot="1">
      <c r="A104" s="6"/>
      <c r="B104" s="7"/>
      <c r="C104" s="43"/>
      <c r="D104" s="43"/>
      <c r="E104" s="47" t="s">
        <v>10</v>
      </c>
      <c r="F104" s="7">
        <f>VLOOKUP(B102,Schlüssel!$A$5:$EL$12,133)</f>
        <v>7</v>
      </c>
      <c r="G104" s="51" t="s">
        <v>10</v>
      </c>
      <c r="H104" s="7">
        <f>VLOOKUP(B102,Schlüssel!$A$5:$EL$12,134)</f>
        <v>6</v>
      </c>
      <c r="I104" s="51" t="s">
        <v>10</v>
      </c>
      <c r="J104" s="7">
        <f>VLOOKUP(B102,Schlüssel!$A$5:$EL$12,135)</f>
        <v>4</v>
      </c>
      <c r="K104" s="51" t="s">
        <v>10</v>
      </c>
      <c r="L104" s="7">
        <f>VLOOKUP(B102,Schlüssel!$A$5:$EL$12,136)</f>
        <v>2</v>
      </c>
      <c r="M104" s="51" t="s">
        <v>10</v>
      </c>
      <c r="N104" s="57">
        <f>VLOOKUP(B102,Schlüssel!$A$5:$EL$12,137)</f>
        <v>5</v>
      </c>
    </row>
    <row r="105" spans="1:30" ht="20.25" customHeight="1">
      <c r="B105" s="44" t="s">
        <v>1</v>
      </c>
      <c r="C105" s="45"/>
      <c r="D105" s="45"/>
      <c r="E105" s="407" t="s">
        <v>1793</v>
      </c>
      <c r="F105" s="408"/>
      <c r="G105" s="407" t="s">
        <v>1794</v>
      </c>
      <c r="H105" s="408"/>
      <c r="I105" s="407" t="s">
        <v>1795</v>
      </c>
      <c r="J105" s="408"/>
      <c r="K105" s="407" t="s">
        <v>1796</v>
      </c>
      <c r="L105" s="408"/>
      <c r="M105" s="407" t="s">
        <v>1797</v>
      </c>
      <c r="N105" s="408"/>
      <c r="O105" s="409" t="s">
        <v>1792</v>
      </c>
      <c r="P105" s="410"/>
    </row>
    <row r="106" spans="1:30" ht="15" customHeight="1" thickBot="1">
      <c r="B106" s="9" t="s">
        <v>1798</v>
      </c>
      <c r="C106" s="48" t="s">
        <v>1799</v>
      </c>
      <c r="D106" s="48" t="s">
        <v>2264</v>
      </c>
      <c r="E106" s="464" t="s">
        <v>1800</v>
      </c>
      <c r="F106" s="465" t="s">
        <v>1801</v>
      </c>
      <c r="G106" s="464" t="s">
        <v>1800</v>
      </c>
      <c r="H106" s="465" t="s">
        <v>1801</v>
      </c>
      <c r="I106" s="464" t="s">
        <v>1800</v>
      </c>
      <c r="J106" s="465" t="s">
        <v>1801</v>
      </c>
      <c r="K106" s="464" t="s">
        <v>1800</v>
      </c>
      <c r="L106" s="465" t="s">
        <v>1801</v>
      </c>
      <c r="M106" s="464" t="s">
        <v>1800</v>
      </c>
      <c r="N106" s="465" t="s">
        <v>1801</v>
      </c>
      <c r="O106" s="464" t="s">
        <v>1800</v>
      </c>
      <c r="P106" s="465" t="s">
        <v>1801</v>
      </c>
    </row>
    <row r="107" spans="1:30" ht="16.95" customHeight="1">
      <c r="A107" s="403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58"/>
      <c r="F107" s="459"/>
      <c r="G107" s="458"/>
      <c r="H107" s="459"/>
      <c r="I107" s="458"/>
      <c r="J107" s="459"/>
      <c r="K107" s="458"/>
      <c r="L107" s="459"/>
      <c r="M107" s="458"/>
      <c r="N107" s="459"/>
      <c r="O107" s="458"/>
      <c r="P107" s="459"/>
    </row>
    <row r="108" spans="1:30" ht="16.95" customHeight="1">
      <c r="A108" s="404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60"/>
      <c r="F108" s="461"/>
      <c r="G108" s="460"/>
      <c r="H108" s="461"/>
      <c r="I108" s="460"/>
      <c r="J108" s="461"/>
      <c r="K108" s="460"/>
      <c r="L108" s="461"/>
      <c r="M108" s="460"/>
      <c r="N108" s="461"/>
      <c r="O108" s="460"/>
      <c r="P108" s="461"/>
    </row>
    <row r="109" spans="1:30" ht="16.95" customHeight="1" thickBot="1">
      <c r="A109" s="405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62"/>
      <c r="F109" s="463"/>
      <c r="G109" s="462"/>
      <c r="H109" s="463"/>
      <c r="I109" s="462"/>
      <c r="J109" s="463"/>
      <c r="K109" s="462"/>
      <c r="L109" s="463"/>
      <c r="M109" s="462"/>
      <c r="N109" s="463"/>
      <c r="O109" s="462"/>
      <c r="P109" s="463"/>
    </row>
    <row r="110" spans="1:30" ht="16.95" customHeight="1">
      <c r="A110" s="403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58"/>
      <c r="F110" s="459"/>
      <c r="G110" s="458"/>
      <c r="H110" s="459"/>
      <c r="I110" s="458"/>
      <c r="J110" s="459"/>
      <c r="K110" s="458"/>
      <c r="L110" s="459"/>
      <c r="M110" s="458"/>
      <c r="N110" s="459"/>
      <c r="O110" s="458"/>
      <c r="P110" s="459"/>
    </row>
    <row r="111" spans="1:30" ht="16.95" customHeight="1">
      <c r="A111" s="404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60"/>
      <c r="F111" s="461"/>
      <c r="G111" s="460"/>
      <c r="H111" s="461"/>
      <c r="I111" s="460"/>
      <c r="J111" s="461"/>
      <c r="K111" s="460"/>
      <c r="L111" s="461"/>
      <c r="M111" s="460"/>
      <c r="N111" s="461"/>
      <c r="O111" s="460"/>
      <c r="P111" s="461"/>
    </row>
    <row r="112" spans="1:30" ht="16.95" customHeight="1" thickBot="1">
      <c r="A112" s="405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62"/>
      <c r="F112" s="463"/>
      <c r="G112" s="462"/>
      <c r="H112" s="463"/>
      <c r="I112" s="462"/>
      <c r="J112" s="463"/>
      <c r="K112" s="462"/>
      <c r="L112" s="463"/>
      <c r="M112" s="462"/>
      <c r="N112" s="463"/>
      <c r="O112" s="462"/>
      <c r="P112" s="463"/>
    </row>
    <row r="113" spans="1:30" ht="16.95" customHeight="1">
      <c r="A113" s="403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58"/>
      <c r="F113" s="459"/>
      <c r="G113" s="458"/>
      <c r="H113" s="459"/>
      <c r="I113" s="458"/>
      <c r="J113" s="459"/>
      <c r="K113" s="458"/>
      <c r="L113" s="459"/>
      <c r="M113" s="458"/>
      <c r="N113" s="459"/>
      <c r="O113" s="458"/>
      <c r="P113" s="459"/>
    </row>
    <row r="114" spans="1:30" ht="16.95" customHeight="1">
      <c r="A114" s="404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60"/>
      <c r="F114" s="461"/>
      <c r="G114" s="460"/>
      <c r="H114" s="461"/>
      <c r="I114" s="460"/>
      <c r="J114" s="461"/>
      <c r="K114" s="460"/>
      <c r="L114" s="461"/>
      <c r="M114" s="460"/>
      <c r="N114" s="461"/>
      <c r="O114" s="460"/>
      <c r="P114" s="461"/>
    </row>
    <row r="115" spans="1:30" ht="16.95" customHeight="1" thickBot="1">
      <c r="A115" s="405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62"/>
      <c r="F115" s="463"/>
      <c r="G115" s="462"/>
      <c r="H115" s="463"/>
      <c r="I115" s="462"/>
      <c r="J115" s="463"/>
      <c r="K115" s="462"/>
      <c r="L115" s="463"/>
      <c r="M115" s="462"/>
      <c r="N115" s="463"/>
      <c r="O115" s="462"/>
      <c r="P115" s="463"/>
    </row>
    <row r="116" spans="1:30" ht="27.75" customHeight="1" thickBot="1">
      <c r="B116" s="11"/>
      <c r="C116" s="25"/>
      <c r="D116" s="204"/>
      <c r="E116" s="456"/>
      <c r="F116" s="457"/>
      <c r="G116" s="456"/>
      <c r="H116" s="457"/>
      <c r="I116" s="456"/>
      <c r="J116" s="457"/>
      <c r="K116" s="456"/>
      <c r="L116" s="457"/>
      <c r="M116" s="456"/>
      <c r="N116" s="457"/>
      <c r="O116" s="456"/>
      <c r="P116" s="457"/>
    </row>
    <row r="117" spans="1:30" ht="24" customHeight="1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>
      <c r="B119" s="211" t="s">
        <v>1790</v>
      </c>
      <c r="C119" s="42" t="s">
        <v>1791</v>
      </c>
      <c r="D119" s="42"/>
      <c r="E119" s="398">
        <f>VLOOKUP(B102,Schlüssel!$A$5:$EL$12,123)</f>
        <v>3</v>
      </c>
      <c r="F119" s="398"/>
      <c r="G119" s="398">
        <f>VLOOKUP(B102,Schlüssel!$A$5:$EL$12,124)</f>
        <v>6</v>
      </c>
      <c r="H119" s="398"/>
      <c r="I119" s="398">
        <f>VLOOKUP(B102,Schlüssel!$A$5:$EL$12,125)</f>
        <v>7</v>
      </c>
      <c r="J119" s="398"/>
      <c r="K119" s="398">
        <f>VLOOKUP(B102,Schlüssel!$A$5:$EL$12,126)</f>
        <v>4</v>
      </c>
      <c r="L119" s="398"/>
      <c r="M119" s="398">
        <f>VLOOKUP(B102,Schlüssel!$A$5:$EL$12,127)</f>
        <v>1</v>
      </c>
      <c r="N119" s="398"/>
      <c r="O119" s="399"/>
      <c r="P119" s="399"/>
    </row>
    <row r="120" spans="1:30" ht="28.5" customHeight="1">
      <c r="B120" s="4"/>
      <c r="C120" s="1"/>
      <c r="D120" s="1"/>
      <c r="E120" s="395" t="str">
        <f>VLOOKUP(E119,Schlüssel!$A$5:$K$12,2)</f>
        <v>Highroller Rosenheim 2</v>
      </c>
      <c r="F120" s="396"/>
      <c r="G120" s="395" t="str">
        <f>VLOOKUP(G119,Schlüssel!$A$5:$K$12,2)</f>
        <v>Bowling Jugend Bayern 1</v>
      </c>
      <c r="H120" s="396"/>
      <c r="I120" s="395" t="str">
        <f>VLOOKUP(I119,Schlüssel!$A$5:$K$12,2)</f>
        <v>BK München 1</v>
      </c>
      <c r="J120" s="396"/>
      <c r="K120" s="395" t="str">
        <f>VLOOKUP(K119,Schlüssel!$A$5:$K$12,2)</f>
        <v>Highroller Rosenheim 3</v>
      </c>
      <c r="L120" s="396"/>
      <c r="M120" s="395" t="str">
        <f>VLOOKUP(M119,Schlüssel!$A$5:$K$12,2)</f>
        <v>Bad Tölz 1</v>
      </c>
      <c r="N120" s="396"/>
      <c r="O120" s="397"/>
      <c r="P120" s="397"/>
    </row>
    <row r="121" spans="1:30" ht="12" customHeight="1">
      <c r="B121" s="4"/>
      <c r="C121" s="1"/>
      <c r="D121" s="1"/>
      <c r="E121" s="394"/>
      <c r="F121" s="394"/>
      <c r="G121" s="394"/>
      <c r="H121" s="394"/>
      <c r="I121" s="394"/>
      <c r="J121" s="394"/>
      <c r="K121" s="394"/>
      <c r="L121" s="394"/>
      <c r="M121" s="394"/>
      <c r="N121" s="394"/>
      <c r="O121" s="353"/>
      <c r="P121" s="353"/>
    </row>
    <row r="122" spans="1:30" ht="16.2" customHeight="1">
      <c r="B122" s="39" t="s">
        <v>0</v>
      </c>
      <c r="C122" s="40"/>
      <c r="D122" s="40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3"/>
      <c r="P122" s="393"/>
    </row>
    <row r="123" spans="1:30" ht="16.2" customHeight="1">
      <c r="B123" s="39" t="s">
        <v>2</v>
      </c>
      <c r="C123" s="40"/>
      <c r="D123" s="40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3"/>
      <c r="P123" s="393"/>
    </row>
    <row r="124" spans="1:30" ht="16.2" customHeight="1">
      <c r="B124" s="39" t="s">
        <v>3</v>
      </c>
      <c r="C124" s="40"/>
      <c r="D124" s="40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3"/>
      <c r="P124" s="393"/>
    </row>
    <row r="125" spans="1:30" ht="15.75" customHeight="1">
      <c r="B125" s="41" t="s">
        <v>1792</v>
      </c>
      <c r="C125" s="42"/>
      <c r="D125" s="42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41"/>
      <c r="P125" s="341"/>
    </row>
    <row r="126" spans="1:30" ht="21" customHeight="1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6">
        <f>Schlüssel!EC$1</f>
        <v>45829</v>
      </c>
      <c r="N126" s="406"/>
      <c r="O126" s="406"/>
      <c r="AD126" s="76"/>
    </row>
    <row r="127" spans="1:30" ht="17.25" customHeight="1" thickBot="1">
      <c r="A127" s="53"/>
      <c r="B127" s="54">
        <f>+B102+1</f>
        <v>6</v>
      </c>
      <c r="C127" s="35" t="s">
        <v>1787</v>
      </c>
      <c r="D127" s="35"/>
      <c r="E127" s="72" t="str">
        <f>Schlüssel!$DS$2</f>
        <v>Brunnthal Max Munich</v>
      </c>
      <c r="G127" s="66"/>
      <c r="H127" s="66"/>
      <c r="I127" s="66"/>
      <c r="J127" s="66"/>
      <c r="L127" s="66"/>
      <c r="M127" s="34" t="s">
        <v>1785</v>
      </c>
      <c r="N127" s="38">
        <f>+N102</f>
        <v>7</v>
      </c>
      <c r="O127" s="33"/>
      <c r="AD127" s="77"/>
    </row>
    <row r="128" spans="1:30" ht="15.75" customHeight="1" thickBot="1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3.8" thickBot="1">
      <c r="A129" s="6"/>
      <c r="B129" s="7"/>
      <c r="C129" s="43"/>
      <c r="D129" s="43"/>
      <c r="E129" s="47" t="s">
        <v>10</v>
      </c>
      <c r="F129" s="7">
        <f>VLOOKUP(B127,Schlüssel!$A$5:$EL$12,133)</f>
        <v>4</v>
      </c>
      <c r="G129" s="51" t="s">
        <v>10</v>
      </c>
      <c r="H129" s="7">
        <f>VLOOKUP(B127,Schlüssel!$A$5:$EL$12,134)</f>
        <v>5</v>
      </c>
      <c r="I129" s="51" t="s">
        <v>10</v>
      </c>
      <c r="J129" s="7">
        <f>VLOOKUP(B127,Schlüssel!$A$5:$EL$12,135)</f>
        <v>2</v>
      </c>
      <c r="K129" s="51" t="s">
        <v>10</v>
      </c>
      <c r="L129" s="7">
        <f>VLOOKUP(B127,Schlüssel!$A$5:$EL$12,136)</f>
        <v>7</v>
      </c>
      <c r="M129" s="51" t="s">
        <v>10</v>
      </c>
      <c r="N129" s="57">
        <f>VLOOKUP(B127,Schlüssel!$A$5:$EL$12,137)</f>
        <v>1</v>
      </c>
    </row>
    <row r="130" spans="1:16" ht="20.25" customHeight="1">
      <c r="B130" s="44" t="s">
        <v>1</v>
      </c>
      <c r="C130" s="45"/>
      <c r="D130" s="45"/>
      <c r="E130" s="407" t="s">
        <v>1793</v>
      </c>
      <c r="F130" s="408"/>
      <c r="G130" s="407" t="s">
        <v>1794</v>
      </c>
      <c r="H130" s="408"/>
      <c r="I130" s="407" t="s">
        <v>1795</v>
      </c>
      <c r="J130" s="408"/>
      <c r="K130" s="407" t="s">
        <v>1796</v>
      </c>
      <c r="L130" s="408"/>
      <c r="M130" s="407" t="s">
        <v>1797</v>
      </c>
      <c r="N130" s="408"/>
      <c r="O130" s="409" t="s">
        <v>1792</v>
      </c>
      <c r="P130" s="410"/>
    </row>
    <row r="131" spans="1:16" ht="15" customHeight="1" thickBot="1">
      <c r="B131" s="9" t="s">
        <v>1798</v>
      </c>
      <c r="C131" s="48" t="s">
        <v>1799</v>
      </c>
      <c r="D131" s="48" t="s">
        <v>2264</v>
      </c>
      <c r="E131" s="464" t="s">
        <v>1800</v>
      </c>
      <c r="F131" s="465" t="s">
        <v>1801</v>
      </c>
      <c r="G131" s="464" t="s">
        <v>1800</v>
      </c>
      <c r="H131" s="465" t="s">
        <v>1801</v>
      </c>
      <c r="I131" s="464" t="s">
        <v>1800</v>
      </c>
      <c r="J131" s="465" t="s">
        <v>1801</v>
      </c>
      <c r="K131" s="464" t="s">
        <v>1800</v>
      </c>
      <c r="L131" s="465" t="s">
        <v>1801</v>
      </c>
      <c r="M131" s="464" t="s">
        <v>1800</v>
      </c>
      <c r="N131" s="465" t="s">
        <v>1801</v>
      </c>
      <c r="O131" s="464" t="s">
        <v>1800</v>
      </c>
      <c r="P131" s="465" t="s">
        <v>1801</v>
      </c>
    </row>
    <row r="132" spans="1:16" ht="16.95" customHeight="1">
      <c r="A132" s="403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58"/>
      <c r="F132" s="459"/>
      <c r="G132" s="458"/>
      <c r="H132" s="459"/>
      <c r="I132" s="458"/>
      <c r="J132" s="459"/>
      <c r="K132" s="458"/>
      <c r="L132" s="459"/>
      <c r="M132" s="458"/>
      <c r="N132" s="459"/>
      <c r="O132" s="458"/>
      <c r="P132" s="459"/>
    </row>
    <row r="133" spans="1:16" ht="16.95" customHeight="1">
      <c r="A133" s="404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60"/>
      <c r="F133" s="461"/>
      <c r="G133" s="460"/>
      <c r="H133" s="461"/>
      <c r="I133" s="460"/>
      <c r="J133" s="461"/>
      <c r="K133" s="460"/>
      <c r="L133" s="461"/>
      <c r="M133" s="460"/>
      <c r="N133" s="461"/>
      <c r="O133" s="460"/>
      <c r="P133" s="461"/>
    </row>
    <row r="134" spans="1:16" ht="16.95" customHeight="1" thickBot="1">
      <c r="A134" s="405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62"/>
      <c r="F134" s="463"/>
      <c r="G134" s="462"/>
      <c r="H134" s="463"/>
      <c r="I134" s="462"/>
      <c r="J134" s="463"/>
      <c r="K134" s="462"/>
      <c r="L134" s="463"/>
      <c r="M134" s="462"/>
      <c r="N134" s="463"/>
      <c r="O134" s="462"/>
      <c r="P134" s="463"/>
    </row>
    <row r="135" spans="1:16" ht="16.95" customHeight="1">
      <c r="A135" s="403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58"/>
      <c r="F135" s="459"/>
      <c r="G135" s="458"/>
      <c r="H135" s="459"/>
      <c r="I135" s="458"/>
      <c r="J135" s="459"/>
      <c r="K135" s="458"/>
      <c r="L135" s="459"/>
      <c r="M135" s="458"/>
      <c r="N135" s="459"/>
      <c r="O135" s="458"/>
      <c r="P135" s="459"/>
    </row>
    <row r="136" spans="1:16" ht="16.95" customHeight="1">
      <c r="A136" s="404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60"/>
      <c r="F136" s="461"/>
      <c r="G136" s="460"/>
      <c r="H136" s="461"/>
      <c r="I136" s="460"/>
      <c r="J136" s="461"/>
      <c r="K136" s="460"/>
      <c r="L136" s="461"/>
      <c r="M136" s="460"/>
      <c r="N136" s="461"/>
      <c r="O136" s="460"/>
      <c r="P136" s="461"/>
    </row>
    <row r="137" spans="1:16" ht="16.95" customHeight="1" thickBot="1">
      <c r="A137" s="405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62"/>
      <c r="F137" s="463"/>
      <c r="G137" s="462"/>
      <c r="H137" s="463"/>
      <c r="I137" s="462"/>
      <c r="J137" s="463"/>
      <c r="K137" s="462"/>
      <c r="L137" s="463"/>
      <c r="M137" s="462"/>
      <c r="N137" s="463"/>
      <c r="O137" s="462"/>
      <c r="P137" s="463"/>
    </row>
    <row r="138" spans="1:16" ht="16.95" customHeight="1">
      <c r="A138" s="403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58"/>
      <c r="F138" s="459"/>
      <c r="G138" s="458"/>
      <c r="H138" s="459"/>
      <c r="I138" s="458"/>
      <c r="J138" s="459"/>
      <c r="K138" s="458"/>
      <c r="L138" s="459"/>
      <c r="M138" s="458"/>
      <c r="N138" s="459"/>
      <c r="O138" s="458"/>
      <c r="P138" s="459"/>
    </row>
    <row r="139" spans="1:16" ht="16.95" customHeight="1">
      <c r="A139" s="404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60"/>
      <c r="F139" s="461"/>
      <c r="G139" s="460"/>
      <c r="H139" s="461"/>
      <c r="I139" s="460"/>
      <c r="J139" s="461"/>
      <c r="K139" s="460"/>
      <c r="L139" s="461"/>
      <c r="M139" s="460"/>
      <c r="N139" s="461"/>
      <c r="O139" s="460"/>
      <c r="P139" s="461"/>
    </row>
    <row r="140" spans="1:16" ht="16.95" customHeight="1" thickBot="1">
      <c r="A140" s="405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62"/>
      <c r="F140" s="463"/>
      <c r="G140" s="462"/>
      <c r="H140" s="463"/>
      <c r="I140" s="462"/>
      <c r="J140" s="463"/>
      <c r="K140" s="462"/>
      <c r="L140" s="463"/>
      <c r="M140" s="462"/>
      <c r="N140" s="463"/>
      <c r="O140" s="462"/>
      <c r="P140" s="463"/>
    </row>
    <row r="141" spans="1:16" ht="27.75" customHeight="1" thickBot="1">
      <c r="B141" s="11"/>
      <c r="C141" s="25"/>
      <c r="D141" s="204"/>
      <c r="E141" s="456"/>
      <c r="F141" s="457"/>
      <c r="G141" s="456"/>
      <c r="H141" s="457"/>
      <c r="I141" s="456"/>
      <c r="J141" s="457"/>
      <c r="K141" s="456"/>
      <c r="L141" s="457"/>
      <c r="M141" s="456"/>
      <c r="N141" s="457"/>
      <c r="O141" s="456"/>
      <c r="P141" s="457"/>
    </row>
    <row r="142" spans="1:16" ht="24" customHeight="1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>
      <c r="B144" s="211" t="s">
        <v>1790</v>
      </c>
      <c r="C144" s="42" t="s">
        <v>1791</v>
      </c>
      <c r="D144" s="42"/>
      <c r="E144" s="398">
        <f>VLOOKUP(B127,Schlüssel!$A$5:$EL$12,123)</f>
        <v>1</v>
      </c>
      <c r="F144" s="398"/>
      <c r="G144" s="398">
        <f>VLOOKUP(B127,Schlüssel!$A$5:$EL$12,124)</f>
        <v>5</v>
      </c>
      <c r="H144" s="398"/>
      <c r="I144" s="398">
        <f>VLOOKUP(B127,Schlüssel!$A$5:$EL$12,125)</f>
        <v>8</v>
      </c>
      <c r="J144" s="398"/>
      <c r="K144" s="398">
        <f>VLOOKUP(B127,Schlüssel!$A$5:$EL$12,126)</f>
        <v>2</v>
      </c>
      <c r="L144" s="398"/>
      <c r="M144" s="398">
        <f>VLOOKUP(B127,Schlüssel!$A$5:$EL$12,127)</f>
        <v>3</v>
      </c>
      <c r="N144" s="398"/>
      <c r="O144" s="399"/>
      <c r="P144" s="399"/>
    </row>
    <row r="145" spans="1:30" ht="28.5" customHeight="1">
      <c r="B145" s="4"/>
      <c r="C145" s="1"/>
      <c r="D145" s="1"/>
      <c r="E145" s="395" t="str">
        <f>VLOOKUP(E144,Schlüssel!$A$5:$K$12,2)</f>
        <v>Bad Tölz 1</v>
      </c>
      <c r="F145" s="396"/>
      <c r="G145" s="395" t="str">
        <f>VLOOKUP(G144,Schlüssel!$A$5:$K$12,2)</f>
        <v>Berchtesgaden 1</v>
      </c>
      <c r="H145" s="396"/>
      <c r="I145" s="395" t="str">
        <f>VLOOKUP(I144,Schlüssel!$A$5:$K$12,2)</f>
        <v>EMAX 1</v>
      </c>
      <c r="J145" s="396"/>
      <c r="K145" s="395" t="str">
        <f>VLOOKUP(K144,Schlüssel!$A$5:$K$12,2)</f>
        <v>Highroller Rosenheim 1</v>
      </c>
      <c r="L145" s="396"/>
      <c r="M145" s="395" t="str">
        <f>VLOOKUP(M144,Schlüssel!$A$5:$K$12,2)</f>
        <v>Highroller Rosenheim 2</v>
      </c>
      <c r="N145" s="396"/>
      <c r="O145" s="397"/>
      <c r="P145" s="397"/>
    </row>
    <row r="146" spans="1:30" ht="12" customHeight="1">
      <c r="B146" s="4"/>
      <c r="C146" s="1"/>
      <c r="D146" s="1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53"/>
      <c r="P146" s="353"/>
    </row>
    <row r="147" spans="1:30" ht="16.2" customHeight="1">
      <c r="B147" s="39" t="s">
        <v>0</v>
      </c>
      <c r="C147" s="40"/>
      <c r="D147" s="40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3"/>
      <c r="P147" s="393"/>
    </row>
    <row r="148" spans="1:30" ht="16.2" customHeight="1">
      <c r="B148" s="39" t="s">
        <v>2</v>
      </c>
      <c r="C148" s="40"/>
      <c r="D148" s="40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3"/>
      <c r="P148" s="393"/>
    </row>
    <row r="149" spans="1:30" ht="16.2" customHeight="1">
      <c r="B149" s="39" t="s">
        <v>3</v>
      </c>
      <c r="C149" s="40"/>
      <c r="D149" s="40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3"/>
      <c r="P149" s="393"/>
    </row>
    <row r="150" spans="1:30" ht="15.75" customHeight="1">
      <c r="B150" s="41" t="s">
        <v>1792</v>
      </c>
      <c r="C150" s="42"/>
      <c r="D150" s="42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41"/>
      <c r="P150" s="341"/>
    </row>
    <row r="151" spans="1:30" ht="21" customHeight="1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6">
        <f>Schlüssel!EC$1</f>
        <v>45829</v>
      </c>
      <c r="N151" s="406"/>
      <c r="O151" s="406"/>
      <c r="AD151" s="76"/>
    </row>
    <row r="152" spans="1:30" ht="17.25" customHeight="1" thickBot="1">
      <c r="A152" s="53"/>
      <c r="B152" s="54">
        <f>+B127+1</f>
        <v>7</v>
      </c>
      <c r="C152" s="35" t="s">
        <v>1787</v>
      </c>
      <c r="D152" s="35"/>
      <c r="E152" s="72" t="str">
        <f>Schlüssel!$DS$2</f>
        <v>Brunnthal Max Munich</v>
      </c>
      <c r="G152" s="66"/>
      <c r="H152" s="66"/>
      <c r="I152" s="66"/>
      <c r="J152" s="66"/>
      <c r="L152" s="66"/>
      <c r="M152" s="34" t="s">
        <v>1785</v>
      </c>
      <c r="N152" s="38">
        <f>+N127</f>
        <v>7</v>
      </c>
      <c r="O152" s="33"/>
      <c r="AD152" s="77"/>
    </row>
    <row r="153" spans="1:30" ht="15.75" customHeight="1" thickBot="1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3.8" thickBot="1">
      <c r="A154" s="6"/>
      <c r="B154" s="7"/>
      <c r="C154" s="43"/>
      <c r="D154" s="43"/>
      <c r="E154" s="47" t="s">
        <v>10</v>
      </c>
      <c r="F154" s="7">
        <f>VLOOKUP(B152,Schlüssel!$A$5:$EL$12,133)</f>
        <v>1</v>
      </c>
      <c r="G154" s="51" t="s">
        <v>10</v>
      </c>
      <c r="H154" s="7">
        <f>VLOOKUP(B152,Schlüssel!$A$5:$EL$12,134)</f>
        <v>8</v>
      </c>
      <c r="I154" s="51" t="s">
        <v>10</v>
      </c>
      <c r="J154" s="7">
        <f>VLOOKUP(B152,Schlüssel!$A$5:$EL$12,135)</f>
        <v>3</v>
      </c>
      <c r="K154" s="51" t="s">
        <v>10</v>
      </c>
      <c r="L154" s="7">
        <f>VLOOKUP(B152,Schlüssel!$A$5:$EL$12,136)</f>
        <v>6</v>
      </c>
      <c r="M154" s="51" t="s">
        <v>10</v>
      </c>
      <c r="N154" s="57">
        <f>VLOOKUP(B152,Schlüssel!$A$5:$EL$12,137)</f>
        <v>4</v>
      </c>
    </row>
    <row r="155" spans="1:30" ht="20.25" customHeight="1">
      <c r="B155" s="44" t="s">
        <v>1</v>
      </c>
      <c r="C155" s="45"/>
      <c r="D155" s="45"/>
      <c r="E155" s="407" t="s">
        <v>1793</v>
      </c>
      <c r="F155" s="408"/>
      <c r="G155" s="407" t="s">
        <v>1794</v>
      </c>
      <c r="H155" s="408"/>
      <c r="I155" s="407" t="s">
        <v>1795</v>
      </c>
      <c r="J155" s="408"/>
      <c r="K155" s="407" t="s">
        <v>1796</v>
      </c>
      <c r="L155" s="408"/>
      <c r="M155" s="407" t="s">
        <v>1797</v>
      </c>
      <c r="N155" s="408"/>
      <c r="O155" s="409" t="s">
        <v>1792</v>
      </c>
      <c r="P155" s="410"/>
    </row>
    <row r="156" spans="1:30" ht="15" customHeight="1" thickBot="1">
      <c r="B156" s="9" t="s">
        <v>1798</v>
      </c>
      <c r="C156" s="48" t="s">
        <v>1799</v>
      </c>
      <c r="D156" s="48" t="s">
        <v>2264</v>
      </c>
      <c r="E156" s="464" t="s">
        <v>1800</v>
      </c>
      <c r="F156" s="465" t="s">
        <v>1801</v>
      </c>
      <c r="G156" s="464" t="s">
        <v>1800</v>
      </c>
      <c r="H156" s="465" t="s">
        <v>1801</v>
      </c>
      <c r="I156" s="464" t="s">
        <v>1800</v>
      </c>
      <c r="J156" s="465" t="s">
        <v>1801</v>
      </c>
      <c r="K156" s="464" t="s">
        <v>1800</v>
      </c>
      <c r="L156" s="465" t="s">
        <v>1801</v>
      </c>
      <c r="M156" s="464" t="s">
        <v>1800</v>
      </c>
      <c r="N156" s="465" t="s">
        <v>1801</v>
      </c>
      <c r="O156" s="464" t="s">
        <v>1800</v>
      </c>
      <c r="P156" s="465" t="s">
        <v>1801</v>
      </c>
    </row>
    <row r="157" spans="1:30" ht="16.95" customHeight="1">
      <c r="A157" s="403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58"/>
      <c r="F157" s="459"/>
      <c r="G157" s="458"/>
      <c r="H157" s="459"/>
      <c r="I157" s="458"/>
      <c r="J157" s="459"/>
      <c r="K157" s="458"/>
      <c r="L157" s="459"/>
      <c r="M157" s="458"/>
      <c r="N157" s="459"/>
      <c r="O157" s="458"/>
      <c r="P157" s="459"/>
    </row>
    <row r="158" spans="1:30" ht="16.95" customHeight="1">
      <c r="A158" s="404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60"/>
      <c r="F158" s="461"/>
      <c r="G158" s="460"/>
      <c r="H158" s="461"/>
      <c r="I158" s="460"/>
      <c r="J158" s="461"/>
      <c r="K158" s="460"/>
      <c r="L158" s="461"/>
      <c r="M158" s="460"/>
      <c r="N158" s="461"/>
      <c r="O158" s="460"/>
      <c r="P158" s="461"/>
    </row>
    <row r="159" spans="1:30" ht="16.95" customHeight="1" thickBot="1">
      <c r="A159" s="405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62"/>
      <c r="F159" s="463"/>
      <c r="G159" s="462"/>
      <c r="H159" s="463"/>
      <c r="I159" s="462"/>
      <c r="J159" s="463"/>
      <c r="K159" s="462"/>
      <c r="L159" s="463"/>
      <c r="M159" s="462"/>
      <c r="N159" s="463"/>
      <c r="O159" s="462"/>
      <c r="P159" s="463"/>
    </row>
    <row r="160" spans="1:30" ht="16.95" customHeight="1">
      <c r="A160" s="403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58"/>
      <c r="F160" s="459"/>
      <c r="G160" s="458"/>
      <c r="H160" s="459"/>
      <c r="I160" s="458"/>
      <c r="J160" s="459"/>
      <c r="K160" s="458"/>
      <c r="L160" s="459"/>
      <c r="M160" s="458"/>
      <c r="N160" s="459"/>
      <c r="O160" s="458"/>
      <c r="P160" s="459"/>
    </row>
    <row r="161" spans="1:30" ht="16.95" customHeight="1">
      <c r="A161" s="404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60"/>
      <c r="F161" s="461"/>
      <c r="G161" s="460"/>
      <c r="H161" s="461"/>
      <c r="I161" s="460"/>
      <c r="J161" s="461"/>
      <c r="K161" s="460"/>
      <c r="L161" s="461"/>
      <c r="M161" s="460"/>
      <c r="N161" s="461"/>
      <c r="O161" s="460"/>
      <c r="P161" s="461"/>
    </row>
    <row r="162" spans="1:30" ht="16.95" customHeight="1" thickBot="1">
      <c r="A162" s="405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62"/>
      <c r="F162" s="463"/>
      <c r="G162" s="462"/>
      <c r="H162" s="463"/>
      <c r="I162" s="462"/>
      <c r="J162" s="463"/>
      <c r="K162" s="462"/>
      <c r="L162" s="463"/>
      <c r="M162" s="462"/>
      <c r="N162" s="463"/>
      <c r="O162" s="462"/>
      <c r="P162" s="463"/>
    </row>
    <row r="163" spans="1:30" ht="16.95" customHeight="1">
      <c r="A163" s="403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58"/>
      <c r="F163" s="459"/>
      <c r="G163" s="458"/>
      <c r="H163" s="459"/>
      <c r="I163" s="458"/>
      <c r="J163" s="459"/>
      <c r="K163" s="458"/>
      <c r="L163" s="459"/>
      <c r="M163" s="458"/>
      <c r="N163" s="459"/>
      <c r="O163" s="458"/>
      <c r="P163" s="459"/>
    </row>
    <row r="164" spans="1:30" ht="16.95" customHeight="1">
      <c r="A164" s="404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60"/>
      <c r="F164" s="461"/>
      <c r="G164" s="460"/>
      <c r="H164" s="461"/>
      <c r="I164" s="460"/>
      <c r="J164" s="461"/>
      <c r="K164" s="460"/>
      <c r="L164" s="461"/>
      <c r="M164" s="460"/>
      <c r="N164" s="461"/>
      <c r="O164" s="460"/>
      <c r="P164" s="461"/>
    </row>
    <row r="165" spans="1:30" ht="16.95" customHeight="1" thickBot="1">
      <c r="A165" s="405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62"/>
      <c r="F165" s="463"/>
      <c r="G165" s="462"/>
      <c r="H165" s="463"/>
      <c r="I165" s="462"/>
      <c r="J165" s="463"/>
      <c r="K165" s="462"/>
      <c r="L165" s="463"/>
      <c r="M165" s="462"/>
      <c r="N165" s="463"/>
      <c r="O165" s="462"/>
      <c r="P165" s="463"/>
    </row>
    <row r="166" spans="1:30" ht="27.75" customHeight="1" thickBot="1">
      <c r="B166" s="11"/>
      <c r="C166" s="25"/>
      <c r="D166" s="204"/>
      <c r="E166" s="456"/>
      <c r="F166" s="457"/>
      <c r="G166" s="456"/>
      <c r="H166" s="457"/>
      <c r="I166" s="456"/>
      <c r="J166" s="457"/>
      <c r="K166" s="456"/>
      <c r="L166" s="457"/>
      <c r="M166" s="456"/>
      <c r="N166" s="457"/>
      <c r="O166" s="456"/>
      <c r="P166" s="457"/>
    </row>
    <row r="167" spans="1:30" ht="24" customHeight="1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>
      <c r="B169" s="211" t="s">
        <v>1790</v>
      </c>
      <c r="C169" s="42" t="s">
        <v>1791</v>
      </c>
      <c r="D169" s="42"/>
      <c r="E169" s="398">
        <f>VLOOKUP(B152,Schlüssel!$A$5:$EL$12,123)</f>
        <v>4</v>
      </c>
      <c r="F169" s="398"/>
      <c r="G169" s="398">
        <f>VLOOKUP(B152,Schlüssel!$A$5:$EL$12,124)</f>
        <v>8</v>
      </c>
      <c r="H169" s="398"/>
      <c r="I169" s="398">
        <f>VLOOKUP(B152,Schlüssel!$A$5:$EL$12,125)</f>
        <v>5</v>
      </c>
      <c r="J169" s="398"/>
      <c r="K169" s="398">
        <f>VLOOKUP(B152,Schlüssel!$A$5:$EL$12,126)</f>
        <v>3</v>
      </c>
      <c r="L169" s="398"/>
      <c r="M169" s="398">
        <f>VLOOKUP(B152,Schlüssel!$A$5:$EL$12,127)</f>
        <v>2</v>
      </c>
      <c r="N169" s="398"/>
      <c r="O169" s="399"/>
      <c r="P169" s="399"/>
    </row>
    <row r="170" spans="1:30" ht="28.5" customHeight="1">
      <c r="B170" s="4"/>
      <c r="C170" s="1"/>
      <c r="D170" s="1"/>
      <c r="E170" s="395" t="str">
        <f>VLOOKUP(E169,Schlüssel!$A$5:$K$12,2)</f>
        <v>Highroller Rosenheim 3</v>
      </c>
      <c r="F170" s="396"/>
      <c r="G170" s="395" t="str">
        <f>VLOOKUP(G169,Schlüssel!$A$5:$K$12,2)</f>
        <v>EMAX 1</v>
      </c>
      <c r="H170" s="396"/>
      <c r="I170" s="395" t="str">
        <f>VLOOKUP(I169,Schlüssel!$A$5:$K$12,2)</f>
        <v>Berchtesgaden 1</v>
      </c>
      <c r="J170" s="396"/>
      <c r="K170" s="395" t="str">
        <f>VLOOKUP(K169,Schlüssel!$A$5:$K$12,2)</f>
        <v>Highroller Rosenheim 2</v>
      </c>
      <c r="L170" s="396"/>
      <c r="M170" s="395" t="str">
        <f>VLOOKUP(M169,Schlüssel!$A$5:$K$12,2)</f>
        <v>Highroller Rosenheim 1</v>
      </c>
      <c r="N170" s="396"/>
      <c r="O170" s="397"/>
      <c r="P170" s="397"/>
    </row>
    <row r="171" spans="1:30" ht="12" customHeight="1">
      <c r="B171" s="4"/>
      <c r="C171" s="1"/>
      <c r="D171" s="1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53"/>
      <c r="P171" s="353"/>
    </row>
    <row r="172" spans="1:30" ht="16.2" customHeight="1">
      <c r="B172" s="39" t="s">
        <v>0</v>
      </c>
      <c r="C172" s="40"/>
      <c r="D172" s="40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/>
      <c r="O172" s="393"/>
      <c r="P172" s="393"/>
    </row>
    <row r="173" spans="1:30" ht="16.2" customHeight="1">
      <c r="B173" s="39" t="s">
        <v>2</v>
      </c>
      <c r="C173" s="40"/>
      <c r="D173" s="40"/>
      <c r="E173" s="392"/>
      <c r="F173" s="392"/>
      <c r="G173" s="392"/>
      <c r="H173" s="392"/>
      <c r="I173" s="392"/>
      <c r="J173" s="392"/>
      <c r="K173" s="392"/>
      <c r="L173" s="392"/>
      <c r="M173" s="392"/>
      <c r="N173" s="392"/>
      <c r="O173" s="393"/>
      <c r="P173" s="393"/>
    </row>
    <row r="174" spans="1:30" ht="16.2" customHeight="1">
      <c r="B174" s="39" t="s">
        <v>3</v>
      </c>
      <c r="C174" s="40"/>
      <c r="D174" s="40"/>
      <c r="E174" s="392"/>
      <c r="F174" s="392"/>
      <c r="G174" s="392"/>
      <c r="H174" s="392"/>
      <c r="I174" s="392"/>
      <c r="J174" s="392"/>
      <c r="K174" s="392"/>
      <c r="L174" s="392"/>
      <c r="M174" s="392"/>
      <c r="N174" s="392"/>
      <c r="O174" s="393"/>
      <c r="P174" s="393"/>
    </row>
    <row r="175" spans="1:30" ht="15.75" customHeight="1">
      <c r="B175" s="41" t="s">
        <v>1792</v>
      </c>
      <c r="C175" s="42"/>
      <c r="D175" s="42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41"/>
      <c r="P175" s="341"/>
    </row>
    <row r="176" spans="1:30" ht="21" customHeight="1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6">
        <f>Schlüssel!EC$1</f>
        <v>45829</v>
      </c>
      <c r="N176" s="406"/>
      <c r="O176" s="406"/>
      <c r="AD176" s="76"/>
    </row>
    <row r="177" spans="1:30" ht="17.25" customHeight="1" thickBot="1">
      <c r="A177" s="53"/>
      <c r="B177" s="54">
        <f>+B152+1</f>
        <v>8</v>
      </c>
      <c r="C177" s="35" t="s">
        <v>1787</v>
      </c>
      <c r="D177" s="35"/>
      <c r="E177" s="72" t="str">
        <f>Schlüssel!$DS$2</f>
        <v>Brunnthal Max Munich</v>
      </c>
      <c r="G177" s="66"/>
      <c r="H177" s="66"/>
      <c r="I177" s="66"/>
      <c r="J177" s="66"/>
      <c r="L177" s="66"/>
      <c r="M177" s="34" t="s">
        <v>1785</v>
      </c>
      <c r="N177" s="38">
        <f>+N152</f>
        <v>7</v>
      </c>
      <c r="O177" s="33"/>
      <c r="AD177" s="77"/>
    </row>
    <row r="178" spans="1:30" ht="15.75" customHeight="1" thickBot="1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3.8" thickBot="1">
      <c r="A179" s="6"/>
      <c r="B179" s="7"/>
      <c r="C179" s="43"/>
      <c r="D179" s="43"/>
      <c r="E179" s="47" t="s">
        <v>10</v>
      </c>
      <c r="F179" s="7">
        <f>VLOOKUP(B177,Schlüssel!$A$5:$EL$12,133)</f>
        <v>6</v>
      </c>
      <c r="G179" s="51" t="s">
        <v>10</v>
      </c>
      <c r="H179" s="7">
        <f>VLOOKUP(B177,Schlüssel!$A$5:$EL$12,134)</f>
        <v>7</v>
      </c>
      <c r="I179" s="51" t="s">
        <v>10</v>
      </c>
      <c r="J179" s="7">
        <f>VLOOKUP(B177,Schlüssel!$A$5:$EL$12,135)</f>
        <v>1</v>
      </c>
      <c r="K179" s="51" t="s">
        <v>10</v>
      </c>
      <c r="L179" s="7">
        <f>VLOOKUP(B177,Schlüssel!$A$5:$EL$12,136)</f>
        <v>3</v>
      </c>
      <c r="M179" s="51" t="s">
        <v>10</v>
      </c>
      <c r="N179" s="57">
        <f>VLOOKUP(B177,Schlüssel!$A$5:$EL$12,137)</f>
        <v>8</v>
      </c>
    </row>
    <row r="180" spans="1:30" ht="20.25" customHeight="1">
      <c r="B180" s="44" t="s">
        <v>1</v>
      </c>
      <c r="C180" s="45"/>
      <c r="D180" s="45"/>
      <c r="E180" s="407" t="s">
        <v>1793</v>
      </c>
      <c r="F180" s="408"/>
      <c r="G180" s="407" t="s">
        <v>1794</v>
      </c>
      <c r="H180" s="408"/>
      <c r="I180" s="407" t="s">
        <v>1795</v>
      </c>
      <c r="J180" s="408"/>
      <c r="K180" s="407" t="s">
        <v>1796</v>
      </c>
      <c r="L180" s="408"/>
      <c r="M180" s="407" t="s">
        <v>1797</v>
      </c>
      <c r="N180" s="408"/>
      <c r="O180" s="409" t="s">
        <v>1792</v>
      </c>
      <c r="P180" s="410"/>
    </row>
    <row r="181" spans="1:30" ht="15" customHeight="1" thickBot="1">
      <c r="B181" s="9" t="s">
        <v>1798</v>
      </c>
      <c r="C181" s="48" t="s">
        <v>1799</v>
      </c>
      <c r="D181" s="48" t="s">
        <v>2264</v>
      </c>
      <c r="E181" s="464" t="s">
        <v>1800</v>
      </c>
      <c r="F181" s="465" t="s">
        <v>1801</v>
      </c>
      <c r="G181" s="464" t="s">
        <v>1800</v>
      </c>
      <c r="H181" s="465" t="s">
        <v>1801</v>
      </c>
      <c r="I181" s="464" t="s">
        <v>1800</v>
      </c>
      <c r="J181" s="465" t="s">
        <v>1801</v>
      </c>
      <c r="K181" s="464" t="s">
        <v>1800</v>
      </c>
      <c r="L181" s="465" t="s">
        <v>1801</v>
      </c>
      <c r="M181" s="464" t="s">
        <v>1800</v>
      </c>
      <c r="N181" s="465" t="s">
        <v>1801</v>
      </c>
      <c r="O181" s="464" t="s">
        <v>1800</v>
      </c>
      <c r="P181" s="465" t="s">
        <v>1801</v>
      </c>
    </row>
    <row r="182" spans="1:30" ht="16.95" customHeight="1">
      <c r="A182" s="403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58"/>
      <c r="F182" s="459"/>
      <c r="G182" s="458"/>
      <c r="H182" s="459"/>
      <c r="I182" s="458"/>
      <c r="J182" s="459"/>
      <c r="K182" s="458"/>
      <c r="L182" s="459"/>
      <c r="M182" s="458"/>
      <c r="N182" s="459"/>
      <c r="O182" s="458"/>
      <c r="P182" s="459"/>
    </row>
    <row r="183" spans="1:30" ht="16.95" customHeight="1">
      <c r="A183" s="404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60"/>
      <c r="F183" s="461"/>
      <c r="G183" s="460"/>
      <c r="H183" s="461"/>
      <c r="I183" s="460"/>
      <c r="J183" s="461"/>
      <c r="K183" s="460"/>
      <c r="L183" s="461"/>
      <c r="M183" s="460"/>
      <c r="N183" s="461"/>
      <c r="O183" s="460"/>
      <c r="P183" s="461"/>
    </row>
    <row r="184" spans="1:30" ht="16.95" customHeight="1" thickBot="1">
      <c r="A184" s="405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62"/>
      <c r="F184" s="463"/>
      <c r="G184" s="462"/>
      <c r="H184" s="463"/>
      <c r="I184" s="462"/>
      <c r="J184" s="463"/>
      <c r="K184" s="462"/>
      <c r="L184" s="463"/>
      <c r="M184" s="462"/>
      <c r="N184" s="463"/>
      <c r="O184" s="462"/>
      <c r="P184" s="463"/>
    </row>
    <row r="185" spans="1:30" ht="16.95" customHeight="1">
      <c r="A185" s="403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58"/>
      <c r="F185" s="459"/>
      <c r="G185" s="458"/>
      <c r="H185" s="459"/>
      <c r="I185" s="458"/>
      <c r="J185" s="459"/>
      <c r="K185" s="458"/>
      <c r="L185" s="459"/>
      <c r="M185" s="458"/>
      <c r="N185" s="459"/>
      <c r="O185" s="458"/>
      <c r="P185" s="459"/>
    </row>
    <row r="186" spans="1:30" ht="16.95" customHeight="1">
      <c r="A186" s="404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60"/>
      <c r="F186" s="461"/>
      <c r="G186" s="460"/>
      <c r="H186" s="461"/>
      <c r="I186" s="460"/>
      <c r="J186" s="461"/>
      <c r="K186" s="460"/>
      <c r="L186" s="461"/>
      <c r="M186" s="460"/>
      <c r="N186" s="461"/>
      <c r="O186" s="460"/>
      <c r="P186" s="461"/>
    </row>
    <row r="187" spans="1:30" ht="16.95" customHeight="1" thickBot="1">
      <c r="A187" s="405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62"/>
      <c r="F187" s="463"/>
      <c r="G187" s="462"/>
      <c r="H187" s="463"/>
      <c r="I187" s="462"/>
      <c r="J187" s="463"/>
      <c r="K187" s="462"/>
      <c r="L187" s="463"/>
      <c r="M187" s="462"/>
      <c r="N187" s="463"/>
      <c r="O187" s="462"/>
      <c r="P187" s="463"/>
    </row>
    <row r="188" spans="1:30" ht="16.95" customHeight="1">
      <c r="A188" s="403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58"/>
      <c r="F188" s="459"/>
      <c r="G188" s="458"/>
      <c r="H188" s="459"/>
      <c r="I188" s="458"/>
      <c r="J188" s="459"/>
      <c r="K188" s="458"/>
      <c r="L188" s="459"/>
      <c r="M188" s="458"/>
      <c r="N188" s="459"/>
      <c r="O188" s="458"/>
      <c r="P188" s="459"/>
    </row>
    <row r="189" spans="1:30" ht="16.95" customHeight="1">
      <c r="A189" s="404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60"/>
      <c r="F189" s="461"/>
      <c r="G189" s="460"/>
      <c r="H189" s="461"/>
      <c r="I189" s="460"/>
      <c r="J189" s="461"/>
      <c r="K189" s="460"/>
      <c r="L189" s="461"/>
      <c r="M189" s="460"/>
      <c r="N189" s="461"/>
      <c r="O189" s="460"/>
      <c r="P189" s="461"/>
    </row>
    <row r="190" spans="1:30" ht="16.95" customHeight="1" thickBot="1">
      <c r="A190" s="405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62"/>
      <c r="F190" s="463"/>
      <c r="G190" s="462"/>
      <c r="H190" s="463"/>
      <c r="I190" s="462"/>
      <c r="J190" s="463"/>
      <c r="K190" s="462"/>
      <c r="L190" s="463"/>
      <c r="M190" s="462"/>
      <c r="N190" s="463"/>
      <c r="O190" s="462"/>
      <c r="P190" s="463"/>
    </row>
    <row r="191" spans="1:30" ht="27.75" customHeight="1" thickBot="1">
      <c r="B191" s="11"/>
      <c r="C191" s="25"/>
      <c r="D191" s="204"/>
      <c r="E191" s="456"/>
      <c r="F191" s="457"/>
      <c r="G191" s="456"/>
      <c r="H191" s="457"/>
      <c r="I191" s="456"/>
      <c r="J191" s="457"/>
      <c r="K191" s="456"/>
      <c r="L191" s="457"/>
      <c r="M191" s="456"/>
      <c r="N191" s="457"/>
      <c r="O191" s="456"/>
      <c r="P191" s="457"/>
    </row>
    <row r="192" spans="1:30" ht="24" customHeight="1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>
      <c r="B194" s="211" t="s">
        <v>1790</v>
      </c>
      <c r="C194" s="42" t="s">
        <v>1791</v>
      </c>
      <c r="D194" s="42"/>
      <c r="E194" s="398">
        <f>VLOOKUP(B177,Schlüssel!$A$5:$EL$12,123)</f>
        <v>2</v>
      </c>
      <c r="F194" s="398"/>
      <c r="G194" s="398">
        <f>VLOOKUP(B177,Schlüssel!$A$5:$EL$12,124)</f>
        <v>7</v>
      </c>
      <c r="H194" s="398"/>
      <c r="I194" s="398">
        <f>VLOOKUP(B177,Schlüssel!$A$5:$EL$12,125)</f>
        <v>6</v>
      </c>
      <c r="J194" s="398"/>
      <c r="K194" s="398">
        <f>VLOOKUP(B177,Schlüssel!$A$5:$EL$12,126)</f>
        <v>1</v>
      </c>
      <c r="L194" s="398"/>
      <c r="M194" s="398">
        <f>VLOOKUP(B177,Schlüssel!$A$5:$EL$12,127)</f>
        <v>4</v>
      </c>
      <c r="N194" s="398"/>
      <c r="O194" s="399"/>
      <c r="P194" s="399"/>
    </row>
    <row r="195" spans="2:16" ht="28.5" customHeight="1">
      <c r="B195" s="4"/>
      <c r="C195" s="1"/>
      <c r="D195" s="1"/>
      <c r="E195" s="395" t="str">
        <f>VLOOKUP(E194,Schlüssel!$A$5:$K$12,2)</f>
        <v>Highroller Rosenheim 1</v>
      </c>
      <c r="F195" s="396"/>
      <c r="G195" s="395" t="str">
        <f>VLOOKUP(G194,Schlüssel!$A$5:$K$12,2)</f>
        <v>BK München 1</v>
      </c>
      <c r="H195" s="396"/>
      <c r="I195" s="395" t="str">
        <f>VLOOKUP(I194,Schlüssel!$A$5:$K$12,2)</f>
        <v>Bowling Jugend Bayern 1</v>
      </c>
      <c r="J195" s="396"/>
      <c r="K195" s="395" t="str">
        <f>VLOOKUP(K194,Schlüssel!$A$5:$K$12,2)</f>
        <v>Bad Tölz 1</v>
      </c>
      <c r="L195" s="396"/>
      <c r="M195" s="395" t="str">
        <f>VLOOKUP(M194,Schlüssel!$A$5:$K$12,2)</f>
        <v>Highroller Rosenheim 3</v>
      </c>
      <c r="N195" s="396"/>
      <c r="O195" s="397"/>
      <c r="P195" s="397"/>
    </row>
    <row r="196" spans="2:16" ht="12" customHeight="1">
      <c r="B196" s="4"/>
      <c r="C196" s="1"/>
      <c r="D196" s="1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53"/>
      <c r="P196" s="353"/>
    </row>
    <row r="197" spans="2:16" ht="16.2" customHeight="1">
      <c r="B197" s="39" t="s">
        <v>0</v>
      </c>
      <c r="C197" s="40"/>
      <c r="D197" s="40"/>
      <c r="E197" s="392"/>
      <c r="F197" s="392"/>
      <c r="G197" s="392"/>
      <c r="H197" s="392"/>
      <c r="I197" s="392"/>
      <c r="J197" s="392"/>
      <c r="K197" s="392"/>
      <c r="L197" s="392"/>
      <c r="M197" s="392"/>
      <c r="N197" s="392"/>
      <c r="O197" s="393"/>
      <c r="P197" s="393"/>
    </row>
    <row r="198" spans="2:16" ht="16.2" customHeight="1">
      <c r="B198" s="39" t="s">
        <v>2</v>
      </c>
      <c r="C198" s="40"/>
      <c r="D198" s="40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/>
      <c r="O198" s="393"/>
      <c r="P198" s="393"/>
    </row>
    <row r="199" spans="2:16" ht="16.2" customHeight="1">
      <c r="B199" s="39" t="s">
        <v>3</v>
      </c>
      <c r="C199" s="40"/>
      <c r="D199" s="40"/>
      <c r="E199" s="392"/>
      <c r="F199" s="392"/>
      <c r="G199" s="392"/>
      <c r="H199" s="392"/>
      <c r="I199" s="392"/>
      <c r="J199" s="392"/>
      <c r="K199" s="392"/>
      <c r="L199" s="392"/>
      <c r="M199" s="392"/>
      <c r="N199" s="392"/>
      <c r="O199" s="393"/>
      <c r="P199" s="393"/>
    </row>
    <row r="200" spans="2:16" ht="15.75" customHeight="1">
      <c r="B200" s="41" t="s">
        <v>1792</v>
      </c>
      <c r="C200" s="42"/>
      <c r="D200" s="42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41"/>
      <c r="P200" s="341"/>
    </row>
  </sheetData>
  <sheetProtection password="D19C" sheet="1" objects="1" scenarios="1"/>
  <mergeCells count="944"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E141:F141"/>
    <mergeCell ref="G141:H141"/>
    <mergeCell ref="I141:J141"/>
    <mergeCell ref="K141:L141"/>
    <mergeCell ref="M141:N141"/>
    <mergeCell ref="O141:P141"/>
    <mergeCell ref="A138:A140"/>
    <mergeCell ref="E138:F138"/>
    <mergeCell ref="G138:H138"/>
    <mergeCell ref="I138:J138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0:F140"/>
    <mergeCell ref="G140:H140"/>
    <mergeCell ref="I140:J140"/>
    <mergeCell ref="K140:L140"/>
    <mergeCell ref="M140:N140"/>
    <mergeCell ref="O140:P140"/>
    <mergeCell ref="A135:A137"/>
    <mergeCell ref="E135:F135"/>
    <mergeCell ref="G135:H135"/>
    <mergeCell ref="I135:J135"/>
    <mergeCell ref="K135:L135"/>
    <mergeCell ref="M135:N135"/>
    <mergeCell ref="O135:P135"/>
    <mergeCell ref="E136:F136"/>
    <mergeCell ref="G136:H136"/>
    <mergeCell ref="I136:J136"/>
    <mergeCell ref="K136:L136"/>
    <mergeCell ref="M136:N136"/>
    <mergeCell ref="O136:P136"/>
    <mergeCell ref="E137:F137"/>
    <mergeCell ref="G137:H137"/>
    <mergeCell ref="I137:J137"/>
    <mergeCell ref="K137:L137"/>
    <mergeCell ref="M137:N137"/>
    <mergeCell ref="O137:P137"/>
    <mergeCell ref="O132:P132"/>
    <mergeCell ref="E133:F133"/>
    <mergeCell ref="G133:H133"/>
    <mergeCell ref="I133:J133"/>
    <mergeCell ref="K133:L133"/>
    <mergeCell ref="M133:N133"/>
    <mergeCell ref="O133:P133"/>
    <mergeCell ref="A132:A134"/>
    <mergeCell ref="E132:F132"/>
    <mergeCell ref="G132:H132"/>
    <mergeCell ref="I132:J132"/>
    <mergeCell ref="K132:L132"/>
    <mergeCell ref="M132:N132"/>
    <mergeCell ref="E134:F134"/>
    <mergeCell ref="G134:H134"/>
    <mergeCell ref="I134:J134"/>
    <mergeCell ref="K134:L134"/>
    <mergeCell ref="M134:N134"/>
    <mergeCell ref="O134:P134"/>
    <mergeCell ref="E131:F131"/>
    <mergeCell ref="G131:H131"/>
    <mergeCell ref="I131:J131"/>
    <mergeCell ref="K131:L131"/>
    <mergeCell ref="M131:N131"/>
    <mergeCell ref="O131:P131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16:F116"/>
    <mergeCell ref="G116:H116"/>
    <mergeCell ref="I116:J116"/>
    <mergeCell ref="K116:L116"/>
    <mergeCell ref="M116:N116"/>
    <mergeCell ref="O116:P116"/>
    <mergeCell ref="A113:A115"/>
    <mergeCell ref="E113:F113"/>
    <mergeCell ref="G113:H113"/>
    <mergeCell ref="I113:J113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E115:F115"/>
    <mergeCell ref="G115:H115"/>
    <mergeCell ref="I115:J115"/>
    <mergeCell ref="K115:L115"/>
    <mergeCell ref="M115:N115"/>
    <mergeCell ref="O115:P115"/>
    <mergeCell ref="A110:A112"/>
    <mergeCell ref="E110:F110"/>
    <mergeCell ref="G110:H110"/>
    <mergeCell ref="I110:J110"/>
    <mergeCell ref="K110:L110"/>
    <mergeCell ref="M110:N110"/>
    <mergeCell ref="O110:P110"/>
    <mergeCell ref="E111:F111"/>
    <mergeCell ref="G111:H111"/>
    <mergeCell ref="I111:J111"/>
    <mergeCell ref="K111:L111"/>
    <mergeCell ref="M111:N111"/>
    <mergeCell ref="O111:P111"/>
    <mergeCell ref="E112:F112"/>
    <mergeCell ref="G112:H112"/>
    <mergeCell ref="I112:J112"/>
    <mergeCell ref="K112:L112"/>
    <mergeCell ref="M112:N112"/>
    <mergeCell ref="O112:P112"/>
    <mergeCell ref="O107:P107"/>
    <mergeCell ref="E108:F108"/>
    <mergeCell ref="G108:H108"/>
    <mergeCell ref="I108:J108"/>
    <mergeCell ref="K108:L108"/>
    <mergeCell ref="M108:N108"/>
    <mergeCell ref="O108:P108"/>
    <mergeCell ref="A107:A109"/>
    <mergeCell ref="E107:F107"/>
    <mergeCell ref="G107:H107"/>
    <mergeCell ref="I107:J107"/>
    <mergeCell ref="K107:L107"/>
    <mergeCell ref="M107:N107"/>
    <mergeCell ref="E109:F109"/>
    <mergeCell ref="G109:H109"/>
    <mergeCell ref="I109:J109"/>
    <mergeCell ref="K109:L109"/>
    <mergeCell ref="M109:N109"/>
    <mergeCell ref="O109:P109"/>
    <mergeCell ref="E106:F106"/>
    <mergeCell ref="G106:H106"/>
    <mergeCell ref="I106:J106"/>
    <mergeCell ref="K106:L106"/>
    <mergeCell ref="M106:N106"/>
    <mergeCell ref="O106:P106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1:F91"/>
    <mergeCell ref="G91:H91"/>
    <mergeCell ref="I91:J91"/>
    <mergeCell ref="K91:L91"/>
    <mergeCell ref="M91:N91"/>
    <mergeCell ref="O91:P91"/>
    <mergeCell ref="A88:A90"/>
    <mergeCell ref="E88:F88"/>
    <mergeCell ref="G88:H88"/>
    <mergeCell ref="I88:J88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E90:F90"/>
    <mergeCell ref="G90:H90"/>
    <mergeCell ref="I90:J90"/>
    <mergeCell ref="K90:L90"/>
    <mergeCell ref="M90:N90"/>
    <mergeCell ref="O90:P90"/>
    <mergeCell ref="A85:A87"/>
    <mergeCell ref="E85:F85"/>
    <mergeCell ref="G85:H85"/>
    <mergeCell ref="I85:J85"/>
    <mergeCell ref="K85:L85"/>
    <mergeCell ref="M85:N85"/>
    <mergeCell ref="O85:P85"/>
    <mergeCell ref="E86:F86"/>
    <mergeCell ref="G86:H86"/>
    <mergeCell ref="I86:J86"/>
    <mergeCell ref="K86:L86"/>
    <mergeCell ref="M86:N86"/>
    <mergeCell ref="O86:P86"/>
    <mergeCell ref="E87:F87"/>
    <mergeCell ref="G87:H87"/>
    <mergeCell ref="I87:J87"/>
    <mergeCell ref="K87:L87"/>
    <mergeCell ref="M87:N87"/>
    <mergeCell ref="O87:P87"/>
    <mergeCell ref="O82:P82"/>
    <mergeCell ref="E83:F83"/>
    <mergeCell ref="G83:H83"/>
    <mergeCell ref="I83:J83"/>
    <mergeCell ref="K83:L83"/>
    <mergeCell ref="M83:N83"/>
    <mergeCell ref="O83:P83"/>
    <mergeCell ref="A82:A84"/>
    <mergeCell ref="E82:F82"/>
    <mergeCell ref="G82:H82"/>
    <mergeCell ref="I82:J82"/>
    <mergeCell ref="K82:L82"/>
    <mergeCell ref="M82:N82"/>
    <mergeCell ref="E84:F84"/>
    <mergeCell ref="G84:H84"/>
    <mergeCell ref="I84:J84"/>
    <mergeCell ref="K84:L84"/>
    <mergeCell ref="M84:N84"/>
    <mergeCell ref="O84:P84"/>
    <mergeCell ref="E81:F81"/>
    <mergeCell ref="G81:H81"/>
    <mergeCell ref="I81:J81"/>
    <mergeCell ref="K81:L81"/>
    <mergeCell ref="M81:N81"/>
    <mergeCell ref="O81:P81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66:F66"/>
    <mergeCell ref="G66:H66"/>
    <mergeCell ref="I66:J66"/>
    <mergeCell ref="K66:L66"/>
    <mergeCell ref="M66:N66"/>
    <mergeCell ref="O66:P66"/>
    <mergeCell ref="A63:A65"/>
    <mergeCell ref="E63:F63"/>
    <mergeCell ref="G63:H63"/>
    <mergeCell ref="I63:J63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E65:F65"/>
    <mergeCell ref="G65:H65"/>
    <mergeCell ref="I65:J65"/>
    <mergeCell ref="K65:L65"/>
    <mergeCell ref="M65:N65"/>
    <mergeCell ref="O65:P65"/>
    <mergeCell ref="A60:A62"/>
    <mergeCell ref="E60:F60"/>
    <mergeCell ref="G60:H60"/>
    <mergeCell ref="I60:J60"/>
    <mergeCell ref="K60:L60"/>
    <mergeCell ref="M60:N60"/>
    <mergeCell ref="O60:P60"/>
    <mergeCell ref="E61:F61"/>
    <mergeCell ref="G61:H61"/>
    <mergeCell ref="I61:J61"/>
    <mergeCell ref="K61:L61"/>
    <mergeCell ref="M61:N61"/>
    <mergeCell ref="O61:P61"/>
    <mergeCell ref="E62:F62"/>
    <mergeCell ref="G62:H62"/>
    <mergeCell ref="I62:J62"/>
    <mergeCell ref="K62:L62"/>
    <mergeCell ref="M62:N62"/>
    <mergeCell ref="O62:P62"/>
    <mergeCell ref="O57:P57"/>
    <mergeCell ref="E58:F58"/>
    <mergeCell ref="G58:H58"/>
    <mergeCell ref="I58:J58"/>
    <mergeCell ref="K58:L58"/>
    <mergeCell ref="M58:N58"/>
    <mergeCell ref="O58:P58"/>
    <mergeCell ref="A57:A59"/>
    <mergeCell ref="E57:F57"/>
    <mergeCell ref="G57:H57"/>
    <mergeCell ref="I57:J57"/>
    <mergeCell ref="K57:L57"/>
    <mergeCell ref="M57:N57"/>
    <mergeCell ref="E59:F59"/>
    <mergeCell ref="G59:H59"/>
    <mergeCell ref="I59:J59"/>
    <mergeCell ref="K59:L59"/>
    <mergeCell ref="M59:N59"/>
    <mergeCell ref="O59:P59"/>
    <mergeCell ref="E56:F56"/>
    <mergeCell ref="G56:H56"/>
    <mergeCell ref="I56:J56"/>
    <mergeCell ref="K56:L56"/>
    <mergeCell ref="M56:N56"/>
    <mergeCell ref="O56:P56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1:F41"/>
    <mergeCell ref="G41:H41"/>
    <mergeCell ref="I41:J41"/>
    <mergeCell ref="K41:L41"/>
    <mergeCell ref="M41:N41"/>
    <mergeCell ref="O41:P41"/>
    <mergeCell ref="A38:A40"/>
    <mergeCell ref="E38:F38"/>
    <mergeCell ref="G38:H38"/>
    <mergeCell ref="I38:J38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E40:F40"/>
    <mergeCell ref="G40:H40"/>
    <mergeCell ref="I40:J40"/>
    <mergeCell ref="K40:L40"/>
    <mergeCell ref="M40:N40"/>
    <mergeCell ref="O40:P40"/>
    <mergeCell ref="A35:A37"/>
    <mergeCell ref="E35:F35"/>
    <mergeCell ref="G35:H35"/>
    <mergeCell ref="I35:J35"/>
    <mergeCell ref="K35:L35"/>
    <mergeCell ref="M35:N35"/>
    <mergeCell ref="O35:P35"/>
    <mergeCell ref="E36:F36"/>
    <mergeCell ref="G36:H36"/>
    <mergeCell ref="I36:J36"/>
    <mergeCell ref="K36:L36"/>
    <mergeCell ref="M36:N36"/>
    <mergeCell ref="O36:P36"/>
    <mergeCell ref="E37:F37"/>
    <mergeCell ref="G37:H37"/>
    <mergeCell ref="I37:J37"/>
    <mergeCell ref="K37:L37"/>
    <mergeCell ref="M37:N37"/>
    <mergeCell ref="O37:P37"/>
    <mergeCell ref="O32:P32"/>
    <mergeCell ref="E33:F33"/>
    <mergeCell ref="G33:H33"/>
    <mergeCell ref="I33:J33"/>
    <mergeCell ref="K33:L33"/>
    <mergeCell ref="M33:N33"/>
    <mergeCell ref="O33:P33"/>
    <mergeCell ref="A32:A34"/>
    <mergeCell ref="E32:F32"/>
    <mergeCell ref="G32:H32"/>
    <mergeCell ref="I32:J32"/>
    <mergeCell ref="K32:L32"/>
    <mergeCell ref="M32:N32"/>
    <mergeCell ref="E34:F34"/>
    <mergeCell ref="G34:H34"/>
    <mergeCell ref="I34:J34"/>
    <mergeCell ref="K34:L34"/>
    <mergeCell ref="M34:N34"/>
    <mergeCell ref="O34:P34"/>
    <mergeCell ref="E31:F31"/>
    <mergeCell ref="G31:H31"/>
    <mergeCell ref="I31:J31"/>
    <mergeCell ref="K31:L31"/>
    <mergeCell ref="M31:N31"/>
    <mergeCell ref="O31:P31"/>
    <mergeCell ref="M26:O26"/>
    <mergeCell ref="E30:F30"/>
    <mergeCell ref="G30:H30"/>
    <mergeCell ref="I30:J30"/>
    <mergeCell ref="K30:L30"/>
    <mergeCell ref="M30:N30"/>
    <mergeCell ref="O30:P30"/>
    <mergeCell ref="E25:F25"/>
    <mergeCell ref="G25:H25"/>
    <mergeCell ref="I25:J25"/>
    <mergeCell ref="K25:L25"/>
    <mergeCell ref="M25:N25"/>
    <mergeCell ref="O25:P25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  <mergeCell ref="O22:P22"/>
    <mergeCell ref="E21:F21"/>
    <mergeCell ref="G21:H21"/>
    <mergeCell ref="I21:J21"/>
    <mergeCell ref="K21:L21"/>
    <mergeCell ref="M21:N21"/>
    <mergeCell ref="O21:P21"/>
    <mergeCell ref="E20:F20"/>
    <mergeCell ref="G20:H20"/>
    <mergeCell ref="I20:J20"/>
    <mergeCell ref="K20:L20"/>
    <mergeCell ref="M20:N20"/>
    <mergeCell ref="O20:P20"/>
    <mergeCell ref="E19:F19"/>
    <mergeCell ref="G19:H19"/>
    <mergeCell ref="I19:J19"/>
    <mergeCell ref="K19:L19"/>
    <mergeCell ref="M19:N19"/>
    <mergeCell ref="O19:P19"/>
    <mergeCell ref="E16:F16"/>
    <mergeCell ref="G16:H16"/>
    <mergeCell ref="I16:J16"/>
    <mergeCell ref="K16:L16"/>
    <mergeCell ref="M16:N16"/>
    <mergeCell ref="O16:P16"/>
    <mergeCell ref="A13:A15"/>
    <mergeCell ref="E13:F13"/>
    <mergeCell ref="G13:H13"/>
    <mergeCell ref="I13:J13"/>
    <mergeCell ref="K13:L13"/>
    <mergeCell ref="M13:N13"/>
    <mergeCell ref="O13:P13"/>
    <mergeCell ref="E14:F14"/>
    <mergeCell ref="G14:H14"/>
    <mergeCell ref="I14:J14"/>
    <mergeCell ref="K14:L14"/>
    <mergeCell ref="M14:N14"/>
    <mergeCell ref="O14:P14"/>
    <mergeCell ref="E15:F15"/>
    <mergeCell ref="G15:H15"/>
    <mergeCell ref="I15:J15"/>
    <mergeCell ref="K15:L15"/>
    <mergeCell ref="M15:N15"/>
    <mergeCell ref="O15:P15"/>
    <mergeCell ref="A10:A12"/>
    <mergeCell ref="E10:F10"/>
    <mergeCell ref="G10:H10"/>
    <mergeCell ref="I10:J10"/>
    <mergeCell ref="K10:L10"/>
    <mergeCell ref="M10:N10"/>
    <mergeCell ref="O10:P10"/>
    <mergeCell ref="E11:F11"/>
    <mergeCell ref="G11:H11"/>
    <mergeCell ref="I11:J11"/>
    <mergeCell ref="K11:L11"/>
    <mergeCell ref="M11:N11"/>
    <mergeCell ref="O11:P11"/>
    <mergeCell ref="E12:F12"/>
    <mergeCell ref="G12:H12"/>
    <mergeCell ref="I12:J12"/>
    <mergeCell ref="K12:L12"/>
    <mergeCell ref="M12:N12"/>
    <mergeCell ref="O12:P12"/>
    <mergeCell ref="O7:P7"/>
    <mergeCell ref="E8:F8"/>
    <mergeCell ref="G8:H8"/>
    <mergeCell ref="I8:J8"/>
    <mergeCell ref="K8:L8"/>
    <mergeCell ref="M8:N8"/>
    <mergeCell ref="O8:P8"/>
    <mergeCell ref="A7:A9"/>
    <mergeCell ref="E7:F7"/>
    <mergeCell ref="G7:H7"/>
    <mergeCell ref="I7:J7"/>
    <mergeCell ref="K7:L7"/>
    <mergeCell ref="M7:N7"/>
    <mergeCell ref="E9:F9"/>
    <mergeCell ref="G9:H9"/>
    <mergeCell ref="I9:J9"/>
    <mergeCell ref="K9:L9"/>
    <mergeCell ref="M9:N9"/>
    <mergeCell ref="O9:P9"/>
    <mergeCell ref="E6:F6"/>
    <mergeCell ref="G6:H6"/>
    <mergeCell ref="I6:J6"/>
    <mergeCell ref="K6:L6"/>
    <mergeCell ref="M6:N6"/>
    <mergeCell ref="O6:P6"/>
    <mergeCell ref="M1:O1"/>
    <mergeCell ref="E5:F5"/>
    <mergeCell ref="G5:H5"/>
    <mergeCell ref="I5:J5"/>
    <mergeCell ref="K5:L5"/>
    <mergeCell ref="M5:N5"/>
    <mergeCell ref="O5:P5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66" priority="22" stopIfTrue="1" operator="equal">
      <formula>0</formula>
    </cfRule>
  </conditionalFormatting>
  <conditionalFormatting sqref="D32:D40">
    <cfRule type="cellIs" dxfId="65" priority="19" stopIfTrue="1" operator="equal">
      <formula>0</formula>
    </cfRule>
  </conditionalFormatting>
  <conditionalFormatting sqref="D57:D65">
    <cfRule type="cellIs" dxfId="64" priority="16" stopIfTrue="1" operator="equal">
      <formula>0</formula>
    </cfRule>
  </conditionalFormatting>
  <conditionalFormatting sqref="D82:D90">
    <cfRule type="cellIs" dxfId="63" priority="13" stopIfTrue="1" operator="equal">
      <formula>0</formula>
    </cfRule>
  </conditionalFormatting>
  <conditionalFormatting sqref="D107:D115">
    <cfRule type="cellIs" dxfId="62" priority="10" stopIfTrue="1" operator="equal">
      <formula>0</formula>
    </cfRule>
  </conditionalFormatting>
  <conditionalFormatting sqref="D132:D140">
    <cfRule type="cellIs" dxfId="61" priority="7" stopIfTrue="1" operator="equal">
      <formula>0</formula>
    </cfRule>
  </conditionalFormatting>
  <conditionalFormatting sqref="D157:D165">
    <cfRule type="cellIs" dxfId="60" priority="4" stopIfTrue="1" operator="equal">
      <formula>0</formula>
    </cfRule>
  </conditionalFormatting>
  <conditionalFormatting sqref="D182:D190">
    <cfRule type="cellIs" dxfId="59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  <pageSetUpPr fitToPage="1"/>
  </sheetPr>
  <dimension ref="A1:BM208"/>
  <sheetViews>
    <sheetView view="pageBreakPreview" zoomScaleNormal="100" zoomScaleSheetLayoutView="100" workbookViewId="0">
      <selection activeCell="E8" sqref="E7:J9"/>
    </sheetView>
  </sheetViews>
  <sheetFormatPr baseColWidth="10" defaultRowHeight="13.2"/>
  <cols>
    <col min="1" max="1" width="4.44140625" customWidth="1"/>
    <col min="2" max="2" width="15.6640625" bestFit="1" customWidth="1"/>
    <col min="3" max="3" width="6.44140625" bestFit="1" customWidth="1"/>
    <col min="4" max="4" width="7.44140625" bestFit="1" customWidth="1"/>
    <col min="5" max="5" width="6.33203125" bestFit="1" customWidth="1"/>
    <col min="6" max="6" width="8.33203125" bestFit="1" customWidth="1"/>
    <col min="7" max="7" width="4.44140625" bestFit="1" customWidth="1"/>
    <col min="8" max="8" width="5.6640625" customWidth="1"/>
    <col min="9" max="9" width="8.33203125" bestFit="1" customWidth="1"/>
    <col min="10" max="10" width="4.44140625" bestFit="1" customWidth="1"/>
    <col min="11" max="11" width="5.6640625" customWidth="1"/>
    <col min="12" max="12" width="8.33203125" bestFit="1" customWidth="1"/>
    <col min="13" max="13" width="4.44140625" bestFit="1" customWidth="1"/>
    <col min="14" max="14" width="5.6640625" customWidth="1"/>
    <col min="15" max="15" width="8.33203125" bestFit="1" customWidth="1"/>
    <col min="16" max="16" width="4.44140625" bestFit="1" customWidth="1"/>
    <col min="17" max="17" width="5.6640625" bestFit="1" customWidth="1"/>
    <col min="18" max="18" width="8.33203125" bestFit="1" customWidth="1"/>
    <col min="19" max="19" width="4.44140625" bestFit="1" customWidth="1"/>
    <col min="20" max="20" width="4.6640625" bestFit="1" customWidth="1"/>
    <col min="21" max="21" width="8.33203125" bestFit="1" customWidth="1"/>
    <col min="22" max="22" width="4.4414062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3203125" hidden="1" customWidth="1"/>
    <col min="41" max="41" width="10.6640625" hidden="1" customWidth="1"/>
    <col min="42" max="42" width="11.33203125" hidden="1" customWidth="1"/>
    <col min="43" max="43" width="6.44140625" style="169" hidden="1" customWidth="1"/>
    <col min="44" max="44" width="11.33203125" style="169" hidden="1" customWidth="1"/>
    <col min="45" max="45" width="7.6640625" style="169" hidden="1" customWidth="1"/>
    <col min="46" max="46" width="5.44140625" style="169" hidden="1" customWidth="1"/>
    <col min="47" max="47" width="6.33203125" style="169" hidden="1" customWidth="1"/>
    <col min="48" max="48" width="5.44140625" style="169" hidden="1" customWidth="1"/>
    <col min="49" max="49" width="6" style="169" hidden="1" customWidth="1"/>
    <col min="50" max="50" width="8.44140625" style="169" hidden="1" customWidth="1"/>
    <col min="51" max="55" width="4.33203125" style="169" hidden="1" customWidth="1"/>
    <col min="56" max="56" width="14.6640625" style="169" hidden="1" customWidth="1"/>
    <col min="57" max="57" width="5.33203125" style="169" hidden="1" customWidth="1"/>
    <col min="58" max="58" width="9.44140625" style="169" hidden="1" customWidth="1"/>
    <col min="59" max="59" width="11" style="169" hidden="1" customWidth="1"/>
    <col min="60" max="60" width="17.33203125" style="169" hidden="1" customWidth="1"/>
    <col min="61" max="62" width="5.33203125" style="169" hidden="1" customWidth="1"/>
    <col min="63" max="63" width="7.6640625" style="169" hidden="1" customWidth="1"/>
    <col min="64" max="64" width="11.44140625" style="169" hidden="1" customWidth="1"/>
    <col min="65" max="65" width="5.33203125" style="169" hidden="1" customWidth="1"/>
    <col min="66" max="79" width="11.44140625" customWidth="1"/>
  </cols>
  <sheetData>
    <row r="1" spans="1:65" ht="21" customHeight="1">
      <c r="A1" s="255"/>
      <c r="B1" s="7" t="s">
        <v>1802</v>
      </c>
      <c r="C1" s="24"/>
      <c r="D1" s="24"/>
      <c r="E1" s="35" t="s">
        <v>1786</v>
      </c>
      <c r="F1" s="35"/>
      <c r="G1" s="427" t="str">
        <f>Schlüssel!$C$1</f>
        <v>Landesliga Jugend</v>
      </c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06">
        <f>Schlüssel!$EC$1</f>
        <v>45829</v>
      </c>
      <c r="T1" s="406"/>
      <c r="U1" s="406"/>
      <c r="V1" s="406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>
      <c r="A2" s="53"/>
      <c r="B2" s="54">
        <v>1</v>
      </c>
      <c r="E2" s="35" t="s">
        <v>1787</v>
      </c>
      <c r="F2" s="35"/>
      <c r="G2" s="413" t="str">
        <f>Schlüssel!$DS$2</f>
        <v>Brunnthal Max Munich</v>
      </c>
      <c r="H2" s="413"/>
      <c r="I2" s="413"/>
      <c r="J2" s="413"/>
      <c r="K2" s="413"/>
      <c r="L2" s="413"/>
      <c r="M2" s="413"/>
      <c r="N2" s="413"/>
      <c r="O2" s="413"/>
      <c r="P2" s="66"/>
      <c r="Q2" s="411" t="s">
        <v>1785</v>
      </c>
      <c r="R2" s="412"/>
      <c r="S2" s="38">
        <v>7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>
      <c r="B3" s="414" t="str">
        <f>VLOOKUP(B2,Schlüssel!$A$5:$B$12,2)</f>
        <v>Bad Tölz 1</v>
      </c>
      <c r="C3" s="415"/>
      <c r="D3" s="415"/>
      <c r="E3" s="415"/>
      <c r="F3" s="415"/>
      <c r="G3" s="416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3.8" hidden="1" thickBot="1">
      <c r="A4" s="6"/>
      <c r="B4" s="7"/>
      <c r="C4" s="43"/>
      <c r="D4" s="43"/>
      <c r="E4" s="162" t="s">
        <v>10</v>
      </c>
      <c r="F4" s="220"/>
      <c r="G4" s="159">
        <f>VLOOKUP(B2,Schlüssel!$A$5:$EK$12,133)</f>
        <v>3</v>
      </c>
      <c r="H4" s="161" t="s">
        <v>10</v>
      </c>
      <c r="I4" s="220"/>
      <c r="J4" s="159">
        <f>VLOOKUP(B2,Schlüssel!$A$5:$EK$12,134)</f>
        <v>2</v>
      </c>
      <c r="K4" s="161" t="s">
        <v>10</v>
      </c>
      <c r="L4" s="220"/>
      <c r="M4" s="159">
        <f>VLOOKUP(B2,Schlüssel!$A$5:$EK$12,135)</f>
        <v>8</v>
      </c>
      <c r="N4" s="161" t="s">
        <v>10</v>
      </c>
      <c r="O4" s="220"/>
      <c r="P4" s="159">
        <f>VLOOKUP(B2,Schlüssel!$A$5:$EK$12,136)</f>
        <v>4</v>
      </c>
      <c r="Q4" s="161" t="s">
        <v>10</v>
      </c>
      <c r="R4" s="220"/>
      <c r="S4" s="160">
        <f>VLOOKUP(B2,Schlüssel!$A$5:$EK$12,137)</f>
        <v>6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>
      <c r="B5" s="44" t="s">
        <v>1</v>
      </c>
      <c r="C5" s="208"/>
      <c r="D5" s="217"/>
      <c r="E5" s="423" t="s">
        <v>1793</v>
      </c>
      <c r="F5" s="423"/>
      <c r="G5" s="408"/>
      <c r="H5" s="407" t="s">
        <v>1794</v>
      </c>
      <c r="I5" s="423"/>
      <c r="J5" s="408"/>
      <c r="K5" s="407" t="s">
        <v>1795</v>
      </c>
      <c r="L5" s="423"/>
      <c r="M5" s="408"/>
      <c r="N5" s="407" t="s">
        <v>1796</v>
      </c>
      <c r="O5" s="423"/>
      <c r="P5" s="408"/>
      <c r="Q5" s="407" t="s">
        <v>1797</v>
      </c>
      <c r="R5" s="423"/>
      <c r="S5" s="437"/>
      <c r="T5" s="439" t="s">
        <v>1792</v>
      </c>
      <c r="U5" s="440"/>
      <c r="V5" s="410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6.95" customHeight="1">
      <c r="A7" s="403" t="s">
        <v>0</v>
      </c>
      <c r="B7" s="58" t="str">
        <f>IF(C7=0,"",VLOOKUP(C7,Starter!$A$1:$D$196,2,FALSE))</f>
        <v/>
      </c>
      <c r="C7" s="232"/>
      <c r="D7" s="238">
        <f t="shared" ref="D7:D15" si="0">+AP7</f>
        <v>0</v>
      </c>
      <c r="E7" s="221"/>
      <c r="F7" s="240">
        <f t="shared" ref="F7:F15" si="1">IF(E7&gt;0,E7+$D7,0)</f>
        <v>0</v>
      </c>
      <c r="G7" s="428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8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8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8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8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400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IF(AU7=0,0,IFERROR(INDEX(RanglisteST7!K:K,MATCH(AU7,RanglisteST7!A:A,0)),0))</f>
        <v>0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0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6.95" customHeight="1">
      <c r="A8" s="404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9"/>
      <c r="H8" s="222"/>
      <c r="I8" s="241">
        <f t="shared" si="2"/>
        <v>0</v>
      </c>
      <c r="J8" s="429"/>
      <c r="K8" s="222"/>
      <c r="L8" s="241">
        <f t="shared" si="3"/>
        <v>0</v>
      </c>
      <c r="M8" s="429"/>
      <c r="N8" s="222"/>
      <c r="O8" s="241">
        <f t="shared" si="4"/>
        <v>0</v>
      </c>
      <c r="P8" s="429"/>
      <c r="Q8" s="222"/>
      <c r="R8" s="241">
        <f t="shared" si="5"/>
        <v>0</v>
      </c>
      <c r="S8" s="429"/>
      <c r="T8" s="222">
        <f t="shared" si="6"/>
        <v>0</v>
      </c>
      <c r="U8" s="241">
        <f t="shared" si="6"/>
        <v>0</v>
      </c>
      <c r="V8" s="401"/>
      <c r="W8" s="79"/>
      <c r="X8" s="79"/>
      <c r="Y8" s="79"/>
      <c r="Z8" s="79"/>
      <c r="AA8" s="79"/>
      <c r="AB8" s="79"/>
      <c r="AL8" s="169">
        <f>IF(AU8=0,0,IFERROR(INDEX(RanglisteST7!K:K,MATCH(AU8,RanglisteST7!A:A,0)),0))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6.95" customHeight="1" thickBot="1">
      <c r="A9" s="405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30"/>
      <c r="H9" s="224"/>
      <c r="I9" s="242">
        <f t="shared" si="2"/>
        <v>0</v>
      </c>
      <c r="J9" s="430"/>
      <c r="K9" s="224"/>
      <c r="L9" s="242">
        <f t="shared" si="3"/>
        <v>0</v>
      </c>
      <c r="M9" s="430"/>
      <c r="N9" s="224"/>
      <c r="O9" s="242">
        <f t="shared" si="4"/>
        <v>0</v>
      </c>
      <c r="P9" s="430"/>
      <c r="Q9" s="224"/>
      <c r="R9" s="242">
        <f t="shared" si="5"/>
        <v>0</v>
      </c>
      <c r="S9" s="430"/>
      <c r="T9" s="224">
        <f t="shared" si="6"/>
        <v>0</v>
      </c>
      <c r="U9" s="242">
        <f t="shared" si="6"/>
        <v>0</v>
      </c>
      <c r="V9" s="402"/>
      <c r="W9" s="79"/>
      <c r="X9" s="79"/>
      <c r="Y9" s="79"/>
      <c r="Z9" s="79"/>
      <c r="AA9" s="79"/>
      <c r="AB9" s="79"/>
      <c r="AL9" s="169">
        <f>IF(AU9=0,0,IFERROR(INDEX(RanglisteST7!K:K,MATCH(AU9,RanglisteST7!A:A,0)),0))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6.95" customHeight="1">
      <c r="A10" s="403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8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8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8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8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8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400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IF(AU10=0,0,IFERROR(INDEX(RanglisteST7!K:K,MATCH(AU10,RanglisteST7!A:A,0)),0))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6.95" customHeight="1">
      <c r="A11" s="404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9"/>
      <c r="H11" s="222"/>
      <c r="I11" s="241">
        <f t="shared" si="2"/>
        <v>0</v>
      </c>
      <c r="J11" s="429"/>
      <c r="K11" s="222"/>
      <c r="L11" s="241">
        <f t="shared" si="3"/>
        <v>0</v>
      </c>
      <c r="M11" s="429"/>
      <c r="N11" s="222"/>
      <c r="O11" s="241">
        <f t="shared" si="4"/>
        <v>0</v>
      </c>
      <c r="P11" s="429"/>
      <c r="Q11" s="222"/>
      <c r="R11" s="241">
        <f t="shared" si="5"/>
        <v>0</v>
      </c>
      <c r="S11" s="429"/>
      <c r="T11" s="222">
        <f t="shared" si="6"/>
        <v>0</v>
      </c>
      <c r="U11" s="241">
        <f t="shared" si="6"/>
        <v>0</v>
      </c>
      <c r="V11" s="401"/>
      <c r="W11" s="79"/>
      <c r="X11" s="79"/>
      <c r="Y11" s="79"/>
      <c r="Z11" s="79"/>
      <c r="AA11" s="79"/>
      <c r="AB11" s="79"/>
      <c r="AL11" s="169">
        <f>IF(AU11=0,0,IFERROR(INDEX(RanglisteST7!K:K,MATCH(AU11,RanglisteST7!A:A,0)),0))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6.95" customHeight="1" thickBot="1">
      <c r="A12" s="405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30"/>
      <c r="H12" s="224"/>
      <c r="I12" s="242">
        <f t="shared" si="2"/>
        <v>0</v>
      </c>
      <c r="J12" s="430"/>
      <c r="K12" s="224"/>
      <c r="L12" s="242">
        <f t="shared" si="3"/>
        <v>0</v>
      </c>
      <c r="M12" s="430"/>
      <c r="N12" s="224"/>
      <c r="O12" s="242">
        <f t="shared" si="4"/>
        <v>0</v>
      </c>
      <c r="P12" s="430"/>
      <c r="Q12" s="224"/>
      <c r="R12" s="242">
        <f t="shared" si="5"/>
        <v>0</v>
      </c>
      <c r="S12" s="430"/>
      <c r="T12" s="224">
        <f t="shared" si="6"/>
        <v>0</v>
      </c>
      <c r="U12" s="242">
        <f t="shared" si="6"/>
        <v>0</v>
      </c>
      <c r="V12" s="402"/>
      <c r="W12" s="79"/>
      <c r="X12" s="79"/>
      <c r="Y12" s="79"/>
      <c r="Z12" s="79"/>
      <c r="AA12" s="79"/>
      <c r="AB12" s="79"/>
      <c r="AL12" s="169">
        <f>IF(AU12=0,0,IFERROR(INDEX(RanglisteST7!K:K,MATCH(AU12,RanglisteST7!A:A,0)),0))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6.95" customHeight="1">
      <c r="A13" s="403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8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8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8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8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8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400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IF(AU13=0,0,IFERROR(INDEX(RanglisteST7!K:K,MATCH(AU13,RanglisteST7!A:A,0)),0))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6.95" customHeight="1">
      <c r="A14" s="404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9"/>
      <c r="H14" s="222"/>
      <c r="I14" s="241">
        <f t="shared" si="2"/>
        <v>0</v>
      </c>
      <c r="J14" s="429"/>
      <c r="K14" s="222"/>
      <c r="L14" s="241">
        <f t="shared" si="3"/>
        <v>0</v>
      </c>
      <c r="M14" s="429"/>
      <c r="N14" s="222"/>
      <c r="O14" s="241">
        <f t="shared" si="4"/>
        <v>0</v>
      </c>
      <c r="P14" s="429"/>
      <c r="Q14" s="222"/>
      <c r="R14" s="241">
        <f t="shared" si="5"/>
        <v>0</v>
      </c>
      <c r="S14" s="429"/>
      <c r="T14" s="222">
        <f t="shared" si="6"/>
        <v>0</v>
      </c>
      <c r="U14" s="241">
        <f t="shared" si="6"/>
        <v>0</v>
      </c>
      <c r="V14" s="401"/>
      <c r="W14" s="79"/>
      <c r="X14" s="79"/>
      <c r="Y14" s="79"/>
      <c r="Z14" s="79"/>
      <c r="AA14" s="79"/>
      <c r="AB14" s="79"/>
      <c r="AL14" s="169">
        <f>IF(AU14=0,0,IFERROR(INDEX(RanglisteST7!K:K,MATCH(AU14,RanglisteST7!A:A,0)),0))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6.95" customHeight="1" thickBot="1">
      <c r="A15" s="405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30"/>
      <c r="H15" s="224"/>
      <c r="I15" s="242">
        <f t="shared" si="2"/>
        <v>0</v>
      </c>
      <c r="J15" s="430"/>
      <c r="K15" s="224"/>
      <c r="L15" s="242">
        <f t="shared" si="3"/>
        <v>0</v>
      </c>
      <c r="M15" s="430"/>
      <c r="N15" s="224"/>
      <c r="O15" s="242">
        <f t="shared" si="4"/>
        <v>0</v>
      </c>
      <c r="P15" s="430"/>
      <c r="Q15" s="224"/>
      <c r="R15" s="242">
        <f t="shared" si="5"/>
        <v>0</v>
      </c>
      <c r="S15" s="430"/>
      <c r="T15" s="224">
        <f t="shared" si="6"/>
        <v>0</v>
      </c>
      <c r="U15" s="242">
        <f t="shared" si="6"/>
        <v>0</v>
      </c>
      <c r="V15" s="402"/>
      <c r="W15" s="79"/>
      <c r="X15" s="79"/>
      <c r="Y15" s="79"/>
      <c r="Z15" s="79"/>
      <c r="AA15" s="79"/>
      <c r="AB15" s="79"/>
      <c r="AL15" s="169">
        <f>IF(AU15=0,0,IFERROR(INDEX(RanglisteST7!K:K,MATCH(AU15,RanglisteST7!A:A,0)),0))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>
      <c r="B19" s="231" t="s">
        <v>1790</v>
      </c>
      <c r="C19" s="210"/>
      <c r="D19" s="42"/>
      <c r="E19" s="434">
        <f>VLOOKUP($B2,Schlüssel!$A$5:$EK$12,123)</f>
        <v>6</v>
      </c>
      <c r="F19" s="435"/>
      <c r="G19" s="436"/>
      <c r="H19" s="434">
        <f>VLOOKUP($B2,Schlüssel!$A$5:$EK$12,124)</f>
        <v>2</v>
      </c>
      <c r="I19" s="435"/>
      <c r="J19" s="436"/>
      <c r="K19" s="434">
        <f>VLOOKUP($B2,Schlüssel!$A$5:$EK$12,125)</f>
        <v>3</v>
      </c>
      <c r="L19" s="435"/>
      <c r="M19" s="436"/>
      <c r="N19" s="434">
        <f>VLOOKUP($B2,Schlüssel!$A$5:$EK$12,126)</f>
        <v>8</v>
      </c>
      <c r="O19" s="435"/>
      <c r="P19" s="436"/>
      <c r="Q19" s="434">
        <f>VLOOKUP($B2,Schlüssel!$A$5:$EK$12,127)</f>
        <v>5</v>
      </c>
      <c r="R19" s="435"/>
      <c r="S19" s="436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>
      <c r="B20" s="3" t="s">
        <v>9</v>
      </c>
      <c r="C20" s="1"/>
      <c r="D20" s="1"/>
      <c r="E20" s="395" t="str">
        <f>VLOOKUP(E19,Schlüssel!$A$5:$K$12,2)</f>
        <v>Bowling Jugend Bayern 1</v>
      </c>
      <c r="F20" s="438"/>
      <c r="G20" s="396"/>
      <c r="H20" s="395" t="str">
        <f>VLOOKUP(H19,Schlüssel!$A$5:$K$12,2)</f>
        <v>Highroller Rosenheim 1</v>
      </c>
      <c r="I20" s="438"/>
      <c r="J20" s="396"/>
      <c r="K20" s="395" t="str">
        <f>VLOOKUP(K19,Schlüssel!$A$5:$K$12,2)</f>
        <v>Highroller Rosenheim 2</v>
      </c>
      <c r="L20" s="438"/>
      <c r="M20" s="396"/>
      <c r="N20" s="395" t="str">
        <f>VLOOKUP(N19,Schlüssel!$A$5:$K$12,2)</f>
        <v>EMAX 1</v>
      </c>
      <c r="O20" s="438"/>
      <c r="P20" s="396"/>
      <c r="Q20" s="395" t="str">
        <f>VLOOKUP(Q19,Schlüssel!$A$5:$K$12,2)</f>
        <v>Berchtesgaden 1</v>
      </c>
      <c r="R20" s="438"/>
      <c r="S20" s="396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" customHeight="1">
      <c r="B22" s="417" t="s">
        <v>2275</v>
      </c>
      <c r="C22" s="418"/>
      <c r="D22" s="419"/>
      <c r="E22" s="431">
        <f>ABS(INDEX(F:F,MATCH(E19,$B:$B,0)+5)+INDEX(F:F,MATCH(E19,$B:$B,0)+6)+INDEX(F:F,MATCH(E19,$B:$B,0)+7))</f>
        <v>0</v>
      </c>
      <c r="F22" s="432"/>
      <c r="G22" s="433"/>
      <c r="H22" s="431">
        <f>ABS(INDEX(I:I,MATCH(H19,$B:$B,0)+5)+INDEX(I:I,MATCH(H19,$B:$B,0)+6)+INDEX(I:I,MATCH(H19,$B:$B,0)+7))</f>
        <v>0</v>
      </c>
      <c r="I22" s="432"/>
      <c r="J22" s="433"/>
      <c r="K22" s="431">
        <f>ABS(INDEX(L:L,MATCH(K19,$B:$B,0)+5)+INDEX(L:L,MATCH(K19,$B:$B,0)+6)+INDEX(L:L,MATCH(K19,$B:$B,0)+7))</f>
        <v>0</v>
      </c>
      <c r="L22" s="432"/>
      <c r="M22" s="433"/>
      <c r="N22" s="431">
        <f>ABS(INDEX(O:O,MATCH(N19,$B:$B,0)+5)+INDEX(O:O,MATCH(N19,$B:$B,0)+6)+INDEX(O:O,MATCH(N19,$B:$B,0)+7))</f>
        <v>0</v>
      </c>
      <c r="O22" s="432"/>
      <c r="P22" s="433"/>
      <c r="Q22" s="431">
        <f>ABS(INDEX(R:R,MATCH(Q19,$B:$B,0)+5)+INDEX(R:R,MATCH(Q19,$B:$B,0)+6)+INDEX(R:R,MATCH(Q19,$B:$B,0)+7))</f>
        <v>0</v>
      </c>
      <c r="R22" s="432"/>
      <c r="S22" s="433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" customHeight="1">
      <c r="B23" s="417" t="s">
        <v>2276</v>
      </c>
      <c r="C23" s="418"/>
      <c r="D23" s="419"/>
      <c r="E23" s="424">
        <f>ABS(INDEX(F:F,MATCH(E19,$B:$B,0)+8)+INDEX(F:F,MATCH(E19,$B:$B,0)+9)+INDEX(F:F,MATCH(E19,$B:$B,0)+10))</f>
        <v>0</v>
      </c>
      <c r="F23" s="425"/>
      <c r="G23" s="426"/>
      <c r="H23" s="424">
        <f>ABS(INDEX(I:I,MATCH(H19,$B:$B,0)+8)+INDEX(I:I,MATCH(H19,$B:$B,0)+9)+INDEX(I:I,MATCH(H19,$B:$B,0)+10))</f>
        <v>0</v>
      </c>
      <c r="I23" s="425"/>
      <c r="J23" s="426"/>
      <c r="K23" s="424">
        <f>ABS(INDEX(L:L,MATCH(K19,$B:$B,0)+8)+INDEX(L:L,MATCH(K19,$B:$B,0)+9)+INDEX(L:L,MATCH(K19,$B:$B,0)+10))</f>
        <v>0</v>
      </c>
      <c r="L23" s="425"/>
      <c r="M23" s="426"/>
      <c r="N23" s="424">
        <f>ABS(INDEX(O:O,MATCH(N19,$B:$B,0)+8)+INDEX(O:O,MATCH(N19,$B:$B,0)+9)+INDEX(O:O,MATCH(N19,$B:$B,0)+10))</f>
        <v>0</v>
      </c>
      <c r="O23" s="425"/>
      <c r="P23" s="426"/>
      <c r="Q23" s="424">
        <f>ABS(INDEX(R:R,MATCH(Q19,$B:$B,0)+8)+INDEX(R:R,MATCH(Q19,$B:$B,0)+9)+INDEX(R:R,MATCH(Q19,$B:$B,0)+10))</f>
        <v>0</v>
      </c>
      <c r="R23" s="425"/>
      <c r="S23" s="426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" customHeight="1">
      <c r="B24" s="417" t="s">
        <v>2277</v>
      </c>
      <c r="C24" s="418"/>
      <c r="D24" s="419"/>
      <c r="E24" s="424">
        <f>ABS(INDEX(F:F,MATCH(E19,$B:$B,0)+11)+INDEX(F:F,MATCH(E19,$B:$B,0)+12)+INDEX(F:F,MATCH(E19,$B:$B,0)+13))</f>
        <v>0</v>
      </c>
      <c r="F24" s="425"/>
      <c r="G24" s="426"/>
      <c r="H24" s="424">
        <f>ABS(INDEX(I:I,MATCH(H19,$B:$B,0)+11)+INDEX(I:I,MATCH(H19,$B:$B,0)+12)+INDEX(I:I,MATCH(H19,$B:$B,0)+13))</f>
        <v>0</v>
      </c>
      <c r="I24" s="425"/>
      <c r="J24" s="426"/>
      <c r="K24" s="424">
        <f>ABS(INDEX(L:L,MATCH(K19,$B:$B,0)+11)+INDEX(L:L,MATCH(K19,$B:$B,0)+12)+INDEX(L:L,MATCH(K19,$B:$B,0)+13))</f>
        <v>0</v>
      </c>
      <c r="L24" s="425"/>
      <c r="M24" s="426"/>
      <c r="N24" s="424">
        <f>ABS(INDEX(O:O,MATCH(N19,$B:$B,0)+11)+INDEX(O:O,MATCH(N19,$B:$B,0)+12)+INDEX(O:O,MATCH(N19,$B:$B,0)+13))</f>
        <v>0</v>
      </c>
      <c r="O24" s="425"/>
      <c r="P24" s="426"/>
      <c r="Q24" s="424">
        <f>ABS(INDEX(R:R,MATCH(Q19,$B:$B,0)+11)+INDEX(R:R,MATCH(Q19,$B:$B,0)+12)+INDEX(R:R,MATCH(Q19,$B:$B,0)+13))</f>
        <v>0</v>
      </c>
      <c r="R24" s="425"/>
      <c r="S24" s="426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" customHeight="1">
      <c r="B25" s="420" t="s">
        <v>2278</v>
      </c>
      <c r="C25" s="421"/>
      <c r="D25" s="422"/>
      <c r="E25" s="407">
        <f>SUM(E22:E24)</f>
        <v>0</v>
      </c>
      <c r="F25" s="423"/>
      <c r="G25" s="408"/>
      <c r="H25" s="407">
        <f>SUM(H22:H24)</f>
        <v>0</v>
      </c>
      <c r="I25" s="423"/>
      <c r="J25" s="408"/>
      <c r="K25" s="407">
        <f>SUM(K22:K24)</f>
        <v>0</v>
      </c>
      <c r="L25" s="423"/>
      <c r="M25" s="408"/>
      <c r="N25" s="407">
        <f>SUM(N22:N24)</f>
        <v>0</v>
      </c>
      <c r="O25" s="423"/>
      <c r="P25" s="408"/>
      <c r="Q25" s="407">
        <f>SUM(Q22:Q24)</f>
        <v>0</v>
      </c>
      <c r="R25" s="423"/>
      <c r="S25" s="408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>
      <c r="A27" s="255"/>
      <c r="B27" s="7" t="s">
        <v>1802</v>
      </c>
      <c r="C27" s="24"/>
      <c r="D27" s="24"/>
      <c r="E27" s="35" t="s">
        <v>1786</v>
      </c>
      <c r="F27" s="35"/>
      <c r="G27" s="427" t="str">
        <f>Schlüssel!$C$1</f>
        <v>Landesliga Jugend</v>
      </c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06">
        <f>Schlüssel!$EC$1</f>
        <v>45829</v>
      </c>
      <c r="T27" s="406"/>
      <c r="U27" s="406"/>
      <c r="V27" s="406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>
      <c r="A28" s="53"/>
      <c r="B28" s="54">
        <v>2</v>
      </c>
      <c r="E28" s="35" t="s">
        <v>1787</v>
      </c>
      <c r="F28" s="35"/>
      <c r="G28" s="413" t="str">
        <f>Schlüssel!$DS$2</f>
        <v>Brunnthal Max Munich</v>
      </c>
      <c r="H28" s="413"/>
      <c r="I28" s="413"/>
      <c r="J28" s="413"/>
      <c r="K28" s="413"/>
      <c r="L28" s="413"/>
      <c r="M28" s="413"/>
      <c r="N28" s="413"/>
      <c r="O28" s="413"/>
      <c r="P28" s="66"/>
      <c r="Q28" s="411" t="s">
        <v>1785</v>
      </c>
      <c r="R28" s="412"/>
      <c r="S28" s="38">
        <v>7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>
      <c r="B29" s="414" t="str">
        <f>VLOOKUP(B28,Schlüssel!$A$5:$B$12,2)</f>
        <v>Highroller Rosenheim 1</v>
      </c>
      <c r="C29" s="415"/>
      <c r="D29" s="415"/>
      <c r="E29" s="415"/>
      <c r="F29" s="415"/>
      <c r="G29" s="416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3.8" hidden="1" thickBot="1">
      <c r="A30" s="6"/>
      <c r="B30" s="7"/>
      <c r="C30" s="43"/>
      <c r="D30" s="43"/>
      <c r="E30" s="162" t="s">
        <v>10</v>
      </c>
      <c r="F30" s="220"/>
      <c r="G30" s="159">
        <f>VLOOKUP(B28,Schlüssel!$A$5:$EK$12,133)</f>
        <v>5</v>
      </c>
      <c r="H30" s="161" t="s">
        <v>10</v>
      </c>
      <c r="I30" s="220"/>
      <c r="J30" s="159">
        <f>VLOOKUP(B28,Schlüssel!$A$5:$EK$12,134)</f>
        <v>1</v>
      </c>
      <c r="K30" s="161" t="s">
        <v>10</v>
      </c>
      <c r="L30" s="220"/>
      <c r="M30" s="159">
        <f>VLOOKUP(B28,Schlüssel!$A$5:$EK$12,135)</f>
        <v>6</v>
      </c>
      <c r="N30" s="161" t="s">
        <v>10</v>
      </c>
      <c r="O30" s="220"/>
      <c r="P30" s="159">
        <f>VLOOKUP(B28,Schlüssel!$A$5:$EK$12,136)</f>
        <v>8</v>
      </c>
      <c r="Q30" s="161" t="s">
        <v>10</v>
      </c>
      <c r="R30" s="220"/>
      <c r="S30" s="160">
        <f>VLOOKUP(B28,Schlüssel!$A$5:$EK$12,137)</f>
        <v>3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>
      <c r="B31" s="44" t="s">
        <v>1</v>
      </c>
      <c r="C31" s="208"/>
      <c r="D31" s="217"/>
      <c r="E31" s="423" t="s">
        <v>1793</v>
      </c>
      <c r="F31" s="423"/>
      <c r="G31" s="408"/>
      <c r="H31" s="407" t="s">
        <v>1794</v>
      </c>
      <c r="I31" s="423"/>
      <c r="J31" s="408"/>
      <c r="K31" s="407" t="s">
        <v>1795</v>
      </c>
      <c r="L31" s="423"/>
      <c r="M31" s="408"/>
      <c r="N31" s="407" t="s">
        <v>1796</v>
      </c>
      <c r="O31" s="423"/>
      <c r="P31" s="408"/>
      <c r="Q31" s="407" t="s">
        <v>1797</v>
      </c>
      <c r="R31" s="423"/>
      <c r="S31" s="437"/>
      <c r="T31" s="439" t="s">
        <v>1792</v>
      </c>
      <c r="U31" s="440"/>
      <c r="V31" s="410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6.95" customHeight="1">
      <c r="A33" s="403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8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8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8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8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8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400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IF(AU33=0,0,IFERROR(INDEX(RanglisteST7!K:K,MATCH(AU33,RanglisteST7!A:A,0)),0))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6.95" customHeight="1">
      <c r="A34" s="404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9"/>
      <c r="H34" s="222"/>
      <c r="I34" s="241">
        <f t="shared" si="26"/>
        <v>0</v>
      </c>
      <c r="J34" s="429"/>
      <c r="K34" s="222"/>
      <c r="L34" s="241">
        <f t="shared" si="27"/>
        <v>0</v>
      </c>
      <c r="M34" s="429"/>
      <c r="N34" s="222"/>
      <c r="O34" s="241">
        <f t="shared" si="28"/>
        <v>0</v>
      </c>
      <c r="P34" s="429"/>
      <c r="Q34" s="222"/>
      <c r="R34" s="241">
        <f t="shared" si="29"/>
        <v>0</v>
      </c>
      <c r="S34" s="429"/>
      <c r="T34" s="222">
        <f t="shared" si="30"/>
        <v>0</v>
      </c>
      <c r="U34" s="241">
        <f t="shared" si="30"/>
        <v>0</v>
      </c>
      <c r="V34" s="401"/>
      <c r="W34" s="79"/>
      <c r="X34" s="79"/>
      <c r="Y34" s="79"/>
      <c r="Z34" s="79"/>
      <c r="AA34" s="79"/>
      <c r="AB34" s="79"/>
      <c r="AL34" s="169">
        <f>IF(AU34=0,0,IFERROR(INDEX(RanglisteST7!K:K,MATCH(AU34,RanglisteST7!A:A,0)),0))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6.95" customHeight="1" thickBot="1">
      <c r="A35" s="405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30"/>
      <c r="H35" s="224"/>
      <c r="I35" s="242">
        <f t="shared" si="26"/>
        <v>0</v>
      </c>
      <c r="J35" s="430"/>
      <c r="K35" s="224"/>
      <c r="L35" s="242">
        <f t="shared" si="27"/>
        <v>0</v>
      </c>
      <c r="M35" s="430"/>
      <c r="N35" s="224"/>
      <c r="O35" s="242">
        <f t="shared" si="28"/>
        <v>0</v>
      </c>
      <c r="P35" s="430"/>
      <c r="Q35" s="224"/>
      <c r="R35" s="242">
        <f t="shared" si="29"/>
        <v>0</v>
      </c>
      <c r="S35" s="430"/>
      <c r="T35" s="224">
        <f t="shared" si="30"/>
        <v>0</v>
      </c>
      <c r="U35" s="242">
        <f t="shared" si="30"/>
        <v>0</v>
      </c>
      <c r="V35" s="402"/>
      <c r="W35" s="79"/>
      <c r="X35" s="79"/>
      <c r="Y35" s="79"/>
      <c r="Z35" s="79"/>
      <c r="AA35" s="79"/>
      <c r="AB35" s="79"/>
      <c r="AL35" s="169">
        <f>IF(AU35=0,0,IFERROR(INDEX(RanglisteST7!K:K,MATCH(AU35,RanglisteST7!A:A,0)),0))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6.95" customHeight="1">
      <c r="A36" s="403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8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8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8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8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8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400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IF(AU36=0,0,IFERROR(INDEX(RanglisteST7!K:K,MATCH(AU36,RanglisteST7!A:A,0)),0))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6.95" customHeight="1">
      <c r="A37" s="404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9"/>
      <c r="H37" s="222"/>
      <c r="I37" s="241">
        <f t="shared" si="26"/>
        <v>0</v>
      </c>
      <c r="J37" s="429"/>
      <c r="K37" s="222"/>
      <c r="L37" s="241">
        <f t="shared" si="27"/>
        <v>0</v>
      </c>
      <c r="M37" s="429"/>
      <c r="N37" s="222"/>
      <c r="O37" s="241">
        <f t="shared" si="28"/>
        <v>0</v>
      </c>
      <c r="P37" s="429"/>
      <c r="Q37" s="222"/>
      <c r="R37" s="241">
        <f t="shared" si="29"/>
        <v>0</v>
      </c>
      <c r="S37" s="429"/>
      <c r="T37" s="222">
        <f t="shared" si="30"/>
        <v>0</v>
      </c>
      <c r="U37" s="241">
        <f t="shared" si="30"/>
        <v>0</v>
      </c>
      <c r="V37" s="401"/>
      <c r="W37" s="79"/>
      <c r="X37" s="79"/>
      <c r="Y37" s="79"/>
      <c r="Z37" s="79"/>
      <c r="AA37" s="79"/>
      <c r="AB37" s="79"/>
      <c r="AL37" s="169">
        <f>IF(AU37=0,0,IFERROR(INDEX(RanglisteST7!K:K,MATCH(AU37,RanglisteST7!A:A,0)),0))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6.95" customHeight="1" thickBot="1">
      <c r="A38" s="405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30"/>
      <c r="H38" s="224"/>
      <c r="I38" s="242">
        <f t="shared" si="26"/>
        <v>0</v>
      </c>
      <c r="J38" s="430"/>
      <c r="K38" s="224"/>
      <c r="L38" s="242">
        <f t="shared" si="27"/>
        <v>0</v>
      </c>
      <c r="M38" s="430"/>
      <c r="N38" s="224"/>
      <c r="O38" s="242">
        <f t="shared" si="28"/>
        <v>0</v>
      </c>
      <c r="P38" s="430"/>
      <c r="Q38" s="224"/>
      <c r="R38" s="242">
        <f t="shared" si="29"/>
        <v>0</v>
      </c>
      <c r="S38" s="430"/>
      <c r="T38" s="224">
        <f t="shared" si="30"/>
        <v>0</v>
      </c>
      <c r="U38" s="242">
        <f t="shared" si="30"/>
        <v>0</v>
      </c>
      <c r="V38" s="402"/>
      <c r="W38" s="79"/>
      <c r="X38" s="79"/>
      <c r="Y38" s="79"/>
      <c r="Z38" s="79"/>
      <c r="AA38" s="79"/>
      <c r="AB38" s="79"/>
      <c r="AL38" s="169">
        <f>IF(AU38=0,0,IFERROR(INDEX(RanglisteST7!K:K,MATCH(AU38,RanglisteST7!A:A,0)),0))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6.95" customHeight="1">
      <c r="A39" s="403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8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8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8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8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8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400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IF(AU39=0,0,IFERROR(INDEX(RanglisteST7!K:K,MATCH(AU39,RanglisteST7!A:A,0)),0))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6.95" customHeight="1">
      <c r="A40" s="404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9"/>
      <c r="H40" s="222"/>
      <c r="I40" s="241">
        <f t="shared" si="26"/>
        <v>0</v>
      </c>
      <c r="J40" s="429"/>
      <c r="K40" s="222"/>
      <c r="L40" s="241">
        <f t="shared" si="27"/>
        <v>0</v>
      </c>
      <c r="M40" s="429"/>
      <c r="N40" s="222"/>
      <c r="O40" s="241">
        <f t="shared" si="28"/>
        <v>0</v>
      </c>
      <c r="P40" s="429"/>
      <c r="Q40" s="222"/>
      <c r="R40" s="241">
        <f t="shared" si="29"/>
        <v>0</v>
      </c>
      <c r="S40" s="429"/>
      <c r="T40" s="222">
        <f t="shared" si="30"/>
        <v>0</v>
      </c>
      <c r="U40" s="241">
        <f t="shared" si="30"/>
        <v>0</v>
      </c>
      <c r="V40" s="401"/>
      <c r="W40" s="79"/>
      <c r="X40" s="79"/>
      <c r="Y40" s="79"/>
      <c r="Z40" s="79"/>
      <c r="AA40" s="79"/>
      <c r="AB40" s="79"/>
      <c r="AL40" s="169">
        <f>IF(AU40=0,0,IFERROR(INDEX(RanglisteST7!K:K,MATCH(AU40,RanglisteST7!A:A,0)),0))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6.95" customHeight="1" thickBot="1">
      <c r="A41" s="405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30"/>
      <c r="H41" s="224"/>
      <c r="I41" s="242">
        <f t="shared" si="26"/>
        <v>0</v>
      </c>
      <c r="J41" s="430"/>
      <c r="K41" s="224"/>
      <c r="L41" s="242">
        <f t="shared" si="27"/>
        <v>0</v>
      </c>
      <c r="M41" s="430"/>
      <c r="N41" s="224"/>
      <c r="O41" s="242">
        <f t="shared" si="28"/>
        <v>0</v>
      </c>
      <c r="P41" s="430"/>
      <c r="Q41" s="224"/>
      <c r="R41" s="242">
        <f t="shared" si="29"/>
        <v>0</v>
      </c>
      <c r="S41" s="430"/>
      <c r="T41" s="224">
        <f t="shared" si="30"/>
        <v>0</v>
      </c>
      <c r="U41" s="242">
        <f t="shared" si="30"/>
        <v>0</v>
      </c>
      <c r="V41" s="402"/>
      <c r="W41" s="79"/>
      <c r="X41" s="79"/>
      <c r="Y41" s="79"/>
      <c r="Z41" s="79"/>
      <c r="AA41" s="79"/>
      <c r="AB41" s="79"/>
      <c r="AL41" s="169">
        <f>IF(AU41=0,0,IFERROR(INDEX(RanglisteST7!K:K,MATCH(AU41,RanglisteST7!A:A,0)),0))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>
      <c r="B45" s="231" t="s">
        <v>1790</v>
      </c>
      <c r="C45" s="210"/>
      <c r="D45" s="42"/>
      <c r="E45" s="434">
        <f>VLOOKUP($B28,Schlüssel!$A$5:$EK$12,123)</f>
        <v>8</v>
      </c>
      <c r="F45" s="435"/>
      <c r="G45" s="436"/>
      <c r="H45" s="434">
        <f>VLOOKUP($B28,Schlüssel!$A$5:$EK$12,124)</f>
        <v>1</v>
      </c>
      <c r="I45" s="435"/>
      <c r="J45" s="436"/>
      <c r="K45" s="434">
        <f>VLOOKUP($B28,Schlüssel!$A$5:$EK$12,125)</f>
        <v>4</v>
      </c>
      <c r="L45" s="435"/>
      <c r="M45" s="436"/>
      <c r="N45" s="434">
        <f>VLOOKUP($B28,Schlüssel!$A$5:$EK$12,126)</f>
        <v>6</v>
      </c>
      <c r="O45" s="435"/>
      <c r="P45" s="436"/>
      <c r="Q45" s="434">
        <f>VLOOKUP($B28,Schlüssel!$A$5:$EK$12,127)</f>
        <v>7</v>
      </c>
      <c r="R45" s="435"/>
      <c r="S45" s="436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>
      <c r="B46" s="3" t="s">
        <v>9</v>
      </c>
      <c r="C46" s="1"/>
      <c r="D46" s="1"/>
      <c r="E46" s="395" t="str">
        <f>VLOOKUP(E45,Schlüssel!$A$5:$K$12,2)</f>
        <v>EMAX 1</v>
      </c>
      <c r="F46" s="438"/>
      <c r="G46" s="396"/>
      <c r="H46" s="395" t="str">
        <f>VLOOKUP(H45,Schlüssel!$A$5:$K$12,2)</f>
        <v>Bad Tölz 1</v>
      </c>
      <c r="I46" s="438"/>
      <c r="J46" s="396"/>
      <c r="K46" s="395" t="str">
        <f>VLOOKUP(K45,Schlüssel!$A$5:$K$12,2)</f>
        <v>Highroller Rosenheim 3</v>
      </c>
      <c r="L46" s="438"/>
      <c r="M46" s="396"/>
      <c r="N46" s="395" t="str">
        <f>VLOOKUP(N45,Schlüssel!$A$5:$K$12,2)</f>
        <v>Bowling Jugend Bayern 1</v>
      </c>
      <c r="O46" s="438"/>
      <c r="P46" s="396"/>
      <c r="Q46" s="395" t="str">
        <f>VLOOKUP(Q45,Schlüssel!$A$5:$K$12,2)</f>
        <v>BK München 1</v>
      </c>
      <c r="R46" s="438"/>
      <c r="S46" s="396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" customHeight="1">
      <c r="B48" s="417" t="s">
        <v>2275</v>
      </c>
      <c r="C48" s="418"/>
      <c r="D48" s="419"/>
      <c r="E48" s="431">
        <f>ABS(INDEX(F:F,MATCH(E45,$B:$B,0)+5)+INDEX(F:F,MATCH(E45,$B:$B,0)+6)+INDEX(F:F,MATCH(E45,$B:$B,0)+7))</f>
        <v>0</v>
      </c>
      <c r="F48" s="432"/>
      <c r="G48" s="433"/>
      <c r="H48" s="431">
        <f>ABS(INDEX(I:I,MATCH(H45,$B:$B,0)+5)+INDEX(I:I,MATCH(H45,$B:$B,0)+6)+INDEX(I:I,MATCH(H45,$B:$B,0)+7))</f>
        <v>0</v>
      </c>
      <c r="I48" s="432"/>
      <c r="J48" s="433"/>
      <c r="K48" s="431">
        <f>ABS(INDEX(L:L,MATCH(K45,$B:$B,0)+5)+INDEX(L:L,MATCH(K45,$B:$B,0)+6)+INDEX(L:L,MATCH(K45,$B:$B,0)+7))</f>
        <v>0</v>
      </c>
      <c r="L48" s="432"/>
      <c r="M48" s="433"/>
      <c r="N48" s="431">
        <f>ABS(INDEX(O:O,MATCH(N45,$B:$B,0)+5)+INDEX(O:O,MATCH(N45,$B:$B,0)+6)+INDEX(O:O,MATCH(N45,$B:$B,0)+7))</f>
        <v>0</v>
      </c>
      <c r="O48" s="432"/>
      <c r="P48" s="433"/>
      <c r="Q48" s="431">
        <f>ABS(INDEX(R:R,MATCH(Q45,$B:$B,0)+5)+INDEX(R:R,MATCH(Q45,$B:$B,0)+6)+INDEX(R:R,MATCH(Q45,$B:$B,0)+7))</f>
        <v>0</v>
      </c>
      <c r="R48" s="432"/>
      <c r="S48" s="433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" customHeight="1">
      <c r="B49" s="417" t="s">
        <v>2276</v>
      </c>
      <c r="C49" s="418"/>
      <c r="D49" s="419"/>
      <c r="E49" s="424">
        <f>ABS(INDEX(F:F,MATCH(E45,$B:$B,0)+8)+INDEX(F:F,MATCH(E45,$B:$B,0)+9)+INDEX(F:F,MATCH(E45,$B:$B,0)+10))</f>
        <v>0</v>
      </c>
      <c r="F49" s="425"/>
      <c r="G49" s="426"/>
      <c r="H49" s="424">
        <f>ABS(INDEX(I:I,MATCH(H45,$B:$B,0)+8)+INDEX(I:I,MATCH(H45,$B:$B,0)+9)+INDEX(I:I,MATCH(H45,$B:$B,0)+10))</f>
        <v>0</v>
      </c>
      <c r="I49" s="425"/>
      <c r="J49" s="426"/>
      <c r="K49" s="424">
        <f>ABS(INDEX(L:L,MATCH(K45,$B:$B,0)+8)+INDEX(L:L,MATCH(K45,$B:$B,0)+9)+INDEX(L:L,MATCH(K45,$B:$B,0)+10))</f>
        <v>0</v>
      </c>
      <c r="L49" s="425"/>
      <c r="M49" s="426"/>
      <c r="N49" s="424">
        <f>ABS(INDEX(O:O,MATCH(N45,$B:$B,0)+8)+INDEX(O:O,MATCH(N45,$B:$B,0)+9)+INDEX(O:O,MATCH(N45,$B:$B,0)+10))</f>
        <v>0</v>
      </c>
      <c r="O49" s="425"/>
      <c r="P49" s="426"/>
      <c r="Q49" s="424">
        <f>ABS(INDEX(R:R,MATCH(Q45,$B:$B,0)+8)+INDEX(R:R,MATCH(Q45,$B:$B,0)+9)+INDEX(R:R,MATCH(Q45,$B:$B,0)+10))</f>
        <v>0</v>
      </c>
      <c r="R49" s="425"/>
      <c r="S49" s="426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" customHeight="1">
      <c r="B50" s="417" t="s">
        <v>2277</v>
      </c>
      <c r="C50" s="418"/>
      <c r="D50" s="419"/>
      <c r="E50" s="424">
        <f>ABS(INDEX(F:F,MATCH(E45,$B:$B,0)+11)+INDEX(F:F,MATCH(E45,$B:$B,0)+12)+INDEX(F:F,MATCH(E45,$B:$B,0)+13))</f>
        <v>0</v>
      </c>
      <c r="F50" s="425"/>
      <c r="G50" s="426"/>
      <c r="H50" s="424">
        <f>ABS(INDEX(I:I,MATCH(H45,$B:$B,0)+11)+INDEX(I:I,MATCH(H45,$B:$B,0)+12)+INDEX(I:I,MATCH(H45,$B:$B,0)+13))</f>
        <v>0</v>
      </c>
      <c r="I50" s="425"/>
      <c r="J50" s="426"/>
      <c r="K50" s="424">
        <f>ABS(INDEX(L:L,MATCH(K45,$B:$B,0)+11)+INDEX(L:L,MATCH(K45,$B:$B,0)+12)+INDEX(L:L,MATCH(K45,$B:$B,0)+13))</f>
        <v>0</v>
      </c>
      <c r="L50" s="425"/>
      <c r="M50" s="426"/>
      <c r="N50" s="424">
        <f>ABS(INDEX(O:O,MATCH(N45,$B:$B,0)+11)+INDEX(O:O,MATCH(N45,$B:$B,0)+12)+INDEX(O:O,MATCH(N45,$B:$B,0)+13))</f>
        <v>0</v>
      </c>
      <c r="O50" s="425"/>
      <c r="P50" s="426"/>
      <c r="Q50" s="424">
        <f>ABS(INDEX(R:R,MATCH(Q45,$B:$B,0)+11)+INDEX(R:R,MATCH(Q45,$B:$B,0)+12)+INDEX(R:R,MATCH(Q45,$B:$B,0)+13))</f>
        <v>0</v>
      </c>
      <c r="R50" s="425"/>
      <c r="S50" s="426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" customHeight="1">
      <c r="B51" s="420" t="s">
        <v>2278</v>
      </c>
      <c r="C51" s="421"/>
      <c r="D51" s="422"/>
      <c r="E51" s="407">
        <f>SUM(E48:E50)</f>
        <v>0</v>
      </c>
      <c r="F51" s="423"/>
      <c r="G51" s="408"/>
      <c r="H51" s="407">
        <f>SUM(H48:H50)</f>
        <v>0</v>
      </c>
      <c r="I51" s="423"/>
      <c r="J51" s="408"/>
      <c r="K51" s="407">
        <f>SUM(K48:K50)</f>
        <v>0</v>
      </c>
      <c r="L51" s="423"/>
      <c r="M51" s="408"/>
      <c r="N51" s="407">
        <f>SUM(N48:N50)</f>
        <v>0</v>
      </c>
      <c r="O51" s="423"/>
      <c r="P51" s="408"/>
      <c r="Q51" s="407">
        <f>SUM(Q48:Q50)</f>
        <v>0</v>
      </c>
      <c r="R51" s="423"/>
      <c r="S51" s="408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>
      <c r="A53" s="255"/>
      <c r="B53" s="7" t="s">
        <v>1802</v>
      </c>
      <c r="C53" s="24"/>
      <c r="D53" s="24"/>
      <c r="E53" s="35" t="s">
        <v>1786</v>
      </c>
      <c r="F53" s="35"/>
      <c r="G53" s="427" t="str">
        <f>Schlüssel!$C$1</f>
        <v>Landesliga Jugend</v>
      </c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  <c r="S53" s="406">
        <f>Schlüssel!$EC$1</f>
        <v>45829</v>
      </c>
      <c r="T53" s="406"/>
      <c r="U53" s="406"/>
      <c r="V53" s="406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>
      <c r="A54" s="53"/>
      <c r="B54" s="54">
        <v>3</v>
      </c>
      <c r="E54" s="35" t="s">
        <v>1787</v>
      </c>
      <c r="F54" s="35"/>
      <c r="G54" s="413" t="str">
        <f>Schlüssel!$DS$2</f>
        <v>Brunnthal Max Munich</v>
      </c>
      <c r="H54" s="413"/>
      <c r="I54" s="413"/>
      <c r="J54" s="413"/>
      <c r="K54" s="413"/>
      <c r="L54" s="413"/>
      <c r="M54" s="413"/>
      <c r="N54" s="413"/>
      <c r="O54" s="413"/>
      <c r="P54" s="66"/>
      <c r="Q54" s="411" t="s">
        <v>1785</v>
      </c>
      <c r="R54" s="412"/>
      <c r="S54" s="38">
        <v>7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>
      <c r="B55" s="414" t="str">
        <f>VLOOKUP(B54,Schlüssel!$A$5:$B$12,2)</f>
        <v>Highroller Rosenheim 2</v>
      </c>
      <c r="C55" s="415"/>
      <c r="D55" s="415"/>
      <c r="E55" s="415"/>
      <c r="F55" s="415"/>
      <c r="G55" s="416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3.8" hidden="1" thickBot="1">
      <c r="A56" s="6"/>
      <c r="B56" s="7"/>
      <c r="C56" s="43"/>
      <c r="D56" s="43"/>
      <c r="E56" s="162" t="s">
        <v>10</v>
      </c>
      <c r="F56" s="220"/>
      <c r="G56" s="159">
        <f>VLOOKUP(B54,Schlüssel!$A$5:$EK$12,133)</f>
        <v>8</v>
      </c>
      <c r="H56" s="161" t="s">
        <v>10</v>
      </c>
      <c r="I56" s="220"/>
      <c r="J56" s="159">
        <f>VLOOKUP(B54,Schlüssel!$A$5:$EK$12,134)</f>
        <v>4</v>
      </c>
      <c r="K56" s="161" t="s">
        <v>10</v>
      </c>
      <c r="L56" s="220"/>
      <c r="M56" s="159">
        <f>VLOOKUP(B54,Schlüssel!$A$5:$EK$12,135)</f>
        <v>7</v>
      </c>
      <c r="N56" s="161" t="s">
        <v>10</v>
      </c>
      <c r="O56" s="220"/>
      <c r="P56" s="159">
        <f>VLOOKUP(B54,Schlüssel!$A$5:$EK$12,136)</f>
        <v>5</v>
      </c>
      <c r="Q56" s="161" t="s">
        <v>10</v>
      </c>
      <c r="R56" s="220"/>
      <c r="S56" s="160">
        <f>VLOOKUP(B54,Schlüssel!$A$5:$EK$12,137)</f>
        <v>2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>
      <c r="B57" s="44" t="s">
        <v>1</v>
      </c>
      <c r="C57" s="208"/>
      <c r="D57" s="217"/>
      <c r="E57" s="423" t="s">
        <v>1793</v>
      </c>
      <c r="F57" s="423"/>
      <c r="G57" s="408"/>
      <c r="H57" s="407" t="s">
        <v>1794</v>
      </c>
      <c r="I57" s="423"/>
      <c r="J57" s="408"/>
      <c r="K57" s="407" t="s">
        <v>1795</v>
      </c>
      <c r="L57" s="423"/>
      <c r="M57" s="408"/>
      <c r="N57" s="407" t="s">
        <v>1796</v>
      </c>
      <c r="O57" s="423"/>
      <c r="P57" s="408"/>
      <c r="Q57" s="407" t="s">
        <v>1797</v>
      </c>
      <c r="R57" s="423"/>
      <c r="S57" s="437"/>
      <c r="T57" s="439" t="s">
        <v>1792</v>
      </c>
      <c r="U57" s="440"/>
      <c r="V57" s="410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6.95" customHeight="1">
      <c r="A59" s="403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8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8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8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8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8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400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IF(AU59=0,0,IFERROR(INDEX(RanglisteST7!K:K,MATCH(AU59,RanglisteST7!A:A,0)),0))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6.95" customHeight="1">
      <c r="A60" s="404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9"/>
      <c r="H60" s="222"/>
      <c r="I60" s="241">
        <f t="shared" si="50"/>
        <v>0</v>
      </c>
      <c r="J60" s="429"/>
      <c r="K60" s="222"/>
      <c r="L60" s="241">
        <f t="shared" si="51"/>
        <v>0</v>
      </c>
      <c r="M60" s="429"/>
      <c r="N60" s="222"/>
      <c r="O60" s="241">
        <f t="shared" si="52"/>
        <v>0</v>
      </c>
      <c r="P60" s="429"/>
      <c r="Q60" s="222"/>
      <c r="R60" s="241">
        <f t="shared" si="53"/>
        <v>0</v>
      </c>
      <c r="S60" s="429"/>
      <c r="T60" s="222">
        <f t="shared" si="54"/>
        <v>0</v>
      </c>
      <c r="U60" s="241">
        <f t="shared" si="54"/>
        <v>0</v>
      </c>
      <c r="V60" s="401"/>
      <c r="W60" s="79"/>
      <c r="X60" s="79"/>
      <c r="Y60" s="79"/>
      <c r="Z60" s="79"/>
      <c r="AA60" s="79"/>
      <c r="AB60" s="79"/>
      <c r="AL60" s="169">
        <f>IF(AU60=0,0,IFERROR(INDEX(RanglisteST7!K:K,MATCH(AU60,RanglisteST7!A:A,0)),0))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6.95" customHeight="1" thickBot="1">
      <c r="A61" s="405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30"/>
      <c r="H61" s="224"/>
      <c r="I61" s="242">
        <f t="shared" si="50"/>
        <v>0</v>
      </c>
      <c r="J61" s="430"/>
      <c r="K61" s="224"/>
      <c r="L61" s="242">
        <f t="shared" si="51"/>
        <v>0</v>
      </c>
      <c r="M61" s="430"/>
      <c r="N61" s="224"/>
      <c r="O61" s="242">
        <f t="shared" si="52"/>
        <v>0</v>
      </c>
      <c r="P61" s="430"/>
      <c r="Q61" s="224"/>
      <c r="R61" s="242">
        <f t="shared" si="53"/>
        <v>0</v>
      </c>
      <c r="S61" s="430"/>
      <c r="T61" s="224">
        <f t="shared" si="54"/>
        <v>0</v>
      </c>
      <c r="U61" s="242">
        <f t="shared" si="54"/>
        <v>0</v>
      </c>
      <c r="V61" s="402"/>
      <c r="W61" s="79"/>
      <c r="X61" s="79"/>
      <c r="Y61" s="79"/>
      <c r="Z61" s="79"/>
      <c r="AA61" s="79"/>
      <c r="AB61" s="79"/>
      <c r="AL61" s="169">
        <f>IF(AU61=0,0,IFERROR(INDEX(RanglisteST7!K:K,MATCH(AU61,RanglisteST7!A:A,0)),0))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6.95" customHeight="1">
      <c r="A62" s="403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8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8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8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8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8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400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IF(AU62=0,0,IFERROR(INDEX(RanglisteST7!K:K,MATCH(AU62,RanglisteST7!A:A,0)),0))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6.95" customHeight="1">
      <c r="A63" s="404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9"/>
      <c r="H63" s="222"/>
      <c r="I63" s="241">
        <f t="shared" si="50"/>
        <v>0</v>
      </c>
      <c r="J63" s="429"/>
      <c r="K63" s="222"/>
      <c r="L63" s="241">
        <f t="shared" si="51"/>
        <v>0</v>
      </c>
      <c r="M63" s="429"/>
      <c r="N63" s="222"/>
      <c r="O63" s="241">
        <f t="shared" si="52"/>
        <v>0</v>
      </c>
      <c r="P63" s="429"/>
      <c r="Q63" s="222"/>
      <c r="R63" s="241">
        <f t="shared" si="53"/>
        <v>0</v>
      </c>
      <c r="S63" s="429"/>
      <c r="T63" s="222">
        <f t="shared" si="54"/>
        <v>0</v>
      </c>
      <c r="U63" s="241">
        <f t="shared" si="54"/>
        <v>0</v>
      </c>
      <c r="V63" s="401"/>
      <c r="W63" s="79"/>
      <c r="X63" s="79"/>
      <c r="Y63" s="79"/>
      <c r="Z63" s="79"/>
      <c r="AA63" s="79"/>
      <c r="AB63" s="79"/>
      <c r="AL63" s="169">
        <f>IF(AU63=0,0,IFERROR(INDEX(RanglisteST7!K:K,MATCH(AU63,RanglisteST7!A:A,0)),0))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6.95" customHeight="1" thickBot="1">
      <c r="A64" s="405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30"/>
      <c r="H64" s="224"/>
      <c r="I64" s="242">
        <f t="shared" si="50"/>
        <v>0</v>
      </c>
      <c r="J64" s="430"/>
      <c r="K64" s="224"/>
      <c r="L64" s="242">
        <f t="shared" si="51"/>
        <v>0</v>
      </c>
      <c r="M64" s="430"/>
      <c r="N64" s="224"/>
      <c r="O64" s="242">
        <f t="shared" si="52"/>
        <v>0</v>
      </c>
      <c r="P64" s="430"/>
      <c r="Q64" s="224"/>
      <c r="R64" s="242">
        <f t="shared" si="53"/>
        <v>0</v>
      </c>
      <c r="S64" s="430"/>
      <c r="T64" s="224">
        <f t="shared" si="54"/>
        <v>0</v>
      </c>
      <c r="U64" s="242">
        <f t="shared" si="54"/>
        <v>0</v>
      </c>
      <c r="V64" s="402"/>
      <c r="W64" s="79"/>
      <c r="X64" s="79"/>
      <c r="Y64" s="79"/>
      <c r="Z64" s="79"/>
      <c r="AA64" s="79"/>
      <c r="AB64" s="79"/>
      <c r="AL64" s="169">
        <f>IF(AU64=0,0,IFERROR(INDEX(RanglisteST7!K:K,MATCH(AU64,RanglisteST7!A:A,0)),0))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6.95" customHeight="1">
      <c r="A65" s="403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8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8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8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8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8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400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IF(AU65=0,0,IFERROR(INDEX(RanglisteST7!K:K,MATCH(AU65,RanglisteST7!A:A,0)),0))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6.95" customHeight="1">
      <c r="A66" s="404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9"/>
      <c r="H66" s="222"/>
      <c r="I66" s="241">
        <f t="shared" si="50"/>
        <v>0</v>
      </c>
      <c r="J66" s="429"/>
      <c r="K66" s="222"/>
      <c r="L66" s="241">
        <f t="shared" si="51"/>
        <v>0</v>
      </c>
      <c r="M66" s="429"/>
      <c r="N66" s="222"/>
      <c r="O66" s="241">
        <f t="shared" si="52"/>
        <v>0</v>
      </c>
      <c r="P66" s="429"/>
      <c r="Q66" s="222"/>
      <c r="R66" s="241">
        <f t="shared" si="53"/>
        <v>0</v>
      </c>
      <c r="S66" s="429"/>
      <c r="T66" s="222">
        <f t="shared" si="54"/>
        <v>0</v>
      </c>
      <c r="U66" s="241">
        <f t="shared" si="54"/>
        <v>0</v>
      </c>
      <c r="V66" s="401"/>
      <c r="W66" s="79"/>
      <c r="X66" s="79"/>
      <c r="Y66" s="79"/>
      <c r="Z66" s="79"/>
      <c r="AA66" s="79"/>
      <c r="AB66" s="79"/>
      <c r="AL66" s="169">
        <f>IF(AU66=0,0,IFERROR(INDEX(RanglisteST7!K:K,MATCH(AU66,RanglisteST7!A:A,0)),0))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6.95" customHeight="1" thickBot="1">
      <c r="A67" s="405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30"/>
      <c r="H67" s="224"/>
      <c r="I67" s="242">
        <f t="shared" si="50"/>
        <v>0</v>
      </c>
      <c r="J67" s="430"/>
      <c r="K67" s="224"/>
      <c r="L67" s="242">
        <f t="shared" si="51"/>
        <v>0</v>
      </c>
      <c r="M67" s="430"/>
      <c r="N67" s="224"/>
      <c r="O67" s="242">
        <f t="shared" si="52"/>
        <v>0</v>
      </c>
      <c r="P67" s="430"/>
      <c r="Q67" s="224"/>
      <c r="R67" s="242">
        <f t="shared" si="53"/>
        <v>0</v>
      </c>
      <c r="S67" s="430"/>
      <c r="T67" s="224">
        <f t="shared" si="54"/>
        <v>0</v>
      </c>
      <c r="U67" s="242">
        <f t="shared" si="54"/>
        <v>0</v>
      </c>
      <c r="V67" s="402"/>
      <c r="W67" s="79"/>
      <c r="X67" s="79"/>
      <c r="Y67" s="79"/>
      <c r="Z67" s="79"/>
      <c r="AA67" s="79"/>
      <c r="AB67" s="79"/>
      <c r="AL67" s="169">
        <f>IF(AU67=0,0,IFERROR(INDEX(RanglisteST7!K:K,MATCH(AU67,RanglisteST7!A:A,0)),0))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>
      <c r="B71" s="231" t="s">
        <v>1790</v>
      </c>
      <c r="C71" s="210"/>
      <c r="D71" s="42"/>
      <c r="E71" s="434">
        <f>VLOOKUP($B54,Schlüssel!$A$5:$EK$12,123)</f>
        <v>5</v>
      </c>
      <c r="F71" s="435"/>
      <c r="G71" s="436"/>
      <c r="H71" s="434">
        <f>VLOOKUP($B54,Schlüssel!$A$5:$EK$12,124)</f>
        <v>4</v>
      </c>
      <c r="I71" s="435"/>
      <c r="J71" s="436"/>
      <c r="K71" s="434">
        <f>VLOOKUP($B54,Schlüssel!$A$5:$EK$12,125)</f>
        <v>1</v>
      </c>
      <c r="L71" s="435"/>
      <c r="M71" s="436"/>
      <c r="N71" s="434">
        <f>VLOOKUP($B54,Schlüssel!$A$5:$EK$12,126)</f>
        <v>7</v>
      </c>
      <c r="O71" s="435"/>
      <c r="P71" s="436"/>
      <c r="Q71" s="434">
        <f>VLOOKUP($B54,Schlüssel!$A$5:$EK$12,127)</f>
        <v>6</v>
      </c>
      <c r="R71" s="435"/>
      <c r="S71" s="436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>
      <c r="B72" s="3" t="s">
        <v>9</v>
      </c>
      <c r="C72" s="1"/>
      <c r="D72" s="1"/>
      <c r="E72" s="395" t="str">
        <f>VLOOKUP(E71,Schlüssel!$A$5:$K$12,2)</f>
        <v>Berchtesgaden 1</v>
      </c>
      <c r="F72" s="438"/>
      <c r="G72" s="396"/>
      <c r="H72" s="395" t="str">
        <f>VLOOKUP(H71,Schlüssel!$A$5:$K$12,2)</f>
        <v>Highroller Rosenheim 3</v>
      </c>
      <c r="I72" s="438"/>
      <c r="J72" s="396"/>
      <c r="K72" s="395" t="str">
        <f>VLOOKUP(K71,Schlüssel!$A$5:$K$12,2)</f>
        <v>Bad Tölz 1</v>
      </c>
      <c r="L72" s="438"/>
      <c r="M72" s="396"/>
      <c r="N72" s="395" t="str">
        <f>VLOOKUP(N71,Schlüssel!$A$5:$K$12,2)</f>
        <v>BK München 1</v>
      </c>
      <c r="O72" s="438"/>
      <c r="P72" s="396"/>
      <c r="Q72" s="395" t="str">
        <f>VLOOKUP(Q71,Schlüssel!$A$5:$K$12,2)</f>
        <v>Bowling Jugend Bayern 1</v>
      </c>
      <c r="R72" s="438"/>
      <c r="S72" s="396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" customHeight="1">
      <c r="B74" s="417" t="s">
        <v>2275</v>
      </c>
      <c r="C74" s="418"/>
      <c r="D74" s="419"/>
      <c r="E74" s="431">
        <f>ABS(INDEX(F:F,MATCH(E71,$B:$B,0)+5)+INDEX(F:F,MATCH(E71,$B:$B,0)+6)+INDEX(F:F,MATCH(E71,$B:$B,0)+7))</f>
        <v>0</v>
      </c>
      <c r="F74" s="432"/>
      <c r="G74" s="433"/>
      <c r="H74" s="431">
        <f>ABS(INDEX(I:I,MATCH(H71,$B:$B,0)+5)+INDEX(I:I,MATCH(H71,$B:$B,0)+6)+INDEX(I:I,MATCH(H71,$B:$B,0)+7))</f>
        <v>0</v>
      </c>
      <c r="I74" s="432"/>
      <c r="J74" s="433"/>
      <c r="K74" s="431">
        <f>ABS(INDEX(L:L,MATCH(K71,$B:$B,0)+5)+INDEX(L:L,MATCH(K71,$B:$B,0)+6)+INDEX(L:L,MATCH(K71,$B:$B,0)+7))</f>
        <v>0</v>
      </c>
      <c r="L74" s="432"/>
      <c r="M74" s="433"/>
      <c r="N74" s="431">
        <f>ABS(INDEX(O:O,MATCH(N71,$B:$B,0)+5)+INDEX(O:O,MATCH(N71,$B:$B,0)+6)+INDEX(O:O,MATCH(N71,$B:$B,0)+7))</f>
        <v>0</v>
      </c>
      <c r="O74" s="432"/>
      <c r="P74" s="433"/>
      <c r="Q74" s="431">
        <f>ABS(INDEX(R:R,MATCH(Q71,$B:$B,0)+5)+INDEX(R:R,MATCH(Q71,$B:$B,0)+6)+INDEX(R:R,MATCH(Q71,$B:$B,0)+7))</f>
        <v>0</v>
      </c>
      <c r="R74" s="432"/>
      <c r="S74" s="433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" customHeight="1">
      <c r="B75" s="417" t="s">
        <v>2276</v>
      </c>
      <c r="C75" s="418"/>
      <c r="D75" s="419"/>
      <c r="E75" s="424">
        <f>ABS(INDEX(F:F,MATCH(E71,$B:$B,0)+8)+INDEX(F:F,MATCH(E71,$B:$B,0)+9)+INDEX(F:F,MATCH(E71,$B:$B,0)+10))</f>
        <v>0</v>
      </c>
      <c r="F75" s="425"/>
      <c r="G75" s="426"/>
      <c r="H75" s="424">
        <f>ABS(INDEX(I:I,MATCH(H71,$B:$B,0)+8)+INDEX(I:I,MATCH(H71,$B:$B,0)+9)+INDEX(I:I,MATCH(H71,$B:$B,0)+10))</f>
        <v>0</v>
      </c>
      <c r="I75" s="425"/>
      <c r="J75" s="426"/>
      <c r="K75" s="424">
        <f>ABS(INDEX(L:L,MATCH(K71,$B:$B,0)+8)+INDEX(L:L,MATCH(K71,$B:$B,0)+9)+INDEX(L:L,MATCH(K71,$B:$B,0)+10))</f>
        <v>0</v>
      </c>
      <c r="L75" s="425"/>
      <c r="M75" s="426"/>
      <c r="N75" s="424">
        <f>ABS(INDEX(O:O,MATCH(N71,$B:$B,0)+8)+INDEX(O:O,MATCH(N71,$B:$B,0)+9)+INDEX(O:O,MATCH(N71,$B:$B,0)+10))</f>
        <v>0</v>
      </c>
      <c r="O75" s="425"/>
      <c r="P75" s="426"/>
      <c r="Q75" s="424">
        <f>ABS(INDEX(R:R,MATCH(Q71,$B:$B,0)+8)+INDEX(R:R,MATCH(Q71,$B:$B,0)+9)+INDEX(R:R,MATCH(Q71,$B:$B,0)+10))</f>
        <v>0</v>
      </c>
      <c r="R75" s="425"/>
      <c r="S75" s="426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" customHeight="1">
      <c r="B76" s="417" t="s">
        <v>2277</v>
      </c>
      <c r="C76" s="418"/>
      <c r="D76" s="419"/>
      <c r="E76" s="424">
        <f>ABS(INDEX(F:F,MATCH(E71,$B:$B,0)+11)+INDEX(F:F,MATCH(E71,$B:$B,0)+12)+INDEX(F:F,MATCH(E71,$B:$B,0)+13))</f>
        <v>0</v>
      </c>
      <c r="F76" s="425"/>
      <c r="G76" s="426"/>
      <c r="H76" s="424">
        <f>ABS(INDEX(I:I,MATCH(H71,$B:$B,0)+11)+INDEX(I:I,MATCH(H71,$B:$B,0)+12)+INDEX(I:I,MATCH(H71,$B:$B,0)+13))</f>
        <v>0</v>
      </c>
      <c r="I76" s="425"/>
      <c r="J76" s="426"/>
      <c r="K76" s="424">
        <f>ABS(INDEX(L:L,MATCH(K71,$B:$B,0)+11)+INDEX(L:L,MATCH(K71,$B:$B,0)+12)+INDEX(L:L,MATCH(K71,$B:$B,0)+13))</f>
        <v>0</v>
      </c>
      <c r="L76" s="425"/>
      <c r="M76" s="426"/>
      <c r="N76" s="424">
        <f>ABS(INDEX(O:O,MATCH(N71,$B:$B,0)+11)+INDEX(O:O,MATCH(N71,$B:$B,0)+12)+INDEX(O:O,MATCH(N71,$B:$B,0)+13))</f>
        <v>0</v>
      </c>
      <c r="O76" s="425"/>
      <c r="P76" s="426"/>
      <c r="Q76" s="424">
        <f>ABS(INDEX(R:R,MATCH(Q71,$B:$B,0)+11)+INDEX(R:R,MATCH(Q71,$B:$B,0)+12)+INDEX(R:R,MATCH(Q71,$B:$B,0)+13))</f>
        <v>0</v>
      </c>
      <c r="R76" s="425"/>
      <c r="S76" s="426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" customHeight="1">
      <c r="B77" s="420" t="s">
        <v>2278</v>
      </c>
      <c r="C77" s="421"/>
      <c r="D77" s="422"/>
      <c r="E77" s="407">
        <f>SUM(E74:E76)</f>
        <v>0</v>
      </c>
      <c r="F77" s="423"/>
      <c r="G77" s="408"/>
      <c r="H77" s="407">
        <f>SUM(H74:H76)</f>
        <v>0</v>
      </c>
      <c r="I77" s="423"/>
      <c r="J77" s="408"/>
      <c r="K77" s="407">
        <f>SUM(K74:K76)</f>
        <v>0</v>
      </c>
      <c r="L77" s="423"/>
      <c r="M77" s="408"/>
      <c r="N77" s="407">
        <f>SUM(N74:N76)</f>
        <v>0</v>
      </c>
      <c r="O77" s="423"/>
      <c r="P77" s="408"/>
      <c r="Q77" s="407">
        <f>SUM(Q74:Q76)</f>
        <v>0</v>
      </c>
      <c r="R77" s="423"/>
      <c r="S77" s="408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>
      <c r="A79" s="255"/>
      <c r="B79" s="7" t="s">
        <v>1802</v>
      </c>
      <c r="C79" s="24"/>
      <c r="D79" s="24"/>
      <c r="E79" s="35" t="s">
        <v>1786</v>
      </c>
      <c r="F79" s="35"/>
      <c r="G79" s="427" t="str">
        <f>Schlüssel!$C$1</f>
        <v>Landesliga Jugend</v>
      </c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  <c r="S79" s="406">
        <f>Schlüssel!$EC$1</f>
        <v>45829</v>
      </c>
      <c r="T79" s="406"/>
      <c r="U79" s="406"/>
      <c r="V79" s="406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>
      <c r="A80" s="53"/>
      <c r="B80" s="54">
        <v>4</v>
      </c>
      <c r="E80" s="35" t="s">
        <v>1787</v>
      </c>
      <c r="F80" s="35"/>
      <c r="G80" s="413" t="str">
        <f>Schlüssel!$DS$2</f>
        <v>Brunnthal Max Munich</v>
      </c>
      <c r="H80" s="413"/>
      <c r="I80" s="413"/>
      <c r="J80" s="413"/>
      <c r="K80" s="413"/>
      <c r="L80" s="413"/>
      <c r="M80" s="413"/>
      <c r="N80" s="413"/>
      <c r="O80" s="413"/>
      <c r="P80" s="66"/>
      <c r="Q80" s="411" t="s">
        <v>1785</v>
      </c>
      <c r="R80" s="412"/>
      <c r="S80" s="38">
        <v>7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>
      <c r="B81" s="414" t="str">
        <f>VLOOKUP(B80,Schlüssel!$A$5:$B$12,2)</f>
        <v>Highroller Rosenheim 3</v>
      </c>
      <c r="C81" s="415"/>
      <c r="D81" s="415"/>
      <c r="E81" s="415"/>
      <c r="F81" s="415"/>
      <c r="G81" s="416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3.8" hidden="1" thickBot="1">
      <c r="A82" s="6"/>
      <c r="B82" s="7"/>
      <c r="C82" s="43"/>
      <c r="D82" s="43"/>
      <c r="E82" s="162" t="s">
        <v>10</v>
      </c>
      <c r="F82" s="220"/>
      <c r="G82" s="159">
        <f>VLOOKUP(B80,Schlüssel!$A$5:$EK$12,133)</f>
        <v>2</v>
      </c>
      <c r="H82" s="161" t="s">
        <v>10</v>
      </c>
      <c r="I82" s="220"/>
      <c r="J82" s="159">
        <f>VLOOKUP(B80,Schlüssel!$A$5:$EK$12,134)</f>
        <v>3</v>
      </c>
      <c r="K82" s="161" t="s">
        <v>10</v>
      </c>
      <c r="L82" s="220"/>
      <c r="M82" s="159">
        <f>VLOOKUP(B80,Schlüssel!$A$5:$EK$12,135)</f>
        <v>5</v>
      </c>
      <c r="N82" s="161" t="s">
        <v>10</v>
      </c>
      <c r="O82" s="220"/>
      <c r="P82" s="159">
        <f>VLOOKUP(B80,Schlüssel!$A$5:$EK$12,136)</f>
        <v>1</v>
      </c>
      <c r="Q82" s="161" t="s">
        <v>10</v>
      </c>
      <c r="R82" s="220"/>
      <c r="S82" s="160">
        <f>VLOOKUP(B80,Schlüssel!$A$5:$EK$12,137)</f>
        <v>7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>
      <c r="B83" s="44" t="s">
        <v>1</v>
      </c>
      <c r="C83" s="208"/>
      <c r="D83" s="217"/>
      <c r="E83" s="423" t="s">
        <v>1793</v>
      </c>
      <c r="F83" s="423"/>
      <c r="G83" s="408"/>
      <c r="H83" s="407" t="s">
        <v>1794</v>
      </c>
      <c r="I83" s="423"/>
      <c r="J83" s="408"/>
      <c r="K83" s="407" t="s">
        <v>1795</v>
      </c>
      <c r="L83" s="423"/>
      <c r="M83" s="408"/>
      <c r="N83" s="407" t="s">
        <v>1796</v>
      </c>
      <c r="O83" s="423"/>
      <c r="P83" s="408"/>
      <c r="Q83" s="407" t="s">
        <v>1797</v>
      </c>
      <c r="R83" s="423"/>
      <c r="S83" s="437"/>
      <c r="T83" s="439" t="s">
        <v>1792</v>
      </c>
      <c r="U83" s="440"/>
      <c r="V83" s="410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6.95" customHeight="1">
      <c r="A85" s="403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8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8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8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8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8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400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IF(AU85=0,0,IFERROR(INDEX(RanglisteST7!K:K,MATCH(AU85,RanglisteST7!A:A,0)),0))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6.95" customHeight="1">
      <c r="A86" s="404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9"/>
      <c r="H86" s="222"/>
      <c r="I86" s="241">
        <f t="shared" si="74"/>
        <v>0</v>
      </c>
      <c r="J86" s="429"/>
      <c r="K86" s="222"/>
      <c r="L86" s="241">
        <f t="shared" si="75"/>
        <v>0</v>
      </c>
      <c r="M86" s="429"/>
      <c r="N86" s="222"/>
      <c r="O86" s="241">
        <f t="shared" si="76"/>
        <v>0</v>
      </c>
      <c r="P86" s="429"/>
      <c r="Q86" s="222"/>
      <c r="R86" s="241">
        <f t="shared" si="77"/>
        <v>0</v>
      </c>
      <c r="S86" s="429"/>
      <c r="T86" s="222">
        <f t="shared" si="78"/>
        <v>0</v>
      </c>
      <c r="U86" s="241">
        <f t="shared" si="78"/>
        <v>0</v>
      </c>
      <c r="V86" s="401"/>
      <c r="W86" s="79"/>
      <c r="X86" s="79"/>
      <c r="Y86" s="79"/>
      <c r="Z86" s="79"/>
      <c r="AA86" s="79"/>
      <c r="AB86" s="79"/>
      <c r="AL86" s="169">
        <f>IF(AU86=0,0,IFERROR(INDEX(RanglisteST7!K:K,MATCH(AU86,RanglisteST7!A:A,0)),0))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6.95" customHeight="1" thickBot="1">
      <c r="A87" s="405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30"/>
      <c r="H87" s="224"/>
      <c r="I87" s="242">
        <f t="shared" si="74"/>
        <v>0</v>
      </c>
      <c r="J87" s="430"/>
      <c r="K87" s="224"/>
      <c r="L87" s="242">
        <f t="shared" si="75"/>
        <v>0</v>
      </c>
      <c r="M87" s="430"/>
      <c r="N87" s="224"/>
      <c r="O87" s="242">
        <f t="shared" si="76"/>
        <v>0</v>
      </c>
      <c r="P87" s="430"/>
      <c r="Q87" s="224"/>
      <c r="R87" s="242">
        <f t="shared" si="77"/>
        <v>0</v>
      </c>
      <c r="S87" s="430"/>
      <c r="T87" s="224">
        <f t="shared" si="78"/>
        <v>0</v>
      </c>
      <c r="U87" s="242">
        <f t="shared" si="78"/>
        <v>0</v>
      </c>
      <c r="V87" s="402"/>
      <c r="W87" s="79"/>
      <c r="X87" s="79"/>
      <c r="Y87" s="79"/>
      <c r="Z87" s="79"/>
      <c r="AA87" s="79"/>
      <c r="AB87" s="79"/>
      <c r="AL87" s="169">
        <f>IF(AU87=0,0,IFERROR(INDEX(RanglisteST7!K:K,MATCH(AU87,RanglisteST7!A:A,0)),0))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6.95" customHeight="1">
      <c r="A88" s="403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8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8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8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8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8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400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IF(AU88=0,0,IFERROR(INDEX(RanglisteST7!K:K,MATCH(AU88,RanglisteST7!A:A,0)),0))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6.95" customHeight="1">
      <c r="A89" s="404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9"/>
      <c r="H89" s="222"/>
      <c r="I89" s="241">
        <f t="shared" si="74"/>
        <v>0</v>
      </c>
      <c r="J89" s="429"/>
      <c r="K89" s="222"/>
      <c r="L89" s="241">
        <f t="shared" si="75"/>
        <v>0</v>
      </c>
      <c r="M89" s="429"/>
      <c r="N89" s="222"/>
      <c r="O89" s="241">
        <f t="shared" si="76"/>
        <v>0</v>
      </c>
      <c r="P89" s="429"/>
      <c r="Q89" s="222"/>
      <c r="R89" s="241">
        <f t="shared" si="77"/>
        <v>0</v>
      </c>
      <c r="S89" s="429"/>
      <c r="T89" s="222">
        <f t="shared" si="78"/>
        <v>0</v>
      </c>
      <c r="U89" s="241">
        <f t="shared" si="78"/>
        <v>0</v>
      </c>
      <c r="V89" s="401"/>
      <c r="W89" s="79"/>
      <c r="X89" s="79"/>
      <c r="Y89" s="79"/>
      <c r="Z89" s="79"/>
      <c r="AA89" s="79"/>
      <c r="AB89" s="79"/>
      <c r="AL89" s="169">
        <f>IF(AU89=0,0,IFERROR(INDEX(RanglisteST7!K:K,MATCH(AU89,RanglisteST7!A:A,0)),0))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6.95" customHeight="1" thickBot="1">
      <c r="A90" s="405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30"/>
      <c r="H90" s="224"/>
      <c r="I90" s="242">
        <f t="shared" si="74"/>
        <v>0</v>
      </c>
      <c r="J90" s="430"/>
      <c r="K90" s="224"/>
      <c r="L90" s="242">
        <f t="shared" si="75"/>
        <v>0</v>
      </c>
      <c r="M90" s="430"/>
      <c r="N90" s="224"/>
      <c r="O90" s="242">
        <f t="shared" si="76"/>
        <v>0</v>
      </c>
      <c r="P90" s="430"/>
      <c r="Q90" s="224"/>
      <c r="R90" s="242">
        <f t="shared" si="77"/>
        <v>0</v>
      </c>
      <c r="S90" s="430"/>
      <c r="T90" s="224">
        <f t="shared" si="78"/>
        <v>0</v>
      </c>
      <c r="U90" s="242">
        <f t="shared" si="78"/>
        <v>0</v>
      </c>
      <c r="V90" s="402"/>
      <c r="W90" s="79"/>
      <c r="X90" s="79"/>
      <c r="Y90" s="79"/>
      <c r="Z90" s="79"/>
      <c r="AA90" s="79"/>
      <c r="AB90" s="79"/>
      <c r="AL90" s="169">
        <f>IF(AU90=0,0,IFERROR(INDEX(RanglisteST7!K:K,MATCH(AU90,RanglisteST7!A:A,0)),0))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6.95" customHeight="1">
      <c r="A91" s="403" t="s">
        <v>3</v>
      </c>
      <c r="B91" s="58" t="str">
        <f>IF(C91=0,"",VLOOKUP(C91,Starter!$A$1:$D$196,2,FALSE))</f>
        <v/>
      </c>
      <c r="C91" s="235"/>
      <c r="D91" s="238">
        <f t="shared" si="72"/>
        <v>0</v>
      </c>
      <c r="E91" s="221"/>
      <c r="F91" s="240">
        <f t="shared" si="73"/>
        <v>0</v>
      </c>
      <c r="G91" s="428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8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8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8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8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400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IF(AU91=0,0,IFERROR(INDEX(RanglisteST7!K:K,MATCH(AU91,RanglisteST7!A:A,0)),0))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6.95" customHeight="1">
      <c r="A92" s="404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9"/>
      <c r="H92" s="222"/>
      <c r="I92" s="241">
        <f t="shared" si="74"/>
        <v>0</v>
      </c>
      <c r="J92" s="429"/>
      <c r="K92" s="222"/>
      <c r="L92" s="241">
        <f t="shared" si="75"/>
        <v>0</v>
      </c>
      <c r="M92" s="429"/>
      <c r="N92" s="222"/>
      <c r="O92" s="241">
        <f t="shared" si="76"/>
        <v>0</v>
      </c>
      <c r="P92" s="429"/>
      <c r="Q92" s="222"/>
      <c r="R92" s="241">
        <f t="shared" si="77"/>
        <v>0</v>
      </c>
      <c r="S92" s="429"/>
      <c r="T92" s="222">
        <f t="shared" si="78"/>
        <v>0</v>
      </c>
      <c r="U92" s="241">
        <f t="shared" si="78"/>
        <v>0</v>
      </c>
      <c r="V92" s="401"/>
      <c r="W92" s="79"/>
      <c r="X92" s="79"/>
      <c r="Y92" s="79"/>
      <c r="Z92" s="79"/>
      <c r="AA92" s="79"/>
      <c r="AB92" s="79"/>
      <c r="AL92" s="169">
        <f>IF(AU92=0,0,IFERROR(INDEX(RanglisteST7!K:K,MATCH(AU92,RanglisteST7!A:A,0)),0))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6.95" customHeight="1" thickBot="1">
      <c r="A93" s="405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30"/>
      <c r="H93" s="224"/>
      <c r="I93" s="242">
        <f t="shared" si="74"/>
        <v>0</v>
      </c>
      <c r="J93" s="430"/>
      <c r="K93" s="224"/>
      <c r="L93" s="242">
        <f t="shared" si="75"/>
        <v>0</v>
      </c>
      <c r="M93" s="430"/>
      <c r="N93" s="224"/>
      <c r="O93" s="242">
        <f t="shared" si="76"/>
        <v>0</v>
      </c>
      <c r="P93" s="430"/>
      <c r="Q93" s="224"/>
      <c r="R93" s="242">
        <f t="shared" si="77"/>
        <v>0</v>
      </c>
      <c r="S93" s="430"/>
      <c r="T93" s="224">
        <f t="shared" si="78"/>
        <v>0</v>
      </c>
      <c r="U93" s="242">
        <f t="shared" si="78"/>
        <v>0</v>
      </c>
      <c r="V93" s="402"/>
      <c r="W93" s="79"/>
      <c r="X93" s="79"/>
      <c r="Y93" s="79"/>
      <c r="Z93" s="79"/>
      <c r="AA93" s="79"/>
      <c r="AB93" s="79"/>
      <c r="AL93" s="169">
        <f>IF(AU93=0,0,IFERROR(INDEX(RanglisteST7!K:K,MATCH(AU93,RanglisteST7!A:A,0)),0))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>
      <c r="B97" s="231" t="s">
        <v>1790</v>
      </c>
      <c r="C97" s="210"/>
      <c r="D97" s="42"/>
      <c r="E97" s="434">
        <f>VLOOKUP($B80,Schlüssel!$A$5:$EK$12,123)</f>
        <v>7</v>
      </c>
      <c r="F97" s="435"/>
      <c r="G97" s="436"/>
      <c r="H97" s="434">
        <f>VLOOKUP($B80,Schlüssel!$A$5:$EK$12,124)</f>
        <v>3</v>
      </c>
      <c r="I97" s="435"/>
      <c r="J97" s="436"/>
      <c r="K97" s="434">
        <f>VLOOKUP($B80,Schlüssel!$A$5:$EK$12,125)</f>
        <v>2</v>
      </c>
      <c r="L97" s="435"/>
      <c r="M97" s="436"/>
      <c r="N97" s="434">
        <f>VLOOKUP($B80,Schlüssel!$A$5:$EK$12,126)</f>
        <v>5</v>
      </c>
      <c r="O97" s="435"/>
      <c r="P97" s="436"/>
      <c r="Q97" s="434">
        <f>VLOOKUP($B80,Schlüssel!$A$5:$EK$12,127)</f>
        <v>8</v>
      </c>
      <c r="R97" s="435"/>
      <c r="S97" s="436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>
      <c r="B98" s="3" t="s">
        <v>9</v>
      </c>
      <c r="C98" s="1"/>
      <c r="D98" s="1"/>
      <c r="E98" s="395" t="str">
        <f>VLOOKUP(E97,Schlüssel!$A$5:$K$12,2)</f>
        <v>BK München 1</v>
      </c>
      <c r="F98" s="438"/>
      <c r="G98" s="396"/>
      <c r="H98" s="395" t="str">
        <f>VLOOKUP(H97,Schlüssel!$A$5:$K$12,2)</f>
        <v>Highroller Rosenheim 2</v>
      </c>
      <c r="I98" s="438"/>
      <c r="J98" s="396"/>
      <c r="K98" s="395" t="str">
        <f>VLOOKUP(K97,Schlüssel!$A$5:$K$12,2)</f>
        <v>Highroller Rosenheim 1</v>
      </c>
      <c r="L98" s="438"/>
      <c r="M98" s="396"/>
      <c r="N98" s="395" t="str">
        <f>VLOOKUP(N97,Schlüssel!$A$5:$K$12,2)</f>
        <v>Berchtesgaden 1</v>
      </c>
      <c r="O98" s="438"/>
      <c r="P98" s="396"/>
      <c r="Q98" s="395" t="str">
        <f>VLOOKUP(Q97,Schlüssel!$A$5:$K$12,2)</f>
        <v>EMAX 1</v>
      </c>
      <c r="R98" s="438"/>
      <c r="S98" s="396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" customHeight="1">
      <c r="B100" s="417" t="s">
        <v>2275</v>
      </c>
      <c r="C100" s="418"/>
      <c r="D100" s="419"/>
      <c r="E100" s="431">
        <f>ABS(INDEX(F:F,MATCH(E97,$B:$B,0)+5)+INDEX(F:F,MATCH(E97,$B:$B,0)+6)+INDEX(F:F,MATCH(E97,$B:$B,0)+7))</f>
        <v>0</v>
      </c>
      <c r="F100" s="432"/>
      <c r="G100" s="433"/>
      <c r="H100" s="431">
        <f>ABS(INDEX(I:I,MATCH(H97,$B:$B,0)+5)+INDEX(I:I,MATCH(H97,$B:$B,0)+6)+INDEX(I:I,MATCH(H97,$B:$B,0)+7))</f>
        <v>0</v>
      </c>
      <c r="I100" s="432"/>
      <c r="J100" s="433"/>
      <c r="K100" s="431">
        <f>ABS(INDEX(L:L,MATCH(K97,$B:$B,0)+5)+INDEX(L:L,MATCH(K97,$B:$B,0)+6)+INDEX(L:L,MATCH(K97,$B:$B,0)+7))</f>
        <v>0</v>
      </c>
      <c r="L100" s="432"/>
      <c r="M100" s="433"/>
      <c r="N100" s="431">
        <f>ABS(INDEX(O:O,MATCH(N97,$B:$B,0)+5)+INDEX(O:O,MATCH(N97,$B:$B,0)+6)+INDEX(O:O,MATCH(N97,$B:$B,0)+7))</f>
        <v>0</v>
      </c>
      <c r="O100" s="432"/>
      <c r="P100" s="433"/>
      <c r="Q100" s="431">
        <f>ABS(INDEX(R:R,MATCH(Q97,$B:$B,0)+5)+INDEX(R:R,MATCH(Q97,$B:$B,0)+6)+INDEX(R:R,MATCH(Q97,$B:$B,0)+7))</f>
        <v>0</v>
      </c>
      <c r="R100" s="432"/>
      <c r="S100" s="433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" customHeight="1">
      <c r="B101" s="417" t="s">
        <v>2276</v>
      </c>
      <c r="C101" s="418"/>
      <c r="D101" s="419"/>
      <c r="E101" s="424">
        <f>ABS(INDEX(F:F,MATCH(E97,$B:$B,0)+8)+INDEX(F:F,MATCH(E97,$B:$B,0)+9)+INDEX(F:F,MATCH(E97,$B:$B,0)+10))</f>
        <v>0</v>
      </c>
      <c r="F101" s="425"/>
      <c r="G101" s="426"/>
      <c r="H101" s="424">
        <f>ABS(INDEX(I:I,MATCH(H97,$B:$B,0)+8)+INDEX(I:I,MATCH(H97,$B:$B,0)+9)+INDEX(I:I,MATCH(H97,$B:$B,0)+10))</f>
        <v>0</v>
      </c>
      <c r="I101" s="425"/>
      <c r="J101" s="426"/>
      <c r="K101" s="424">
        <f>ABS(INDEX(L:L,MATCH(K97,$B:$B,0)+8)+INDEX(L:L,MATCH(K97,$B:$B,0)+9)+INDEX(L:L,MATCH(K97,$B:$B,0)+10))</f>
        <v>0</v>
      </c>
      <c r="L101" s="425"/>
      <c r="M101" s="426"/>
      <c r="N101" s="424">
        <f>ABS(INDEX(O:O,MATCH(N97,$B:$B,0)+8)+INDEX(O:O,MATCH(N97,$B:$B,0)+9)+INDEX(O:O,MATCH(N97,$B:$B,0)+10))</f>
        <v>0</v>
      </c>
      <c r="O101" s="425"/>
      <c r="P101" s="426"/>
      <c r="Q101" s="424">
        <f>ABS(INDEX(R:R,MATCH(Q97,$B:$B,0)+8)+INDEX(R:R,MATCH(Q97,$B:$B,0)+9)+INDEX(R:R,MATCH(Q97,$B:$B,0)+10))</f>
        <v>0</v>
      </c>
      <c r="R101" s="425"/>
      <c r="S101" s="426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" customHeight="1">
      <c r="B102" s="417" t="s">
        <v>2277</v>
      </c>
      <c r="C102" s="418"/>
      <c r="D102" s="419"/>
      <c r="E102" s="424">
        <f>ABS(INDEX(F:F,MATCH(E97,$B:$B,0)+11)+INDEX(F:F,MATCH(E97,$B:$B,0)+12)+INDEX(F:F,MATCH(E97,$B:$B,0)+13))</f>
        <v>0</v>
      </c>
      <c r="F102" s="425"/>
      <c r="G102" s="426"/>
      <c r="H102" s="424">
        <f>ABS(INDEX(I:I,MATCH(H97,$B:$B,0)+11)+INDEX(I:I,MATCH(H97,$B:$B,0)+12)+INDEX(I:I,MATCH(H97,$B:$B,0)+13))</f>
        <v>0</v>
      </c>
      <c r="I102" s="425"/>
      <c r="J102" s="426"/>
      <c r="K102" s="424">
        <f>ABS(INDEX(L:L,MATCH(K97,$B:$B,0)+11)+INDEX(L:L,MATCH(K97,$B:$B,0)+12)+INDEX(L:L,MATCH(K97,$B:$B,0)+13))</f>
        <v>0</v>
      </c>
      <c r="L102" s="425"/>
      <c r="M102" s="426"/>
      <c r="N102" s="424">
        <f>ABS(INDEX(O:O,MATCH(N97,$B:$B,0)+11)+INDEX(O:O,MATCH(N97,$B:$B,0)+12)+INDEX(O:O,MATCH(N97,$B:$B,0)+13))</f>
        <v>0</v>
      </c>
      <c r="O102" s="425"/>
      <c r="P102" s="426"/>
      <c r="Q102" s="424">
        <f>ABS(INDEX(R:R,MATCH(Q97,$B:$B,0)+11)+INDEX(R:R,MATCH(Q97,$B:$B,0)+12)+INDEX(R:R,MATCH(Q97,$B:$B,0)+13))</f>
        <v>0</v>
      </c>
      <c r="R102" s="425"/>
      <c r="S102" s="426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" customHeight="1">
      <c r="B103" s="420" t="s">
        <v>2278</v>
      </c>
      <c r="C103" s="421"/>
      <c r="D103" s="422"/>
      <c r="E103" s="407">
        <f>SUM(E100:E102)</f>
        <v>0</v>
      </c>
      <c r="F103" s="423"/>
      <c r="G103" s="408"/>
      <c r="H103" s="407">
        <f>SUM(H100:H102)</f>
        <v>0</v>
      </c>
      <c r="I103" s="423"/>
      <c r="J103" s="408"/>
      <c r="K103" s="407">
        <f>SUM(K100:K102)</f>
        <v>0</v>
      </c>
      <c r="L103" s="423"/>
      <c r="M103" s="408"/>
      <c r="N103" s="407">
        <f>SUM(N100:N102)</f>
        <v>0</v>
      </c>
      <c r="O103" s="423"/>
      <c r="P103" s="408"/>
      <c r="Q103" s="407">
        <f>SUM(Q100:Q102)</f>
        <v>0</v>
      </c>
      <c r="R103" s="423"/>
      <c r="S103" s="408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>
      <c r="A105" s="255"/>
      <c r="B105" s="7" t="s">
        <v>1802</v>
      </c>
      <c r="C105" s="24"/>
      <c r="D105" s="24"/>
      <c r="E105" s="35" t="s">
        <v>1786</v>
      </c>
      <c r="F105" s="35"/>
      <c r="G105" s="427" t="str">
        <f>Schlüssel!$C$1</f>
        <v>Landesliga Jugend</v>
      </c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  <c r="S105" s="406">
        <f>Schlüssel!$EC$1</f>
        <v>45829</v>
      </c>
      <c r="T105" s="406"/>
      <c r="U105" s="406"/>
      <c r="V105" s="406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>
      <c r="A106" s="53"/>
      <c r="B106" s="54">
        <v>5</v>
      </c>
      <c r="E106" s="35" t="s">
        <v>1787</v>
      </c>
      <c r="F106" s="35"/>
      <c r="G106" s="413" t="str">
        <f>Schlüssel!$DS$2</f>
        <v>Brunnthal Max Munich</v>
      </c>
      <c r="H106" s="413"/>
      <c r="I106" s="413"/>
      <c r="J106" s="413"/>
      <c r="K106" s="413"/>
      <c r="L106" s="413"/>
      <c r="M106" s="413"/>
      <c r="N106" s="413"/>
      <c r="O106" s="413"/>
      <c r="P106" s="66"/>
      <c r="Q106" s="411" t="s">
        <v>1785</v>
      </c>
      <c r="R106" s="412"/>
      <c r="S106" s="38">
        <v>7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>
      <c r="B107" s="414" t="str">
        <f>VLOOKUP(B106,Schlüssel!$A$5:$B$12,2)</f>
        <v>Berchtesgaden 1</v>
      </c>
      <c r="C107" s="415"/>
      <c r="D107" s="415"/>
      <c r="E107" s="415"/>
      <c r="F107" s="415"/>
      <c r="G107" s="416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3.8" hidden="1" thickBot="1">
      <c r="A108" s="6"/>
      <c r="B108" s="7"/>
      <c r="C108" s="43"/>
      <c r="D108" s="43"/>
      <c r="E108" s="162" t="s">
        <v>10</v>
      </c>
      <c r="F108" s="220"/>
      <c r="G108" s="159">
        <f>VLOOKUP(B106,Schlüssel!$A$5:$EK$12,133)</f>
        <v>7</v>
      </c>
      <c r="H108" s="161" t="s">
        <v>10</v>
      </c>
      <c r="I108" s="220"/>
      <c r="J108" s="159">
        <f>VLOOKUP(B106,Schlüssel!$A$5:$EK$12,134)</f>
        <v>6</v>
      </c>
      <c r="K108" s="161" t="s">
        <v>10</v>
      </c>
      <c r="L108" s="220"/>
      <c r="M108" s="159">
        <f>VLOOKUP(B106,Schlüssel!$A$5:$EK$12,135)</f>
        <v>4</v>
      </c>
      <c r="N108" s="161" t="s">
        <v>10</v>
      </c>
      <c r="O108" s="220"/>
      <c r="P108" s="159">
        <f>VLOOKUP(B106,Schlüssel!$A$5:$EK$12,136)</f>
        <v>2</v>
      </c>
      <c r="Q108" s="161" t="s">
        <v>10</v>
      </c>
      <c r="R108" s="220"/>
      <c r="S108" s="160">
        <f>VLOOKUP(B106,Schlüssel!$A$5:$EK$12,137)</f>
        <v>5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>
      <c r="B109" s="44" t="s">
        <v>1</v>
      </c>
      <c r="C109" s="208"/>
      <c r="D109" s="217"/>
      <c r="E109" s="423" t="s">
        <v>1793</v>
      </c>
      <c r="F109" s="423"/>
      <c r="G109" s="408"/>
      <c r="H109" s="407" t="s">
        <v>1794</v>
      </c>
      <c r="I109" s="423"/>
      <c r="J109" s="408"/>
      <c r="K109" s="407" t="s">
        <v>1795</v>
      </c>
      <c r="L109" s="423"/>
      <c r="M109" s="408"/>
      <c r="N109" s="407" t="s">
        <v>1796</v>
      </c>
      <c r="O109" s="423"/>
      <c r="P109" s="408"/>
      <c r="Q109" s="407" t="s">
        <v>1797</v>
      </c>
      <c r="R109" s="423"/>
      <c r="S109" s="437"/>
      <c r="T109" s="439" t="s">
        <v>1792</v>
      </c>
      <c r="U109" s="440"/>
      <c r="V109" s="410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6.95" customHeight="1">
      <c r="A111" s="403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8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8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8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8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8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400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IF(AU111=0,0,IFERROR(INDEX(RanglisteST7!K:K,MATCH(AU111,RanglisteST7!A:A,0)),0))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6.95" customHeight="1">
      <c r="A112" s="404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9"/>
      <c r="H112" s="222"/>
      <c r="I112" s="241">
        <f t="shared" si="98"/>
        <v>0</v>
      </c>
      <c r="J112" s="429"/>
      <c r="K112" s="222"/>
      <c r="L112" s="241">
        <f t="shared" si="99"/>
        <v>0</v>
      </c>
      <c r="M112" s="429"/>
      <c r="N112" s="222"/>
      <c r="O112" s="241">
        <f t="shared" si="100"/>
        <v>0</v>
      </c>
      <c r="P112" s="429"/>
      <c r="Q112" s="222"/>
      <c r="R112" s="241">
        <f t="shared" si="101"/>
        <v>0</v>
      </c>
      <c r="S112" s="429"/>
      <c r="T112" s="222">
        <f t="shared" si="102"/>
        <v>0</v>
      </c>
      <c r="U112" s="241">
        <f t="shared" si="102"/>
        <v>0</v>
      </c>
      <c r="V112" s="401"/>
      <c r="W112" s="79"/>
      <c r="X112" s="79"/>
      <c r="Y112" s="79"/>
      <c r="Z112" s="79"/>
      <c r="AA112" s="79"/>
      <c r="AB112" s="79"/>
      <c r="AL112" s="169">
        <f>IF(AU112=0,0,IFERROR(INDEX(RanglisteST7!K:K,MATCH(AU112,RanglisteST7!A:A,0)),0))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6.95" customHeight="1" thickBot="1">
      <c r="A113" s="405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30"/>
      <c r="H113" s="224"/>
      <c r="I113" s="242">
        <f t="shared" si="98"/>
        <v>0</v>
      </c>
      <c r="J113" s="430"/>
      <c r="K113" s="224"/>
      <c r="L113" s="242">
        <f t="shared" si="99"/>
        <v>0</v>
      </c>
      <c r="M113" s="430"/>
      <c r="N113" s="224"/>
      <c r="O113" s="242">
        <f t="shared" si="100"/>
        <v>0</v>
      </c>
      <c r="P113" s="430"/>
      <c r="Q113" s="224"/>
      <c r="R113" s="242">
        <f t="shared" si="101"/>
        <v>0</v>
      </c>
      <c r="S113" s="430"/>
      <c r="T113" s="224">
        <f t="shared" si="102"/>
        <v>0</v>
      </c>
      <c r="U113" s="242">
        <f t="shared" si="102"/>
        <v>0</v>
      </c>
      <c r="V113" s="402"/>
      <c r="W113" s="79"/>
      <c r="X113" s="79"/>
      <c r="Y113" s="79"/>
      <c r="Z113" s="79"/>
      <c r="AA113" s="79"/>
      <c r="AB113" s="79"/>
      <c r="AL113" s="169">
        <f>IF(AU113=0,0,IFERROR(INDEX(RanglisteST7!K:K,MATCH(AU113,RanglisteST7!A:A,0)),0))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6.95" customHeight="1">
      <c r="A114" s="403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8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8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8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8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8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400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IF(AU114=0,0,IFERROR(INDEX(RanglisteST7!K:K,MATCH(AU114,RanglisteST7!A:A,0)),0))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6.95" customHeight="1">
      <c r="A115" s="404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9"/>
      <c r="H115" s="222"/>
      <c r="I115" s="241">
        <f t="shared" si="98"/>
        <v>0</v>
      </c>
      <c r="J115" s="429"/>
      <c r="K115" s="222"/>
      <c r="L115" s="241">
        <f t="shared" si="99"/>
        <v>0</v>
      </c>
      <c r="M115" s="429"/>
      <c r="N115" s="222"/>
      <c r="O115" s="241">
        <f t="shared" si="100"/>
        <v>0</v>
      </c>
      <c r="P115" s="429"/>
      <c r="Q115" s="222"/>
      <c r="R115" s="241">
        <f t="shared" si="101"/>
        <v>0</v>
      </c>
      <c r="S115" s="429"/>
      <c r="T115" s="222">
        <f t="shared" si="102"/>
        <v>0</v>
      </c>
      <c r="U115" s="241">
        <f t="shared" si="102"/>
        <v>0</v>
      </c>
      <c r="V115" s="401"/>
      <c r="W115" s="79"/>
      <c r="X115" s="79"/>
      <c r="Y115" s="79"/>
      <c r="Z115" s="79"/>
      <c r="AA115" s="79"/>
      <c r="AB115" s="79"/>
      <c r="AL115" s="169">
        <f>IF(AU115=0,0,IFERROR(INDEX(RanglisteST7!K:K,MATCH(AU115,RanglisteST7!A:A,0)),0))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6.95" customHeight="1" thickBot="1">
      <c r="A116" s="405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30"/>
      <c r="H116" s="224"/>
      <c r="I116" s="242">
        <f t="shared" si="98"/>
        <v>0</v>
      </c>
      <c r="J116" s="430"/>
      <c r="K116" s="224"/>
      <c r="L116" s="242">
        <f t="shared" si="99"/>
        <v>0</v>
      </c>
      <c r="M116" s="430"/>
      <c r="N116" s="224"/>
      <c r="O116" s="242">
        <f t="shared" si="100"/>
        <v>0</v>
      </c>
      <c r="P116" s="430"/>
      <c r="Q116" s="224"/>
      <c r="R116" s="242">
        <f t="shared" si="101"/>
        <v>0</v>
      </c>
      <c r="S116" s="430"/>
      <c r="T116" s="224">
        <f t="shared" si="102"/>
        <v>0</v>
      </c>
      <c r="U116" s="242">
        <f t="shared" si="102"/>
        <v>0</v>
      </c>
      <c r="V116" s="402"/>
      <c r="W116" s="79"/>
      <c r="X116" s="79"/>
      <c r="Y116" s="79"/>
      <c r="Z116" s="79"/>
      <c r="AA116" s="79"/>
      <c r="AB116" s="79"/>
      <c r="AL116" s="169">
        <f>IF(AU116=0,0,IFERROR(INDEX(RanglisteST7!K:K,MATCH(AU116,RanglisteST7!A:A,0)),0))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6.95" customHeight="1">
      <c r="A117" s="403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8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8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8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8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8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400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IF(AU117=0,0,IFERROR(INDEX(RanglisteST7!K:K,MATCH(AU117,RanglisteST7!A:A,0)),0))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6.95" customHeight="1">
      <c r="A118" s="404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9"/>
      <c r="H118" s="222"/>
      <c r="I118" s="241">
        <f t="shared" si="98"/>
        <v>0</v>
      </c>
      <c r="J118" s="429"/>
      <c r="K118" s="222"/>
      <c r="L118" s="241">
        <f t="shared" si="99"/>
        <v>0</v>
      </c>
      <c r="M118" s="429"/>
      <c r="N118" s="222"/>
      <c r="O118" s="241">
        <f t="shared" si="100"/>
        <v>0</v>
      </c>
      <c r="P118" s="429"/>
      <c r="Q118" s="222"/>
      <c r="R118" s="241">
        <f t="shared" si="101"/>
        <v>0</v>
      </c>
      <c r="S118" s="429"/>
      <c r="T118" s="222">
        <f t="shared" si="102"/>
        <v>0</v>
      </c>
      <c r="U118" s="241">
        <f t="shared" si="102"/>
        <v>0</v>
      </c>
      <c r="V118" s="401"/>
      <c r="W118" s="79"/>
      <c r="X118" s="79"/>
      <c r="Y118" s="79"/>
      <c r="Z118" s="79"/>
      <c r="AA118" s="79"/>
      <c r="AB118" s="79"/>
      <c r="AL118" s="169">
        <f>IF(AU118=0,0,IFERROR(INDEX(RanglisteST7!K:K,MATCH(AU118,RanglisteST7!A:A,0)),0))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6.95" customHeight="1" thickBot="1">
      <c r="A119" s="405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30"/>
      <c r="H119" s="224"/>
      <c r="I119" s="242">
        <f t="shared" si="98"/>
        <v>0</v>
      </c>
      <c r="J119" s="430"/>
      <c r="K119" s="224"/>
      <c r="L119" s="242">
        <f t="shared" si="99"/>
        <v>0</v>
      </c>
      <c r="M119" s="430"/>
      <c r="N119" s="224"/>
      <c r="O119" s="242">
        <f t="shared" si="100"/>
        <v>0</v>
      </c>
      <c r="P119" s="430"/>
      <c r="Q119" s="224"/>
      <c r="R119" s="242">
        <f t="shared" si="101"/>
        <v>0</v>
      </c>
      <c r="S119" s="430"/>
      <c r="T119" s="224">
        <f t="shared" si="102"/>
        <v>0</v>
      </c>
      <c r="U119" s="242">
        <f t="shared" si="102"/>
        <v>0</v>
      </c>
      <c r="V119" s="402"/>
      <c r="W119" s="79"/>
      <c r="X119" s="79"/>
      <c r="Y119" s="79"/>
      <c r="Z119" s="79"/>
      <c r="AA119" s="79"/>
      <c r="AB119" s="79"/>
      <c r="AL119" s="169">
        <f>IF(AU119=0,0,IFERROR(INDEX(RanglisteST7!K:K,MATCH(AU119,RanglisteST7!A:A,0)),0))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>
      <c r="B123" s="231" t="s">
        <v>1790</v>
      </c>
      <c r="C123" s="210"/>
      <c r="D123" s="42"/>
      <c r="E123" s="434">
        <f>VLOOKUP($B106,Schlüssel!$A$5:$EK$12,123)</f>
        <v>3</v>
      </c>
      <c r="F123" s="435"/>
      <c r="G123" s="436"/>
      <c r="H123" s="434">
        <f>VLOOKUP($B106,Schlüssel!$A$5:$EK$12,124)</f>
        <v>6</v>
      </c>
      <c r="I123" s="435"/>
      <c r="J123" s="436"/>
      <c r="K123" s="434">
        <f>VLOOKUP($B106,Schlüssel!$A$5:$EK$12,125)</f>
        <v>7</v>
      </c>
      <c r="L123" s="435"/>
      <c r="M123" s="436"/>
      <c r="N123" s="434">
        <f>VLOOKUP($B106,Schlüssel!$A$5:$EK$12,126)</f>
        <v>4</v>
      </c>
      <c r="O123" s="435"/>
      <c r="P123" s="436"/>
      <c r="Q123" s="434">
        <f>VLOOKUP($B106,Schlüssel!$A$5:$EK$12,127)</f>
        <v>1</v>
      </c>
      <c r="R123" s="435"/>
      <c r="S123" s="436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>
      <c r="B124" s="3" t="s">
        <v>9</v>
      </c>
      <c r="C124" s="1"/>
      <c r="D124" s="1"/>
      <c r="E124" s="395" t="str">
        <f>VLOOKUP(E123,Schlüssel!$A$5:$K$12,2)</f>
        <v>Highroller Rosenheim 2</v>
      </c>
      <c r="F124" s="438"/>
      <c r="G124" s="396"/>
      <c r="H124" s="395" t="str">
        <f>VLOOKUP(H123,Schlüssel!$A$5:$K$12,2)</f>
        <v>Bowling Jugend Bayern 1</v>
      </c>
      <c r="I124" s="438"/>
      <c r="J124" s="396"/>
      <c r="K124" s="395" t="str">
        <f>VLOOKUP(K123,Schlüssel!$A$5:$K$12,2)</f>
        <v>BK München 1</v>
      </c>
      <c r="L124" s="438"/>
      <c r="M124" s="396"/>
      <c r="N124" s="395" t="str">
        <f>VLOOKUP(N123,Schlüssel!$A$5:$K$12,2)</f>
        <v>Highroller Rosenheim 3</v>
      </c>
      <c r="O124" s="438"/>
      <c r="P124" s="396"/>
      <c r="Q124" s="395" t="str">
        <f>VLOOKUP(Q123,Schlüssel!$A$5:$K$12,2)</f>
        <v>Bad Tölz 1</v>
      </c>
      <c r="R124" s="438"/>
      <c r="S124" s="396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" customHeight="1">
      <c r="B126" s="417" t="s">
        <v>2275</v>
      </c>
      <c r="C126" s="418"/>
      <c r="D126" s="419"/>
      <c r="E126" s="431">
        <f>ABS(INDEX(F:F,MATCH(E123,$B:$B,0)+5)+INDEX(F:F,MATCH(E123,$B:$B,0)+6)+INDEX(F:F,MATCH(E123,$B:$B,0)+7))</f>
        <v>0</v>
      </c>
      <c r="F126" s="432"/>
      <c r="G126" s="433"/>
      <c r="H126" s="431">
        <f>ABS(INDEX(I:I,MATCH(H123,$B:$B,0)+5)+INDEX(I:I,MATCH(H123,$B:$B,0)+6)+INDEX(I:I,MATCH(H123,$B:$B,0)+7))</f>
        <v>0</v>
      </c>
      <c r="I126" s="432"/>
      <c r="J126" s="433"/>
      <c r="K126" s="431">
        <f>ABS(INDEX(L:L,MATCH(K123,$B:$B,0)+5)+INDEX(L:L,MATCH(K123,$B:$B,0)+6)+INDEX(L:L,MATCH(K123,$B:$B,0)+7))</f>
        <v>0</v>
      </c>
      <c r="L126" s="432"/>
      <c r="M126" s="433"/>
      <c r="N126" s="431">
        <f>ABS(INDEX(O:O,MATCH(N123,$B:$B,0)+5)+INDEX(O:O,MATCH(N123,$B:$B,0)+6)+INDEX(O:O,MATCH(N123,$B:$B,0)+7))</f>
        <v>0</v>
      </c>
      <c r="O126" s="432"/>
      <c r="P126" s="433"/>
      <c r="Q126" s="431">
        <f>ABS(INDEX(R:R,MATCH(Q123,$B:$B,0)+5)+INDEX(R:R,MATCH(Q123,$B:$B,0)+6)+INDEX(R:R,MATCH(Q123,$B:$B,0)+7))</f>
        <v>0</v>
      </c>
      <c r="R126" s="432"/>
      <c r="S126" s="433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" customHeight="1">
      <c r="B127" s="417" t="s">
        <v>2276</v>
      </c>
      <c r="C127" s="418"/>
      <c r="D127" s="419"/>
      <c r="E127" s="424">
        <f>ABS(INDEX(F:F,MATCH(E123,$B:$B,0)+8)+INDEX(F:F,MATCH(E123,$B:$B,0)+9)+INDEX(F:F,MATCH(E123,$B:$B,0)+10))</f>
        <v>0</v>
      </c>
      <c r="F127" s="425"/>
      <c r="G127" s="426"/>
      <c r="H127" s="424">
        <f>ABS(INDEX(I:I,MATCH(H123,$B:$B,0)+8)+INDEX(I:I,MATCH(H123,$B:$B,0)+9)+INDEX(I:I,MATCH(H123,$B:$B,0)+10))</f>
        <v>0</v>
      </c>
      <c r="I127" s="425"/>
      <c r="J127" s="426"/>
      <c r="K127" s="424">
        <f>ABS(INDEX(L:L,MATCH(K123,$B:$B,0)+8)+INDEX(L:L,MATCH(K123,$B:$B,0)+9)+INDEX(L:L,MATCH(K123,$B:$B,0)+10))</f>
        <v>0</v>
      </c>
      <c r="L127" s="425"/>
      <c r="M127" s="426"/>
      <c r="N127" s="424">
        <f>ABS(INDEX(O:O,MATCH(N123,$B:$B,0)+8)+INDEX(O:O,MATCH(N123,$B:$B,0)+9)+INDEX(O:O,MATCH(N123,$B:$B,0)+10))</f>
        <v>0</v>
      </c>
      <c r="O127" s="425"/>
      <c r="P127" s="426"/>
      <c r="Q127" s="424">
        <f>ABS(INDEX(R:R,MATCH(Q123,$B:$B,0)+8)+INDEX(R:R,MATCH(Q123,$B:$B,0)+9)+INDEX(R:R,MATCH(Q123,$B:$B,0)+10))</f>
        <v>0</v>
      </c>
      <c r="R127" s="425"/>
      <c r="S127" s="426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" customHeight="1">
      <c r="B128" s="417" t="s">
        <v>2277</v>
      </c>
      <c r="C128" s="418"/>
      <c r="D128" s="419"/>
      <c r="E128" s="424">
        <f>ABS(INDEX(F:F,MATCH(E123,$B:$B,0)+11)+INDEX(F:F,MATCH(E123,$B:$B,0)+12)+INDEX(F:F,MATCH(E123,$B:$B,0)+13))</f>
        <v>0</v>
      </c>
      <c r="F128" s="425"/>
      <c r="G128" s="426"/>
      <c r="H128" s="424">
        <f>ABS(INDEX(I:I,MATCH(H123,$B:$B,0)+11)+INDEX(I:I,MATCH(H123,$B:$B,0)+12)+INDEX(I:I,MATCH(H123,$B:$B,0)+13))</f>
        <v>0</v>
      </c>
      <c r="I128" s="425"/>
      <c r="J128" s="426"/>
      <c r="K128" s="424">
        <f>ABS(INDEX(L:L,MATCH(K123,$B:$B,0)+11)+INDEX(L:L,MATCH(K123,$B:$B,0)+12)+INDEX(L:L,MATCH(K123,$B:$B,0)+13))</f>
        <v>0</v>
      </c>
      <c r="L128" s="425"/>
      <c r="M128" s="426"/>
      <c r="N128" s="424">
        <f>ABS(INDEX(O:O,MATCH(N123,$B:$B,0)+11)+INDEX(O:O,MATCH(N123,$B:$B,0)+12)+INDEX(O:O,MATCH(N123,$B:$B,0)+13))</f>
        <v>0</v>
      </c>
      <c r="O128" s="425"/>
      <c r="P128" s="426"/>
      <c r="Q128" s="424">
        <f>ABS(INDEX(R:R,MATCH(Q123,$B:$B,0)+11)+INDEX(R:R,MATCH(Q123,$B:$B,0)+12)+INDEX(R:R,MATCH(Q123,$B:$B,0)+13))</f>
        <v>0</v>
      </c>
      <c r="R128" s="425"/>
      <c r="S128" s="426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" customHeight="1">
      <c r="B129" s="420" t="s">
        <v>2278</v>
      </c>
      <c r="C129" s="421"/>
      <c r="D129" s="422"/>
      <c r="E129" s="407">
        <f>SUM(E126:E128)</f>
        <v>0</v>
      </c>
      <c r="F129" s="423"/>
      <c r="G129" s="408"/>
      <c r="H129" s="407">
        <f>SUM(H126:H128)</f>
        <v>0</v>
      </c>
      <c r="I129" s="423"/>
      <c r="J129" s="408"/>
      <c r="K129" s="407">
        <f>SUM(K126:K128)</f>
        <v>0</v>
      </c>
      <c r="L129" s="423"/>
      <c r="M129" s="408"/>
      <c r="N129" s="407">
        <f>SUM(N126:N128)</f>
        <v>0</v>
      </c>
      <c r="O129" s="423"/>
      <c r="P129" s="408"/>
      <c r="Q129" s="407">
        <f>SUM(Q126:Q128)</f>
        <v>0</v>
      </c>
      <c r="R129" s="423"/>
      <c r="S129" s="408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>
      <c r="A131" s="255"/>
      <c r="B131" s="7" t="s">
        <v>1802</v>
      </c>
      <c r="C131" s="24"/>
      <c r="D131" s="24"/>
      <c r="E131" s="35" t="s">
        <v>1786</v>
      </c>
      <c r="F131" s="35"/>
      <c r="G131" s="427" t="str">
        <f>Schlüssel!$C$1</f>
        <v>Landesliga Jugend</v>
      </c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  <c r="S131" s="406">
        <f>Schlüssel!$EC$1</f>
        <v>45829</v>
      </c>
      <c r="T131" s="406"/>
      <c r="U131" s="406"/>
      <c r="V131" s="406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>
      <c r="A132" s="53"/>
      <c r="B132" s="54">
        <v>6</v>
      </c>
      <c r="E132" s="35" t="s">
        <v>1787</v>
      </c>
      <c r="F132" s="35"/>
      <c r="G132" s="413" t="str">
        <f>Schlüssel!$DS$2</f>
        <v>Brunnthal Max Munich</v>
      </c>
      <c r="H132" s="413"/>
      <c r="I132" s="413"/>
      <c r="J132" s="413"/>
      <c r="K132" s="413"/>
      <c r="L132" s="413"/>
      <c r="M132" s="413"/>
      <c r="N132" s="413"/>
      <c r="O132" s="413"/>
      <c r="P132" s="66"/>
      <c r="Q132" s="411" t="s">
        <v>1785</v>
      </c>
      <c r="R132" s="412"/>
      <c r="S132" s="38">
        <v>7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>
      <c r="B133" s="414" t="str">
        <f>VLOOKUP(B132,Schlüssel!$A$5:$B$12,2)</f>
        <v>Bowling Jugend Bayern 1</v>
      </c>
      <c r="C133" s="415"/>
      <c r="D133" s="415"/>
      <c r="E133" s="415"/>
      <c r="F133" s="415"/>
      <c r="G133" s="416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3.8" hidden="1" thickBot="1">
      <c r="A134" s="6"/>
      <c r="B134" s="7"/>
      <c r="C134" s="43"/>
      <c r="D134" s="43"/>
      <c r="E134" s="162" t="s">
        <v>10</v>
      </c>
      <c r="F134" s="220"/>
      <c r="G134" s="159">
        <f>VLOOKUP(B132,Schlüssel!$A$5:$EK$12,133)</f>
        <v>4</v>
      </c>
      <c r="H134" s="161" t="s">
        <v>10</v>
      </c>
      <c r="I134" s="220"/>
      <c r="J134" s="159">
        <f>VLOOKUP(B132,Schlüssel!$A$5:$EK$12,134)</f>
        <v>5</v>
      </c>
      <c r="K134" s="161" t="s">
        <v>10</v>
      </c>
      <c r="L134" s="220"/>
      <c r="M134" s="159">
        <f>VLOOKUP(B132,Schlüssel!$A$5:$EK$12,135)</f>
        <v>2</v>
      </c>
      <c r="N134" s="161" t="s">
        <v>10</v>
      </c>
      <c r="O134" s="220"/>
      <c r="P134" s="159">
        <f>VLOOKUP(B132,Schlüssel!$A$5:$EK$12,136)</f>
        <v>7</v>
      </c>
      <c r="Q134" s="161" t="s">
        <v>10</v>
      </c>
      <c r="R134" s="220"/>
      <c r="S134" s="160">
        <f>VLOOKUP(B132,Schlüssel!$A$5:$EK$12,137)</f>
        <v>1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>
      <c r="B135" s="44" t="s">
        <v>1</v>
      </c>
      <c r="C135" s="208"/>
      <c r="D135" s="217"/>
      <c r="E135" s="423" t="s">
        <v>1793</v>
      </c>
      <c r="F135" s="423"/>
      <c r="G135" s="408"/>
      <c r="H135" s="407" t="s">
        <v>1794</v>
      </c>
      <c r="I135" s="423"/>
      <c r="J135" s="408"/>
      <c r="K135" s="407" t="s">
        <v>1795</v>
      </c>
      <c r="L135" s="423"/>
      <c r="M135" s="408"/>
      <c r="N135" s="407" t="s">
        <v>1796</v>
      </c>
      <c r="O135" s="423"/>
      <c r="P135" s="408"/>
      <c r="Q135" s="407" t="s">
        <v>1797</v>
      </c>
      <c r="R135" s="423"/>
      <c r="S135" s="437"/>
      <c r="T135" s="439" t="s">
        <v>1792</v>
      </c>
      <c r="U135" s="440"/>
      <c r="V135" s="410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6.95" customHeight="1">
      <c r="A137" s="403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8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8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8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8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8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400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IF(AU137=0,0,IFERROR(INDEX(RanglisteST7!K:K,MATCH(AU137,RanglisteST7!A:A,0)),0))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6.95" customHeight="1">
      <c r="A138" s="404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9"/>
      <c r="H138" s="222"/>
      <c r="I138" s="241">
        <f t="shared" si="122"/>
        <v>0</v>
      </c>
      <c r="J138" s="429"/>
      <c r="K138" s="222"/>
      <c r="L138" s="241">
        <f t="shared" si="123"/>
        <v>0</v>
      </c>
      <c r="M138" s="429"/>
      <c r="N138" s="222"/>
      <c r="O138" s="241">
        <f t="shared" si="124"/>
        <v>0</v>
      </c>
      <c r="P138" s="429"/>
      <c r="Q138" s="222"/>
      <c r="R138" s="241">
        <f t="shared" si="125"/>
        <v>0</v>
      </c>
      <c r="S138" s="429"/>
      <c r="T138" s="222">
        <f t="shared" si="126"/>
        <v>0</v>
      </c>
      <c r="U138" s="241">
        <f t="shared" si="126"/>
        <v>0</v>
      </c>
      <c r="V138" s="401"/>
      <c r="W138" s="79"/>
      <c r="X138" s="79"/>
      <c r="Y138" s="79"/>
      <c r="Z138" s="79"/>
      <c r="AA138" s="79"/>
      <c r="AB138" s="79"/>
      <c r="AL138" s="169">
        <f>IF(AU138=0,0,IFERROR(INDEX(RanglisteST7!K:K,MATCH(AU138,RanglisteST7!A:A,0)),0))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6.95" customHeight="1" thickBot="1">
      <c r="A139" s="405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30"/>
      <c r="H139" s="224"/>
      <c r="I139" s="242">
        <f t="shared" si="122"/>
        <v>0</v>
      </c>
      <c r="J139" s="430"/>
      <c r="K139" s="224"/>
      <c r="L139" s="242">
        <f t="shared" si="123"/>
        <v>0</v>
      </c>
      <c r="M139" s="430"/>
      <c r="N139" s="224"/>
      <c r="O139" s="242">
        <f t="shared" si="124"/>
        <v>0</v>
      </c>
      <c r="P139" s="430"/>
      <c r="Q139" s="224"/>
      <c r="R139" s="242">
        <f t="shared" si="125"/>
        <v>0</v>
      </c>
      <c r="S139" s="430"/>
      <c r="T139" s="224">
        <f t="shared" si="126"/>
        <v>0</v>
      </c>
      <c r="U139" s="242">
        <f t="shared" si="126"/>
        <v>0</v>
      </c>
      <c r="V139" s="402"/>
      <c r="W139" s="79"/>
      <c r="X139" s="79"/>
      <c r="Y139" s="79"/>
      <c r="Z139" s="79"/>
      <c r="AA139" s="79"/>
      <c r="AB139" s="79"/>
      <c r="AL139" s="169">
        <f>IF(AU139=0,0,IFERROR(INDEX(RanglisteST7!K:K,MATCH(AU139,RanglisteST7!A:A,0)),0))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6.95" customHeight="1">
      <c r="A140" s="403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8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8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8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8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8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400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IF(AU140=0,0,IFERROR(INDEX(RanglisteST7!K:K,MATCH(AU140,RanglisteST7!A:A,0)),0))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6.95" customHeight="1">
      <c r="A141" s="404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9"/>
      <c r="H141" s="222"/>
      <c r="I141" s="241">
        <f t="shared" si="122"/>
        <v>0</v>
      </c>
      <c r="J141" s="429"/>
      <c r="K141" s="222"/>
      <c r="L141" s="241">
        <f t="shared" si="123"/>
        <v>0</v>
      </c>
      <c r="M141" s="429"/>
      <c r="N141" s="222"/>
      <c r="O141" s="241">
        <f t="shared" si="124"/>
        <v>0</v>
      </c>
      <c r="P141" s="429"/>
      <c r="Q141" s="222"/>
      <c r="R141" s="241">
        <f t="shared" si="125"/>
        <v>0</v>
      </c>
      <c r="S141" s="429"/>
      <c r="T141" s="222">
        <f t="shared" si="126"/>
        <v>0</v>
      </c>
      <c r="U141" s="241">
        <f t="shared" si="126"/>
        <v>0</v>
      </c>
      <c r="V141" s="401"/>
      <c r="W141" s="79"/>
      <c r="X141" s="79"/>
      <c r="Y141" s="79"/>
      <c r="Z141" s="79"/>
      <c r="AA141" s="79"/>
      <c r="AB141" s="79"/>
      <c r="AL141" s="169">
        <f>IF(AU141=0,0,IFERROR(INDEX(RanglisteST7!K:K,MATCH(AU141,RanglisteST7!A:A,0)),0))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6.95" customHeight="1" thickBot="1">
      <c r="A142" s="405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30"/>
      <c r="H142" s="224"/>
      <c r="I142" s="242">
        <f t="shared" si="122"/>
        <v>0</v>
      </c>
      <c r="J142" s="430"/>
      <c r="K142" s="224"/>
      <c r="L142" s="242">
        <f t="shared" si="123"/>
        <v>0</v>
      </c>
      <c r="M142" s="430"/>
      <c r="N142" s="224"/>
      <c r="O142" s="242">
        <f t="shared" si="124"/>
        <v>0</v>
      </c>
      <c r="P142" s="430"/>
      <c r="Q142" s="224"/>
      <c r="R142" s="242">
        <f t="shared" si="125"/>
        <v>0</v>
      </c>
      <c r="S142" s="430"/>
      <c r="T142" s="224">
        <f t="shared" si="126"/>
        <v>0</v>
      </c>
      <c r="U142" s="242">
        <f t="shared" si="126"/>
        <v>0</v>
      </c>
      <c r="V142" s="402"/>
      <c r="W142" s="79"/>
      <c r="X142" s="79"/>
      <c r="Y142" s="79"/>
      <c r="Z142" s="79"/>
      <c r="AA142" s="79"/>
      <c r="AB142" s="79"/>
      <c r="AL142" s="169">
        <f>IF(AU142=0,0,IFERROR(INDEX(RanglisteST7!K:K,MATCH(AU142,RanglisteST7!A:A,0)),0))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6.95" customHeight="1">
      <c r="A143" s="403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8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8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8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8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8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400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IF(AU143=0,0,IFERROR(INDEX(RanglisteST7!K:K,MATCH(AU143,RanglisteST7!A:A,0)),0))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6.95" customHeight="1">
      <c r="A144" s="404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9"/>
      <c r="H144" s="222"/>
      <c r="I144" s="241">
        <f t="shared" si="122"/>
        <v>0</v>
      </c>
      <c r="J144" s="429"/>
      <c r="K144" s="222"/>
      <c r="L144" s="241">
        <f t="shared" si="123"/>
        <v>0</v>
      </c>
      <c r="M144" s="429"/>
      <c r="N144" s="222"/>
      <c r="O144" s="241">
        <f t="shared" si="124"/>
        <v>0</v>
      </c>
      <c r="P144" s="429"/>
      <c r="Q144" s="222"/>
      <c r="R144" s="241">
        <f t="shared" si="125"/>
        <v>0</v>
      </c>
      <c r="S144" s="429"/>
      <c r="T144" s="222">
        <f t="shared" si="126"/>
        <v>0</v>
      </c>
      <c r="U144" s="241">
        <f t="shared" si="126"/>
        <v>0</v>
      </c>
      <c r="V144" s="401"/>
      <c r="W144" s="79"/>
      <c r="X144" s="79"/>
      <c r="Y144" s="79"/>
      <c r="Z144" s="79"/>
      <c r="AA144" s="79"/>
      <c r="AB144" s="79"/>
      <c r="AL144" s="169">
        <f>IF(AU144=0,0,IFERROR(INDEX(RanglisteST7!K:K,MATCH(AU144,RanglisteST7!A:A,0)),0))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6.95" customHeight="1" thickBot="1">
      <c r="A145" s="405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30"/>
      <c r="H145" s="224"/>
      <c r="I145" s="242">
        <f t="shared" si="122"/>
        <v>0</v>
      </c>
      <c r="J145" s="430"/>
      <c r="K145" s="224"/>
      <c r="L145" s="242">
        <f t="shared" si="123"/>
        <v>0</v>
      </c>
      <c r="M145" s="430"/>
      <c r="N145" s="224"/>
      <c r="O145" s="242">
        <f t="shared" si="124"/>
        <v>0</v>
      </c>
      <c r="P145" s="430"/>
      <c r="Q145" s="224"/>
      <c r="R145" s="242">
        <f t="shared" si="125"/>
        <v>0</v>
      </c>
      <c r="S145" s="430"/>
      <c r="T145" s="224">
        <f t="shared" si="126"/>
        <v>0</v>
      </c>
      <c r="U145" s="242">
        <f t="shared" si="126"/>
        <v>0</v>
      </c>
      <c r="V145" s="402"/>
      <c r="W145" s="79"/>
      <c r="X145" s="79"/>
      <c r="Y145" s="79"/>
      <c r="Z145" s="79"/>
      <c r="AA145" s="79"/>
      <c r="AB145" s="79"/>
      <c r="AL145" s="169">
        <f>IF(AU145=0,0,IFERROR(INDEX(RanglisteST7!K:K,MATCH(AU145,RanglisteST7!A:A,0)),0))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>
      <c r="B149" s="231" t="s">
        <v>1790</v>
      </c>
      <c r="C149" s="210"/>
      <c r="D149" s="42"/>
      <c r="E149" s="434">
        <f>VLOOKUP($B132,Schlüssel!$A$5:$EK$12,123)</f>
        <v>1</v>
      </c>
      <c r="F149" s="435"/>
      <c r="G149" s="436"/>
      <c r="H149" s="434">
        <f>VLOOKUP($B132,Schlüssel!$A$5:$EK$12,124)</f>
        <v>5</v>
      </c>
      <c r="I149" s="435"/>
      <c r="J149" s="436"/>
      <c r="K149" s="434">
        <f>VLOOKUP($B132,Schlüssel!$A$5:$EK$12,125)</f>
        <v>8</v>
      </c>
      <c r="L149" s="435"/>
      <c r="M149" s="436"/>
      <c r="N149" s="434">
        <f>VLOOKUP($B132,Schlüssel!$A$5:$EK$12,126)</f>
        <v>2</v>
      </c>
      <c r="O149" s="435"/>
      <c r="P149" s="436"/>
      <c r="Q149" s="434">
        <f>VLOOKUP($B132,Schlüssel!$A$5:$EK$12,127)</f>
        <v>3</v>
      </c>
      <c r="R149" s="435"/>
      <c r="S149" s="436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>
      <c r="B150" s="3" t="s">
        <v>9</v>
      </c>
      <c r="C150" s="1"/>
      <c r="D150" s="1"/>
      <c r="E150" s="395" t="str">
        <f>VLOOKUP(E149,Schlüssel!$A$5:$K$12,2)</f>
        <v>Bad Tölz 1</v>
      </c>
      <c r="F150" s="438"/>
      <c r="G150" s="396"/>
      <c r="H150" s="395" t="str">
        <f>VLOOKUP(H149,Schlüssel!$A$5:$K$12,2)</f>
        <v>Berchtesgaden 1</v>
      </c>
      <c r="I150" s="438"/>
      <c r="J150" s="396"/>
      <c r="K150" s="395" t="str">
        <f>VLOOKUP(K149,Schlüssel!$A$5:$K$12,2)</f>
        <v>EMAX 1</v>
      </c>
      <c r="L150" s="438"/>
      <c r="M150" s="396"/>
      <c r="N150" s="395" t="str">
        <f>VLOOKUP(N149,Schlüssel!$A$5:$K$12,2)</f>
        <v>Highroller Rosenheim 1</v>
      </c>
      <c r="O150" s="438"/>
      <c r="P150" s="396"/>
      <c r="Q150" s="395" t="str">
        <f>VLOOKUP(Q149,Schlüssel!$A$5:$K$12,2)</f>
        <v>Highroller Rosenheim 2</v>
      </c>
      <c r="R150" s="438"/>
      <c r="S150" s="396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" customHeight="1">
      <c r="B152" s="417" t="s">
        <v>2275</v>
      </c>
      <c r="C152" s="418"/>
      <c r="D152" s="419"/>
      <c r="E152" s="431">
        <f>ABS(INDEX(F:F,MATCH(E149,$B:$B,0)+5)+INDEX(F:F,MATCH(E149,$B:$B,0)+6)+INDEX(F:F,MATCH(E149,$B:$B,0)+7))</f>
        <v>0</v>
      </c>
      <c r="F152" s="432"/>
      <c r="G152" s="433"/>
      <c r="H152" s="431">
        <f>ABS(INDEX(I:I,MATCH(H149,$B:$B,0)+5)+INDEX(I:I,MATCH(H149,$B:$B,0)+6)+INDEX(I:I,MATCH(H149,$B:$B,0)+7))</f>
        <v>0</v>
      </c>
      <c r="I152" s="432"/>
      <c r="J152" s="433"/>
      <c r="K152" s="431">
        <f>ABS(INDEX(L:L,MATCH(K149,$B:$B,0)+5)+INDEX(L:L,MATCH(K149,$B:$B,0)+6)+INDEX(L:L,MATCH(K149,$B:$B,0)+7))</f>
        <v>0</v>
      </c>
      <c r="L152" s="432"/>
      <c r="M152" s="433"/>
      <c r="N152" s="431">
        <f>ABS(INDEX(O:O,MATCH(N149,$B:$B,0)+5)+INDEX(O:O,MATCH(N149,$B:$B,0)+6)+INDEX(O:O,MATCH(N149,$B:$B,0)+7))</f>
        <v>0</v>
      </c>
      <c r="O152" s="432"/>
      <c r="P152" s="433"/>
      <c r="Q152" s="431">
        <f>ABS(INDEX(R:R,MATCH(Q149,$B:$B,0)+5)+INDEX(R:R,MATCH(Q149,$B:$B,0)+6)+INDEX(R:R,MATCH(Q149,$B:$B,0)+7))</f>
        <v>0</v>
      </c>
      <c r="R152" s="432"/>
      <c r="S152" s="433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" customHeight="1">
      <c r="B153" s="417" t="s">
        <v>2276</v>
      </c>
      <c r="C153" s="418"/>
      <c r="D153" s="419"/>
      <c r="E153" s="424">
        <f>ABS(INDEX(F:F,MATCH(E149,$B:$B,0)+8)+INDEX(F:F,MATCH(E149,$B:$B,0)+9)+INDEX(F:F,MATCH(E149,$B:$B,0)+10))</f>
        <v>0</v>
      </c>
      <c r="F153" s="425"/>
      <c r="G153" s="426"/>
      <c r="H153" s="424">
        <f>ABS(INDEX(I:I,MATCH(H149,$B:$B,0)+8)+INDEX(I:I,MATCH(H149,$B:$B,0)+9)+INDEX(I:I,MATCH(H149,$B:$B,0)+10))</f>
        <v>0</v>
      </c>
      <c r="I153" s="425"/>
      <c r="J153" s="426"/>
      <c r="K153" s="424">
        <f>ABS(INDEX(L:L,MATCH(K149,$B:$B,0)+8)+INDEX(L:L,MATCH(K149,$B:$B,0)+9)+INDEX(L:L,MATCH(K149,$B:$B,0)+10))</f>
        <v>0</v>
      </c>
      <c r="L153" s="425"/>
      <c r="M153" s="426"/>
      <c r="N153" s="424">
        <f>ABS(INDEX(O:O,MATCH(N149,$B:$B,0)+8)+INDEX(O:O,MATCH(N149,$B:$B,0)+9)+INDEX(O:O,MATCH(N149,$B:$B,0)+10))</f>
        <v>0</v>
      </c>
      <c r="O153" s="425"/>
      <c r="P153" s="426"/>
      <c r="Q153" s="424">
        <f>ABS(INDEX(R:R,MATCH(Q149,$B:$B,0)+8)+INDEX(R:R,MATCH(Q149,$B:$B,0)+9)+INDEX(R:R,MATCH(Q149,$B:$B,0)+10))</f>
        <v>0</v>
      </c>
      <c r="R153" s="425"/>
      <c r="S153" s="426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" customHeight="1">
      <c r="B154" s="417" t="s">
        <v>2277</v>
      </c>
      <c r="C154" s="418"/>
      <c r="D154" s="419"/>
      <c r="E154" s="424">
        <f>ABS(INDEX(F:F,MATCH(E149,$B:$B,0)+11)+INDEX(F:F,MATCH(E149,$B:$B,0)+12)+INDEX(F:F,MATCH(E149,$B:$B,0)+13))</f>
        <v>0</v>
      </c>
      <c r="F154" s="425"/>
      <c r="G154" s="426"/>
      <c r="H154" s="424">
        <f>ABS(INDEX(I:I,MATCH(H149,$B:$B,0)+11)+INDEX(I:I,MATCH(H149,$B:$B,0)+12)+INDEX(I:I,MATCH(H149,$B:$B,0)+13))</f>
        <v>0</v>
      </c>
      <c r="I154" s="425"/>
      <c r="J154" s="426"/>
      <c r="K154" s="424">
        <f>ABS(INDEX(L:L,MATCH(K149,$B:$B,0)+11)+INDEX(L:L,MATCH(K149,$B:$B,0)+12)+INDEX(L:L,MATCH(K149,$B:$B,0)+13))</f>
        <v>0</v>
      </c>
      <c r="L154" s="425"/>
      <c r="M154" s="426"/>
      <c r="N154" s="424">
        <f>ABS(INDEX(O:O,MATCH(N149,$B:$B,0)+11)+INDEX(O:O,MATCH(N149,$B:$B,0)+12)+INDEX(O:O,MATCH(N149,$B:$B,0)+13))</f>
        <v>0</v>
      </c>
      <c r="O154" s="425"/>
      <c r="P154" s="426"/>
      <c r="Q154" s="424">
        <f>ABS(INDEX(R:R,MATCH(Q149,$B:$B,0)+11)+INDEX(R:R,MATCH(Q149,$B:$B,0)+12)+INDEX(R:R,MATCH(Q149,$B:$B,0)+13))</f>
        <v>0</v>
      </c>
      <c r="R154" s="425"/>
      <c r="S154" s="426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" customHeight="1">
      <c r="B155" s="420" t="s">
        <v>2278</v>
      </c>
      <c r="C155" s="421"/>
      <c r="D155" s="422"/>
      <c r="E155" s="407">
        <f>SUM(E152:E154)</f>
        <v>0</v>
      </c>
      <c r="F155" s="423"/>
      <c r="G155" s="408"/>
      <c r="H155" s="407">
        <f>SUM(H152:H154)</f>
        <v>0</v>
      </c>
      <c r="I155" s="423"/>
      <c r="J155" s="408"/>
      <c r="K155" s="407">
        <f>SUM(K152:K154)</f>
        <v>0</v>
      </c>
      <c r="L155" s="423"/>
      <c r="M155" s="408"/>
      <c r="N155" s="407">
        <f>SUM(N152:N154)</f>
        <v>0</v>
      </c>
      <c r="O155" s="423"/>
      <c r="P155" s="408"/>
      <c r="Q155" s="407">
        <f>SUM(Q152:Q154)</f>
        <v>0</v>
      </c>
      <c r="R155" s="423"/>
      <c r="S155" s="408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>
      <c r="A157" s="255"/>
      <c r="B157" s="7" t="s">
        <v>1802</v>
      </c>
      <c r="C157" s="24"/>
      <c r="D157" s="24"/>
      <c r="E157" s="35" t="s">
        <v>1786</v>
      </c>
      <c r="F157" s="35"/>
      <c r="G157" s="427" t="str">
        <f>Schlüssel!$C$1</f>
        <v>Landesliga Jugend</v>
      </c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  <c r="S157" s="406">
        <f>Schlüssel!$EC$1</f>
        <v>45829</v>
      </c>
      <c r="T157" s="406"/>
      <c r="U157" s="406"/>
      <c r="V157" s="406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>
      <c r="A158" s="53"/>
      <c r="B158" s="54">
        <v>7</v>
      </c>
      <c r="E158" s="35" t="s">
        <v>1787</v>
      </c>
      <c r="F158" s="35"/>
      <c r="G158" s="413" t="str">
        <f>Schlüssel!$DS$2</f>
        <v>Brunnthal Max Munich</v>
      </c>
      <c r="H158" s="413"/>
      <c r="I158" s="413"/>
      <c r="J158" s="413"/>
      <c r="K158" s="413"/>
      <c r="L158" s="413"/>
      <c r="M158" s="413"/>
      <c r="N158" s="413"/>
      <c r="O158" s="413"/>
      <c r="P158" s="66"/>
      <c r="Q158" s="411" t="s">
        <v>1785</v>
      </c>
      <c r="R158" s="412"/>
      <c r="S158" s="38">
        <v>7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>
      <c r="B159" s="414" t="str">
        <f>VLOOKUP(B158,Schlüssel!$A$5:$B$12,2)</f>
        <v>BK München 1</v>
      </c>
      <c r="C159" s="415"/>
      <c r="D159" s="415"/>
      <c r="E159" s="415"/>
      <c r="F159" s="415"/>
      <c r="G159" s="416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3.8" hidden="1" thickBot="1">
      <c r="A160" s="6"/>
      <c r="B160" s="7"/>
      <c r="C160" s="43"/>
      <c r="D160" s="43"/>
      <c r="E160" s="162" t="s">
        <v>10</v>
      </c>
      <c r="F160" s="220"/>
      <c r="G160" s="159">
        <f>VLOOKUP(B158,Schlüssel!$A$5:$EK$12,133)</f>
        <v>1</v>
      </c>
      <c r="H160" s="161" t="s">
        <v>10</v>
      </c>
      <c r="I160" s="220"/>
      <c r="J160" s="159">
        <f>VLOOKUP(B158,Schlüssel!$A$5:$EK$12,134)</f>
        <v>8</v>
      </c>
      <c r="K160" s="161" t="s">
        <v>10</v>
      </c>
      <c r="L160" s="220"/>
      <c r="M160" s="159">
        <f>VLOOKUP(B158,Schlüssel!$A$5:$EK$12,135)</f>
        <v>3</v>
      </c>
      <c r="N160" s="161" t="s">
        <v>10</v>
      </c>
      <c r="O160" s="220"/>
      <c r="P160" s="159">
        <f>VLOOKUP(B158,Schlüssel!$A$5:$EK$12,136)</f>
        <v>6</v>
      </c>
      <c r="Q160" s="161" t="s">
        <v>10</v>
      </c>
      <c r="R160" s="220"/>
      <c r="S160" s="160">
        <f>VLOOKUP(B158,Schlüssel!$A$5:$EK$12,137)</f>
        <v>4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>
      <c r="B161" s="44" t="s">
        <v>1</v>
      </c>
      <c r="C161" s="208"/>
      <c r="D161" s="217"/>
      <c r="E161" s="423" t="s">
        <v>1793</v>
      </c>
      <c r="F161" s="423"/>
      <c r="G161" s="408"/>
      <c r="H161" s="407" t="s">
        <v>1794</v>
      </c>
      <c r="I161" s="423"/>
      <c r="J161" s="408"/>
      <c r="K161" s="407" t="s">
        <v>1795</v>
      </c>
      <c r="L161" s="423"/>
      <c r="M161" s="408"/>
      <c r="N161" s="407" t="s">
        <v>1796</v>
      </c>
      <c r="O161" s="423"/>
      <c r="P161" s="408"/>
      <c r="Q161" s="407" t="s">
        <v>1797</v>
      </c>
      <c r="R161" s="423"/>
      <c r="S161" s="437"/>
      <c r="T161" s="439" t="s">
        <v>1792</v>
      </c>
      <c r="U161" s="440"/>
      <c r="V161" s="410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6.95" customHeight="1">
      <c r="A163" s="403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8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8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8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8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8">
        <f>IF(SUM(R163:R165)+Q178=0,0,IF(ABS(SUM(R163:R165))=Q178,Spielorte!$A$30/2,IF(ABS(SUM(R163:R165))&gt;Q178,Spielorte!$A$30,0)))</f>
        <v>0</v>
      </c>
      <c r="T163" s="221">
        <f t="shared" ref="T163:U171" si="150">ABS(SUM(E163:E163))+ABS(SUM(H163:H163))+ABS(SUM(K163:K163))+ABS(SUM(N163:N163))+ABS(SUM(Q163:Q163))</f>
        <v>0</v>
      </c>
      <c r="U163" s="240">
        <f t="shared" si="150"/>
        <v>0</v>
      </c>
      <c r="V163" s="400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IF(AU163=0,0,IFERROR(INDEX(RanglisteST7!K:K,MATCH(AU163,RanglisteST7!A:A,0)),0))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1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2">C163</f>
        <v>0</v>
      </c>
      <c r="AV163" s="167">
        <f t="shared" ref="AV163:AV171" si="153">T163</f>
        <v>0</v>
      </c>
      <c r="AW163" s="169">
        <f t="shared" ref="AW163:AW171" si="154">COUNT(AY163:BC163)</f>
        <v>0</v>
      </c>
      <c r="AX163" s="169">
        <f t="shared" ref="AX163:AX171" si="155">COUNTIF(AY163:BC163,"&gt;0")</f>
        <v>0</v>
      </c>
      <c r="AY163" s="169" t="str">
        <f t="shared" ref="AY163:AY171" si="156">IF(E163=0,"",E163)</f>
        <v/>
      </c>
      <c r="AZ163" s="169" t="str">
        <f t="shared" ref="AZ163:AZ171" si="157">IF(H163=0,"",H163)</f>
        <v/>
      </c>
      <c r="BA163" s="169" t="str">
        <f t="shared" ref="BA163:BA171" si="158">IF(K163=0,"",K163)</f>
        <v/>
      </c>
      <c r="BB163" s="169" t="str">
        <f t="shared" ref="BB163:BB171" si="159">IF(N163=0,"",N163)</f>
        <v/>
      </c>
      <c r="BC163" s="169" t="str">
        <f t="shared" ref="BC163:BC171" si="160">IF(Q163=0,"",Q163)</f>
        <v/>
      </c>
      <c r="BD163" s="170"/>
      <c r="BE163" s="168"/>
      <c r="BF163" s="169">
        <f t="shared" ref="BF163:BF171" si="161">MAX(AY163:BC163)</f>
        <v>0</v>
      </c>
      <c r="BG163" s="169">
        <f t="shared" ref="BG163:BG171" si="162">IF(BF163&lt;MAX(BF:BF),0,BF163+ROW()/1000000000)</f>
        <v>1.6299999999999999E-7</v>
      </c>
      <c r="BH163" s="169" t="str">
        <f>+B159</f>
        <v>BK München 1</v>
      </c>
      <c r="BI163" s="168">
        <f t="shared" ref="BI163:BI171" si="163">RANK(BG163,BG:BG)</f>
        <v>18</v>
      </c>
      <c r="BJ163" s="169">
        <f t="shared" ref="BJ163:BJ171" si="164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5">IF(BK163&lt;MAX(BK:BK),0,BK163+ROW()/1000000000)</f>
        <v>1.6299999999999999E-7</v>
      </c>
      <c r="BM163" s="168">
        <f t="shared" ref="BM163:BM171" si="166">IF(BL163=0,0,RANK(BL163,BL:BL))</f>
        <v>18</v>
      </c>
    </row>
    <row r="164" spans="1:65" ht="16.95" customHeight="1">
      <c r="A164" s="404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9"/>
      <c r="H164" s="222"/>
      <c r="I164" s="241">
        <f t="shared" si="146"/>
        <v>0</v>
      </c>
      <c r="J164" s="429"/>
      <c r="K164" s="222"/>
      <c r="L164" s="241">
        <f t="shared" si="147"/>
        <v>0</v>
      </c>
      <c r="M164" s="429"/>
      <c r="N164" s="222"/>
      <c r="O164" s="241">
        <f t="shared" si="148"/>
        <v>0</v>
      </c>
      <c r="P164" s="429"/>
      <c r="Q164" s="222"/>
      <c r="R164" s="241">
        <f t="shared" si="149"/>
        <v>0</v>
      </c>
      <c r="S164" s="429"/>
      <c r="T164" s="222">
        <f t="shared" si="150"/>
        <v>0</v>
      </c>
      <c r="U164" s="241">
        <f t="shared" si="150"/>
        <v>0</v>
      </c>
      <c r="V164" s="401"/>
      <c r="W164" s="79"/>
      <c r="X164" s="79"/>
      <c r="Y164" s="79"/>
      <c r="Z164" s="79"/>
      <c r="AA164" s="79"/>
      <c r="AB164" s="79"/>
      <c r="AL164" s="169">
        <f>IF(AU164=0,0,IFERROR(INDEX(RanglisteST7!K:K,MATCH(AU164,RanglisteST7!A:A,0)),0))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1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2"/>
        <v>0</v>
      </c>
      <c r="AV164" s="167">
        <f t="shared" si="153"/>
        <v>0</v>
      </c>
      <c r="AW164" s="169">
        <f t="shared" si="154"/>
        <v>0</v>
      </c>
      <c r="AX164" s="169">
        <f t="shared" si="155"/>
        <v>0</v>
      </c>
      <c r="AY164" s="169" t="str">
        <f t="shared" si="156"/>
        <v/>
      </c>
      <c r="AZ164" s="169" t="str">
        <f t="shared" si="157"/>
        <v/>
      </c>
      <c r="BA164" s="169" t="str">
        <f t="shared" si="158"/>
        <v/>
      </c>
      <c r="BB164" s="169" t="str">
        <f t="shared" si="159"/>
        <v/>
      </c>
      <c r="BC164" s="169" t="str">
        <f t="shared" si="160"/>
        <v/>
      </c>
      <c r="BD164" s="170"/>
      <c r="BE164" s="168"/>
      <c r="BF164" s="169">
        <f t="shared" si="161"/>
        <v>0</v>
      </c>
      <c r="BG164" s="169">
        <f t="shared" si="162"/>
        <v>1.6400000000000001E-7</v>
      </c>
      <c r="BH164" s="169" t="str">
        <f t="shared" ref="BH164:BH171" si="167">+BH163</f>
        <v>BK München 1</v>
      </c>
      <c r="BI164" s="168">
        <f t="shared" si="163"/>
        <v>17</v>
      </c>
      <c r="BJ164" s="169">
        <f t="shared" si="164"/>
        <v>0</v>
      </c>
      <c r="BK164" s="169">
        <f>IF(COUNTIF(AY164:BC164,"&gt;0")&lt;Spielorte!$A$23,0,AV164/Spielorte!$A$23)</f>
        <v>0</v>
      </c>
      <c r="BL164" s="169">
        <f t="shared" si="165"/>
        <v>1.6400000000000001E-7</v>
      </c>
      <c r="BM164" s="168">
        <f t="shared" si="166"/>
        <v>17</v>
      </c>
    </row>
    <row r="165" spans="1:65" ht="16.95" customHeight="1" thickBot="1">
      <c r="A165" s="405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30"/>
      <c r="H165" s="224"/>
      <c r="I165" s="242">
        <f t="shared" si="146"/>
        <v>0</v>
      </c>
      <c r="J165" s="430"/>
      <c r="K165" s="224"/>
      <c r="L165" s="242">
        <f t="shared" si="147"/>
        <v>0</v>
      </c>
      <c r="M165" s="430"/>
      <c r="N165" s="224"/>
      <c r="O165" s="242">
        <f t="shared" si="148"/>
        <v>0</v>
      </c>
      <c r="P165" s="430"/>
      <c r="Q165" s="224"/>
      <c r="R165" s="242">
        <f t="shared" si="149"/>
        <v>0</v>
      </c>
      <c r="S165" s="430"/>
      <c r="T165" s="224">
        <f t="shared" si="150"/>
        <v>0</v>
      </c>
      <c r="U165" s="242">
        <f t="shared" si="150"/>
        <v>0</v>
      </c>
      <c r="V165" s="402"/>
      <c r="W165" s="79"/>
      <c r="X165" s="79"/>
      <c r="Y165" s="79"/>
      <c r="Z165" s="79"/>
      <c r="AA165" s="79"/>
      <c r="AB165" s="79"/>
      <c r="AL165" s="169">
        <f>IF(AU165=0,0,IFERROR(INDEX(RanglisteST7!K:K,MATCH(AU165,RanglisteST7!A:A,0)),0))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1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2"/>
        <v>0</v>
      </c>
      <c r="AV165" s="167">
        <f t="shared" si="153"/>
        <v>0</v>
      </c>
      <c r="AW165" s="169">
        <f t="shared" si="154"/>
        <v>0</v>
      </c>
      <c r="AX165" s="169">
        <f t="shared" si="155"/>
        <v>0</v>
      </c>
      <c r="AY165" s="169" t="str">
        <f t="shared" si="156"/>
        <v/>
      </c>
      <c r="AZ165" s="169" t="str">
        <f t="shared" si="157"/>
        <v/>
      </c>
      <c r="BA165" s="169" t="str">
        <f t="shared" si="158"/>
        <v/>
      </c>
      <c r="BB165" s="169" t="str">
        <f t="shared" si="159"/>
        <v/>
      </c>
      <c r="BC165" s="169" t="str">
        <f t="shared" si="160"/>
        <v/>
      </c>
      <c r="BD165" s="170"/>
      <c r="BE165" s="168"/>
      <c r="BF165" s="169">
        <f t="shared" si="161"/>
        <v>0</v>
      </c>
      <c r="BG165" s="169">
        <f t="shared" si="162"/>
        <v>1.6500000000000001E-7</v>
      </c>
      <c r="BH165" s="169" t="str">
        <f t="shared" si="167"/>
        <v>BK München 1</v>
      </c>
      <c r="BI165" s="168">
        <f t="shared" si="163"/>
        <v>16</v>
      </c>
      <c r="BJ165" s="169">
        <f t="shared" si="164"/>
        <v>0</v>
      </c>
      <c r="BK165" s="169">
        <f>IF(COUNTIF(AY165:BC165,"&gt;0")&lt;Spielorte!$A$23,0,AV165/Spielorte!$A$23)</f>
        <v>0</v>
      </c>
      <c r="BL165" s="169">
        <f t="shared" si="165"/>
        <v>1.6500000000000001E-7</v>
      </c>
      <c r="BM165" s="168">
        <f t="shared" si="166"/>
        <v>16</v>
      </c>
    </row>
    <row r="166" spans="1:65" ht="16.95" customHeight="1">
      <c r="A166" s="403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8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8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8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8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8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0"/>
        <v>0</v>
      </c>
      <c r="V166" s="400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IF(AU166=0,0,IFERROR(INDEX(RanglisteST7!K:K,MATCH(AU166,RanglisteST7!A:A,0)),0))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1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2"/>
        <v>0</v>
      </c>
      <c r="AV166" s="167">
        <f t="shared" si="153"/>
        <v>0</v>
      </c>
      <c r="AW166" s="169">
        <f t="shared" si="154"/>
        <v>0</v>
      </c>
      <c r="AX166" s="169">
        <f t="shared" si="155"/>
        <v>0</v>
      </c>
      <c r="AY166" s="169" t="str">
        <f t="shared" si="156"/>
        <v/>
      </c>
      <c r="AZ166" s="169" t="str">
        <f t="shared" si="157"/>
        <v/>
      </c>
      <c r="BA166" s="169" t="str">
        <f t="shared" si="158"/>
        <v/>
      </c>
      <c r="BB166" s="169" t="str">
        <f t="shared" si="159"/>
        <v/>
      </c>
      <c r="BC166" s="169" t="str">
        <f t="shared" si="160"/>
        <v/>
      </c>
      <c r="BD166" s="170"/>
      <c r="BE166" s="168"/>
      <c r="BF166" s="169">
        <f t="shared" si="161"/>
        <v>0</v>
      </c>
      <c r="BG166" s="169">
        <f t="shared" si="162"/>
        <v>1.66E-7</v>
      </c>
      <c r="BH166" s="169" t="str">
        <f t="shared" si="167"/>
        <v>BK München 1</v>
      </c>
      <c r="BI166" s="168">
        <f t="shared" si="163"/>
        <v>15</v>
      </c>
      <c r="BJ166" s="169">
        <f t="shared" si="164"/>
        <v>0</v>
      </c>
      <c r="BK166" s="169">
        <f>IF(COUNTIF(AY166:BC166,"&gt;0")&lt;Spielorte!$A$23,0,AV166/Spielorte!$A$23)</f>
        <v>0</v>
      </c>
      <c r="BL166" s="169">
        <f t="shared" si="165"/>
        <v>1.66E-7</v>
      </c>
      <c r="BM166" s="168">
        <f t="shared" si="166"/>
        <v>15</v>
      </c>
    </row>
    <row r="167" spans="1:65" ht="16.95" customHeight="1">
      <c r="A167" s="404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9"/>
      <c r="H167" s="222"/>
      <c r="I167" s="241">
        <f t="shared" si="146"/>
        <v>0</v>
      </c>
      <c r="J167" s="429"/>
      <c r="K167" s="222"/>
      <c r="L167" s="241">
        <f t="shared" si="147"/>
        <v>0</v>
      </c>
      <c r="M167" s="429"/>
      <c r="N167" s="222"/>
      <c r="O167" s="241">
        <f t="shared" si="148"/>
        <v>0</v>
      </c>
      <c r="P167" s="429"/>
      <c r="Q167" s="222"/>
      <c r="R167" s="241">
        <f t="shared" si="149"/>
        <v>0</v>
      </c>
      <c r="S167" s="429"/>
      <c r="T167" s="222">
        <f t="shared" si="150"/>
        <v>0</v>
      </c>
      <c r="U167" s="241">
        <f t="shared" si="150"/>
        <v>0</v>
      </c>
      <c r="V167" s="401"/>
      <c r="W167" s="79"/>
      <c r="X167" s="79"/>
      <c r="Y167" s="79"/>
      <c r="Z167" s="79"/>
      <c r="AA167" s="79"/>
      <c r="AB167" s="79"/>
      <c r="AL167" s="169">
        <f>IF(AU167=0,0,IFERROR(INDEX(RanglisteST7!K:K,MATCH(AU167,RanglisteST7!A:A,0)),0))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1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2"/>
        <v>0</v>
      </c>
      <c r="AV167" s="167">
        <f t="shared" si="153"/>
        <v>0</v>
      </c>
      <c r="AW167" s="169">
        <f t="shared" si="154"/>
        <v>0</v>
      </c>
      <c r="AX167" s="169">
        <f t="shared" si="155"/>
        <v>0</v>
      </c>
      <c r="AY167" s="169" t="str">
        <f t="shared" si="156"/>
        <v/>
      </c>
      <c r="AZ167" s="169" t="str">
        <f t="shared" si="157"/>
        <v/>
      </c>
      <c r="BA167" s="169" t="str">
        <f t="shared" si="158"/>
        <v/>
      </c>
      <c r="BB167" s="169" t="str">
        <f t="shared" si="159"/>
        <v/>
      </c>
      <c r="BC167" s="169" t="str">
        <f t="shared" si="160"/>
        <v/>
      </c>
      <c r="BD167" s="170"/>
      <c r="BE167" s="168"/>
      <c r="BF167" s="169">
        <f t="shared" si="161"/>
        <v>0</v>
      </c>
      <c r="BG167" s="169">
        <f t="shared" si="162"/>
        <v>1.67E-7</v>
      </c>
      <c r="BH167" s="169" t="str">
        <f t="shared" si="167"/>
        <v>BK München 1</v>
      </c>
      <c r="BI167" s="168">
        <f t="shared" si="163"/>
        <v>14</v>
      </c>
      <c r="BJ167" s="169">
        <f t="shared" si="164"/>
        <v>0</v>
      </c>
      <c r="BK167" s="169">
        <f>IF(COUNTIF(AY167:BC167,"&gt;0")&lt;Spielorte!$A$23,0,AV167/Spielorte!$A$23)</f>
        <v>0</v>
      </c>
      <c r="BL167" s="169">
        <f t="shared" si="165"/>
        <v>1.67E-7</v>
      </c>
      <c r="BM167" s="168">
        <f t="shared" si="166"/>
        <v>14</v>
      </c>
    </row>
    <row r="168" spans="1:65" ht="16.95" customHeight="1" thickBot="1">
      <c r="A168" s="405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30"/>
      <c r="H168" s="224"/>
      <c r="I168" s="242">
        <f t="shared" si="146"/>
        <v>0</v>
      </c>
      <c r="J168" s="430"/>
      <c r="K168" s="224"/>
      <c r="L168" s="242">
        <f t="shared" si="147"/>
        <v>0</v>
      </c>
      <c r="M168" s="430"/>
      <c r="N168" s="224"/>
      <c r="O168" s="242">
        <f t="shared" si="148"/>
        <v>0</v>
      </c>
      <c r="P168" s="430"/>
      <c r="Q168" s="224"/>
      <c r="R168" s="242">
        <f t="shared" si="149"/>
        <v>0</v>
      </c>
      <c r="S168" s="430"/>
      <c r="T168" s="224">
        <f t="shared" si="150"/>
        <v>0</v>
      </c>
      <c r="U168" s="242">
        <f t="shared" si="150"/>
        <v>0</v>
      </c>
      <c r="V168" s="402"/>
      <c r="W168" s="79"/>
      <c r="X168" s="79"/>
      <c r="Y168" s="79"/>
      <c r="Z168" s="79"/>
      <c r="AA168" s="79"/>
      <c r="AB168" s="79"/>
      <c r="AL168" s="169">
        <f>IF(AU168=0,0,IFERROR(INDEX(RanglisteST7!K:K,MATCH(AU168,RanglisteST7!A:A,0)),0))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1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2"/>
        <v>0</v>
      </c>
      <c r="AV168" s="167">
        <f t="shared" si="153"/>
        <v>0</v>
      </c>
      <c r="AW168" s="169">
        <f t="shared" si="154"/>
        <v>0</v>
      </c>
      <c r="AX168" s="169">
        <f t="shared" si="155"/>
        <v>0</v>
      </c>
      <c r="AY168" s="169" t="str">
        <f t="shared" si="156"/>
        <v/>
      </c>
      <c r="AZ168" s="169" t="str">
        <f t="shared" si="157"/>
        <v/>
      </c>
      <c r="BA168" s="169" t="str">
        <f t="shared" si="158"/>
        <v/>
      </c>
      <c r="BB168" s="169" t="str">
        <f t="shared" si="159"/>
        <v/>
      </c>
      <c r="BC168" s="169" t="str">
        <f t="shared" si="160"/>
        <v/>
      </c>
      <c r="BD168" s="170"/>
      <c r="BE168" s="168"/>
      <c r="BF168" s="169">
        <f t="shared" si="161"/>
        <v>0</v>
      </c>
      <c r="BG168" s="169">
        <f t="shared" si="162"/>
        <v>1.68E-7</v>
      </c>
      <c r="BH168" s="169" t="str">
        <f t="shared" si="167"/>
        <v>BK München 1</v>
      </c>
      <c r="BI168" s="168">
        <f t="shared" si="163"/>
        <v>13</v>
      </c>
      <c r="BJ168" s="169">
        <f t="shared" si="164"/>
        <v>0</v>
      </c>
      <c r="BK168" s="169">
        <f>IF(COUNTIF(AY168:BC168,"&gt;0")&lt;Spielorte!$A$23,0,AV168/Spielorte!$A$23)</f>
        <v>0</v>
      </c>
      <c r="BL168" s="169">
        <f t="shared" si="165"/>
        <v>1.68E-7</v>
      </c>
      <c r="BM168" s="168">
        <f t="shared" si="166"/>
        <v>13</v>
      </c>
    </row>
    <row r="169" spans="1:65" ht="16.95" customHeight="1">
      <c r="A169" s="403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8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8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8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8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8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0"/>
        <v>0</v>
      </c>
      <c r="V169" s="400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IF(AU169=0,0,IFERROR(INDEX(RanglisteST7!K:K,MATCH(AU169,RanglisteST7!A:A,0)),0))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1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2"/>
        <v>0</v>
      </c>
      <c r="AV169" s="167">
        <f t="shared" si="153"/>
        <v>0</v>
      </c>
      <c r="AW169" s="169">
        <f t="shared" si="154"/>
        <v>0</v>
      </c>
      <c r="AX169" s="169">
        <f t="shared" si="155"/>
        <v>0</v>
      </c>
      <c r="AY169" s="169" t="str">
        <f t="shared" si="156"/>
        <v/>
      </c>
      <c r="AZ169" s="169" t="str">
        <f t="shared" si="157"/>
        <v/>
      </c>
      <c r="BA169" s="169" t="str">
        <f t="shared" si="158"/>
        <v/>
      </c>
      <c r="BB169" s="169" t="str">
        <f t="shared" si="159"/>
        <v/>
      </c>
      <c r="BC169" s="169" t="str">
        <f t="shared" si="160"/>
        <v/>
      </c>
      <c r="BD169" s="170"/>
      <c r="BE169" s="168"/>
      <c r="BF169" s="169">
        <f t="shared" si="161"/>
        <v>0</v>
      </c>
      <c r="BG169" s="169">
        <f t="shared" si="162"/>
        <v>1.6899999999999999E-7</v>
      </c>
      <c r="BH169" s="169" t="str">
        <f t="shared" si="167"/>
        <v>BK München 1</v>
      </c>
      <c r="BI169" s="168">
        <f t="shared" si="163"/>
        <v>12</v>
      </c>
      <c r="BJ169" s="169">
        <f t="shared" si="164"/>
        <v>0</v>
      </c>
      <c r="BK169" s="169">
        <f>IF(COUNTIF(AY169:BC169,"&gt;0")&lt;Spielorte!$A$23,0,AV169/Spielorte!$A$23)</f>
        <v>0</v>
      </c>
      <c r="BL169" s="169">
        <f t="shared" si="165"/>
        <v>1.6899999999999999E-7</v>
      </c>
      <c r="BM169" s="168">
        <f t="shared" si="166"/>
        <v>12</v>
      </c>
    </row>
    <row r="170" spans="1:65" ht="16.95" customHeight="1">
      <c r="A170" s="404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9"/>
      <c r="H170" s="222"/>
      <c r="I170" s="241">
        <f t="shared" si="146"/>
        <v>0</v>
      </c>
      <c r="J170" s="429"/>
      <c r="K170" s="222"/>
      <c r="L170" s="241">
        <f t="shared" si="147"/>
        <v>0</v>
      </c>
      <c r="M170" s="429"/>
      <c r="N170" s="222"/>
      <c r="O170" s="241">
        <f t="shared" si="148"/>
        <v>0</v>
      </c>
      <c r="P170" s="429"/>
      <c r="Q170" s="222"/>
      <c r="R170" s="241">
        <f t="shared" si="149"/>
        <v>0</v>
      </c>
      <c r="S170" s="429"/>
      <c r="T170" s="222">
        <f t="shared" si="150"/>
        <v>0</v>
      </c>
      <c r="U170" s="241">
        <f t="shared" si="150"/>
        <v>0</v>
      </c>
      <c r="V170" s="401"/>
      <c r="W170" s="79"/>
      <c r="X170" s="79"/>
      <c r="Y170" s="79"/>
      <c r="Z170" s="79"/>
      <c r="AA170" s="79"/>
      <c r="AB170" s="79"/>
      <c r="AL170" s="169">
        <f>IF(AU170=0,0,IFERROR(INDEX(RanglisteST7!K:K,MATCH(AU170,RanglisteST7!A:A,0)),0))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1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2"/>
        <v>0</v>
      </c>
      <c r="AV170" s="167">
        <f t="shared" si="153"/>
        <v>0</v>
      </c>
      <c r="AW170" s="169">
        <f t="shared" si="154"/>
        <v>0</v>
      </c>
      <c r="AX170" s="169">
        <f t="shared" si="155"/>
        <v>0</v>
      </c>
      <c r="AY170" s="169" t="str">
        <f t="shared" si="156"/>
        <v/>
      </c>
      <c r="AZ170" s="169" t="str">
        <f t="shared" si="157"/>
        <v/>
      </c>
      <c r="BA170" s="169" t="str">
        <f t="shared" si="158"/>
        <v/>
      </c>
      <c r="BB170" s="169" t="str">
        <f t="shared" si="159"/>
        <v/>
      </c>
      <c r="BC170" s="169" t="str">
        <f t="shared" si="160"/>
        <v/>
      </c>
      <c r="BD170" s="170"/>
      <c r="BE170" s="168"/>
      <c r="BF170" s="169">
        <f t="shared" si="161"/>
        <v>0</v>
      </c>
      <c r="BG170" s="169">
        <f t="shared" si="162"/>
        <v>1.6999999999999999E-7</v>
      </c>
      <c r="BH170" s="169" t="str">
        <f t="shared" si="167"/>
        <v>BK München 1</v>
      </c>
      <c r="BI170" s="168">
        <f t="shared" si="163"/>
        <v>11</v>
      </c>
      <c r="BJ170" s="169">
        <f t="shared" si="164"/>
        <v>0</v>
      </c>
      <c r="BK170" s="169">
        <f>IF(COUNTIF(AY170:BC170,"&gt;0")&lt;Spielorte!$A$23,0,AV170/Spielorte!$A$23)</f>
        <v>0</v>
      </c>
      <c r="BL170" s="169">
        <f t="shared" si="165"/>
        <v>1.6999999999999999E-7</v>
      </c>
      <c r="BM170" s="168">
        <f t="shared" si="166"/>
        <v>11</v>
      </c>
    </row>
    <row r="171" spans="1:65" ht="16.95" customHeight="1" thickBot="1">
      <c r="A171" s="405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30"/>
      <c r="H171" s="224"/>
      <c r="I171" s="242">
        <f t="shared" si="146"/>
        <v>0</v>
      </c>
      <c r="J171" s="430"/>
      <c r="K171" s="224"/>
      <c r="L171" s="242">
        <f t="shared" si="147"/>
        <v>0</v>
      </c>
      <c r="M171" s="430"/>
      <c r="N171" s="224"/>
      <c r="O171" s="242">
        <f t="shared" si="148"/>
        <v>0</v>
      </c>
      <c r="P171" s="430"/>
      <c r="Q171" s="224"/>
      <c r="R171" s="242">
        <f t="shared" si="149"/>
        <v>0</v>
      </c>
      <c r="S171" s="430"/>
      <c r="T171" s="224">
        <f t="shared" si="150"/>
        <v>0</v>
      </c>
      <c r="U171" s="242">
        <f t="shared" si="150"/>
        <v>0</v>
      </c>
      <c r="V171" s="402"/>
      <c r="W171" s="79"/>
      <c r="X171" s="79"/>
      <c r="Y171" s="79"/>
      <c r="Z171" s="79"/>
      <c r="AA171" s="79"/>
      <c r="AB171" s="79"/>
      <c r="AL171" s="169">
        <f>IF(AU171=0,0,IFERROR(INDEX(RanglisteST7!K:K,MATCH(AU171,RanglisteST7!A:A,0)),0))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1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2"/>
        <v>0</v>
      </c>
      <c r="AV171" s="167">
        <f t="shared" si="153"/>
        <v>0</v>
      </c>
      <c r="AW171" s="169">
        <f t="shared" si="154"/>
        <v>0</v>
      </c>
      <c r="AX171" s="169">
        <f t="shared" si="155"/>
        <v>0</v>
      </c>
      <c r="AY171" s="169" t="str">
        <f t="shared" si="156"/>
        <v/>
      </c>
      <c r="AZ171" s="169" t="str">
        <f t="shared" si="157"/>
        <v/>
      </c>
      <c r="BA171" s="169" t="str">
        <f t="shared" si="158"/>
        <v/>
      </c>
      <c r="BB171" s="169" t="str">
        <f t="shared" si="159"/>
        <v/>
      </c>
      <c r="BC171" s="169" t="str">
        <f t="shared" si="160"/>
        <v/>
      </c>
      <c r="BD171" s="170"/>
      <c r="BE171" s="168"/>
      <c r="BF171" s="169">
        <f t="shared" si="161"/>
        <v>0</v>
      </c>
      <c r="BG171" s="169">
        <f t="shared" si="162"/>
        <v>1.7100000000000001E-7</v>
      </c>
      <c r="BH171" s="169" t="str">
        <f t="shared" si="167"/>
        <v>BK München 1</v>
      </c>
      <c r="BI171" s="168">
        <f t="shared" si="163"/>
        <v>10</v>
      </c>
      <c r="BJ171" s="169">
        <f t="shared" si="164"/>
        <v>0</v>
      </c>
      <c r="BK171" s="169">
        <f>IF(COUNTIF(AY171:BC171,"&gt;0")&lt;Spielorte!$A$23,0,AV171/Spielorte!$A$23)</f>
        <v>0</v>
      </c>
      <c r="BL171" s="169">
        <f t="shared" si="165"/>
        <v>1.7100000000000001E-7</v>
      </c>
      <c r="BM171" s="168">
        <f t="shared" si="166"/>
        <v>10</v>
      </c>
    </row>
    <row r="172" spans="1:65" ht="27.75" customHeight="1" thickBot="1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>
      <c r="B175" s="231" t="s">
        <v>1790</v>
      </c>
      <c r="C175" s="210"/>
      <c r="D175" s="42"/>
      <c r="E175" s="434">
        <f>VLOOKUP($B158,Schlüssel!$A$5:$EK$12,123)</f>
        <v>4</v>
      </c>
      <c r="F175" s="435"/>
      <c r="G175" s="436"/>
      <c r="H175" s="434">
        <f>VLOOKUP($B158,Schlüssel!$A$5:$EK$12,124)</f>
        <v>8</v>
      </c>
      <c r="I175" s="435"/>
      <c r="J175" s="436"/>
      <c r="K175" s="434">
        <f>VLOOKUP($B158,Schlüssel!$A$5:$EK$12,125)</f>
        <v>5</v>
      </c>
      <c r="L175" s="435"/>
      <c r="M175" s="436"/>
      <c r="N175" s="434">
        <f>VLOOKUP($B158,Schlüssel!$A$5:$EK$12,126)</f>
        <v>3</v>
      </c>
      <c r="O175" s="435"/>
      <c r="P175" s="436"/>
      <c r="Q175" s="434">
        <f>VLOOKUP($B158,Schlüssel!$A$5:$EK$12,127)</f>
        <v>2</v>
      </c>
      <c r="R175" s="435"/>
      <c r="S175" s="436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>
      <c r="B176" s="3" t="s">
        <v>9</v>
      </c>
      <c r="C176" s="1"/>
      <c r="D176" s="1"/>
      <c r="E176" s="395" t="str">
        <f>VLOOKUP(E175,Schlüssel!$A$5:$K$12,2)</f>
        <v>Highroller Rosenheim 3</v>
      </c>
      <c r="F176" s="438"/>
      <c r="G176" s="396"/>
      <c r="H176" s="395" t="str">
        <f>VLOOKUP(H175,Schlüssel!$A$5:$K$12,2)</f>
        <v>EMAX 1</v>
      </c>
      <c r="I176" s="438"/>
      <c r="J176" s="396"/>
      <c r="K176" s="395" t="str">
        <f>VLOOKUP(K175,Schlüssel!$A$5:$K$12,2)</f>
        <v>Berchtesgaden 1</v>
      </c>
      <c r="L176" s="438"/>
      <c r="M176" s="396"/>
      <c r="N176" s="395" t="str">
        <f>VLOOKUP(N175,Schlüssel!$A$5:$K$12,2)</f>
        <v>Highroller Rosenheim 2</v>
      </c>
      <c r="O176" s="438"/>
      <c r="P176" s="396"/>
      <c r="Q176" s="395" t="str">
        <f>VLOOKUP(Q175,Schlüssel!$A$5:$K$12,2)</f>
        <v>Highroller Rosenheim 1</v>
      </c>
      <c r="R176" s="438"/>
      <c r="S176" s="396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" customHeight="1">
      <c r="B178" s="417" t="s">
        <v>2275</v>
      </c>
      <c r="C178" s="418"/>
      <c r="D178" s="419"/>
      <c r="E178" s="431">
        <f>ABS(INDEX(F:F,MATCH(E175,$B:$B,0)+5)+INDEX(F:F,MATCH(E175,$B:$B,0)+6)+INDEX(F:F,MATCH(E175,$B:$B,0)+7))</f>
        <v>0</v>
      </c>
      <c r="F178" s="432"/>
      <c r="G178" s="433"/>
      <c r="H178" s="431">
        <f>ABS(INDEX(I:I,MATCH(H175,$B:$B,0)+5)+INDEX(I:I,MATCH(H175,$B:$B,0)+6)+INDEX(I:I,MATCH(H175,$B:$B,0)+7))</f>
        <v>0</v>
      </c>
      <c r="I178" s="432"/>
      <c r="J178" s="433"/>
      <c r="K178" s="431">
        <f>ABS(INDEX(L:L,MATCH(K175,$B:$B,0)+5)+INDEX(L:L,MATCH(K175,$B:$B,0)+6)+INDEX(L:L,MATCH(K175,$B:$B,0)+7))</f>
        <v>0</v>
      </c>
      <c r="L178" s="432"/>
      <c r="M178" s="433"/>
      <c r="N178" s="431">
        <f>ABS(INDEX(O:O,MATCH(N175,$B:$B,0)+5)+INDEX(O:O,MATCH(N175,$B:$B,0)+6)+INDEX(O:O,MATCH(N175,$B:$B,0)+7))</f>
        <v>0</v>
      </c>
      <c r="O178" s="432"/>
      <c r="P178" s="433"/>
      <c r="Q178" s="431">
        <f>ABS(INDEX(R:R,MATCH(Q175,$B:$B,0)+5)+INDEX(R:R,MATCH(Q175,$B:$B,0)+6)+INDEX(R:R,MATCH(Q175,$B:$B,0)+7))</f>
        <v>0</v>
      </c>
      <c r="R178" s="432"/>
      <c r="S178" s="433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" customHeight="1">
      <c r="B179" s="417" t="s">
        <v>2276</v>
      </c>
      <c r="C179" s="418"/>
      <c r="D179" s="419"/>
      <c r="E179" s="424">
        <f>ABS(INDEX(F:F,MATCH(E175,$B:$B,0)+8)+INDEX(F:F,MATCH(E175,$B:$B,0)+9)+INDEX(F:F,MATCH(E175,$B:$B,0)+10))</f>
        <v>0</v>
      </c>
      <c r="F179" s="425"/>
      <c r="G179" s="426"/>
      <c r="H179" s="424">
        <f>ABS(INDEX(I:I,MATCH(H175,$B:$B,0)+8)+INDEX(I:I,MATCH(H175,$B:$B,0)+9)+INDEX(I:I,MATCH(H175,$B:$B,0)+10))</f>
        <v>0</v>
      </c>
      <c r="I179" s="425"/>
      <c r="J179" s="426"/>
      <c r="K179" s="424">
        <f>ABS(INDEX(L:L,MATCH(K175,$B:$B,0)+8)+INDEX(L:L,MATCH(K175,$B:$B,0)+9)+INDEX(L:L,MATCH(K175,$B:$B,0)+10))</f>
        <v>0</v>
      </c>
      <c r="L179" s="425"/>
      <c r="M179" s="426"/>
      <c r="N179" s="424">
        <f>ABS(INDEX(O:O,MATCH(N175,$B:$B,0)+8)+INDEX(O:O,MATCH(N175,$B:$B,0)+9)+INDEX(O:O,MATCH(N175,$B:$B,0)+10))</f>
        <v>0</v>
      </c>
      <c r="O179" s="425"/>
      <c r="P179" s="426"/>
      <c r="Q179" s="424">
        <f>ABS(INDEX(R:R,MATCH(Q175,$B:$B,0)+8)+INDEX(R:R,MATCH(Q175,$B:$B,0)+9)+INDEX(R:R,MATCH(Q175,$B:$B,0)+10))</f>
        <v>0</v>
      </c>
      <c r="R179" s="425"/>
      <c r="S179" s="426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" customHeight="1">
      <c r="B180" s="417" t="s">
        <v>2277</v>
      </c>
      <c r="C180" s="418"/>
      <c r="D180" s="419"/>
      <c r="E180" s="424">
        <f>ABS(INDEX(F:F,MATCH(E175,$B:$B,0)+11)+INDEX(F:F,MATCH(E175,$B:$B,0)+12)+INDEX(F:F,MATCH(E175,$B:$B,0)+13))</f>
        <v>0</v>
      </c>
      <c r="F180" s="425"/>
      <c r="G180" s="426"/>
      <c r="H180" s="424">
        <f>ABS(INDEX(I:I,MATCH(H175,$B:$B,0)+11)+INDEX(I:I,MATCH(H175,$B:$B,0)+12)+INDEX(I:I,MATCH(H175,$B:$B,0)+13))</f>
        <v>0</v>
      </c>
      <c r="I180" s="425"/>
      <c r="J180" s="426"/>
      <c r="K180" s="424">
        <f>ABS(INDEX(L:L,MATCH(K175,$B:$B,0)+11)+INDEX(L:L,MATCH(K175,$B:$B,0)+12)+INDEX(L:L,MATCH(K175,$B:$B,0)+13))</f>
        <v>0</v>
      </c>
      <c r="L180" s="425"/>
      <c r="M180" s="426"/>
      <c r="N180" s="424">
        <f>ABS(INDEX(O:O,MATCH(N175,$B:$B,0)+11)+INDEX(O:O,MATCH(N175,$B:$B,0)+12)+INDEX(O:O,MATCH(N175,$B:$B,0)+13))</f>
        <v>0</v>
      </c>
      <c r="O180" s="425"/>
      <c r="P180" s="426"/>
      <c r="Q180" s="424">
        <f>ABS(INDEX(R:R,MATCH(Q175,$B:$B,0)+11)+INDEX(R:R,MATCH(Q175,$B:$B,0)+12)+INDEX(R:R,MATCH(Q175,$B:$B,0)+13))</f>
        <v>0</v>
      </c>
      <c r="R180" s="425"/>
      <c r="S180" s="426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" customHeight="1">
      <c r="B181" s="420" t="s">
        <v>2278</v>
      </c>
      <c r="C181" s="421"/>
      <c r="D181" s="422"/>
      <c r="E181" s="407">
        <f>SUM(E178:E180)</f>
        <v>0</v>
      </c>
      <c r="F181" s="423"/>
      <c r="G181" s="408"/>
      <c r="H181" s="407">
        <f>SUM(H178:H180)</f>
        <v>0</v>
      </c>
      <c r="I181" s="423"/>
      <c r="J181" s="408"/>
      <c r="K181" s="407">
        <f>SUM(K178:K180)</f>
        <v>0</v>
      </c>
      <c r="L181" s="423"/>
      <c r="M181" s="408"/>
      <c r="N181" s="407">
        <f>SUM(N178:N180)</f>
        <v>0</v>
      </c>
      <c r="O181" s="423"/>
      <c r="P181" s="408"/>
      <c r="Q181" s="407">
        <f>SUM(Q178:Q180)</f>
        <v>0</v>
      </c>
      <c r="R181" s="423"/>
      <c r="S181" s="408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>
      <c r="A183" s="255"/>
      <c r="B183" s="7" t="s">
        <v>1802</v>
      </c>
      <c r="C183" s="24"/>
      <c r="D183" s="24"/>
      <c r="E183" s="35" t="s">
        <v>1786</v>
      </c>
      <c r="F183" s="35"/>
      <c r="G183" s="427" t="str">
        <f>Schlüssel!$C$1</f>
        <v>Landesliga Jugend</v>
      </c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06">
        <f>Schlüssel!$EC$1</f>
        <v>45829</v>
      </c>
      <c r="T183" s="406"/>
      <c r="U183" s="406"/>
      <c r="V183" s="406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>
      <c r="A184" s="53"/>
      <c r="B184" s="54">
        <v>8</v>
      </c>
      <c r="E184" s="35" t="s">
        <v>1787</v>
      </c>
      <c r="F184" s="35"/>
      <c r="G184" s="413" t="str">
        <f>Schlüssel!$DS$2</f>
        <v>Brunnthal Max Munich</v>
      </c>
      <c r="H184" s="413"/>
      <c r="I184" s="413"/>
      <c r="J184" s="413"/>
      <c r="K184" s="413"/>
      <c r="L184" s="413"/>
      <c r="M184" s="413"/>
      <c r="N184" s="413"/>
      <c r="O184" s="413"/>
      <c r="P184" s="66"/>
      <c r="Q184" s="411" t="s">
        <v>1785</v>
      </c>
      <c r="R184" s="412"/>
      <c r="S184" s="38">
        <v>7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>
      <c r="B185" s="414" t="str">
        <f>VLOOKUP(B184,Schlüssel!$A$5:$B$12,2)</f>
        <v>EMAX 1</v>
      </c>
      <c r="C185" s="415"/>
      <c r="D185" s="415"/>
      <c r="E185" s="415"/>
      <c r="F185" s="415"/>
      <c r="G185" s="416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3.8" hidden="1" thickBot="1">
      <c r="A186" s="6"/>
      <c r="B186" s="7"/>
      <c r="C186" s="43"/>
      <c r="D186" s="43"/>
      <c r="E186" s="162" t="s">
        <v>10</v>
      </c>
      <c r="F186" s="220"/>
      <c r="G186" s="159">
        <f>VLOOKUP(B184,Schlüssel!$A$5:$EK$12,133)</f>
        <v>6</v>
      </c>
      <c r="H186" s="161" t="s">
        <v>10</v>
      </c>
      <c r="I186" s="220"/>
      <c r="J186" s="159">
        <f>VLOOKUP(B184,Schlüssel!$A$5:$EK$12,134)</f>
        <v>7</v>
      </c>
      <c r="K186" s="161" t="s">
        <v>10</v>
      </c>
      <c r="L186" s="220"/>
      <c r="M186" s="159">
        <f>VLOOKUP(B184,Schlüssel!$A$5:$EK$12,135)</f>
        <v>1</v>
      </c>
      <c r="N186" s="161" t="s">
        <v>10</v>
      </c>
      <c r="O186" s="220"/>
      <c r="P186" s="159">
        <f>VLOOKUP(B184,Schlüssel!$A$5:$EK$12,136)</f>
        <v>3</v>
      </c>
      <c r="Q186" s="161" t="s">
        <v>10</v>
      </c>
      <c r="R186" s="220"/>
      <c r="S186" s="160">
        <f>VLOOKUP(B184,Schlüssel!$A$5:$EK$12,137)</f>
        <v>8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>
      <c r="B187" s="44" t="s">
        <v>1</v>
      </c>
      <c r="C187" s="208"/>
      <c r="D187" s="217"/>
      <c r="E187" s="423" t="s">
        <v>1793</v>
      </c>
      <c r="F187" s="423"/>
      <c r="G187" s="408"/>
      <c r="H187" s="407" t="s">
        <v>1794</v>
      </c>
      <c r="I187" s="423"/>
      <c r="J187" s="408"/>
      <c r="K187" s="407" t="s">
        <v>1795</v>
      </c>
      <c r="L187" s="423"/>
      <c r="M187" s="408"/>
      <c r="N187" s="407" t="s">
        <v>1796</v>
      </c>
      <c r="O187" s="423"/>
      <c r="P187" s="408"/>
      <c r="Q187" s="407" t="s">
        <v>1797</v>
      </c>
      <c r="R187" s="423"/>
      <c r="S187" s="437"/>
      <c r="T187" s="439" t="s">
        <v>1792</v>
      </c>
      <c r="U187" s="440"/>
      <c r="V187" s="410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6.95" customHeight="1">
      <c r="A189" s="403" t="s">
        <v>0</v>
      </c>
      <c r="B189" s="58" t="str">
        <f>IF(C189=0,"",VLOOKUP(C189,Starter!$A$1:$D$196,2,FALSE))</f>
        <v/>
      </c>
      <c r="C189" s="232"/>
      <c r="D189" s="238">
        <f t="shared" ref="D189:D197" si="168">+AP189</f>
        <v>0</v>
      </c>
      <c r="E189" s="221"/>
      <c r="F189" s="240">
        <f t="shared" ref="F189:F197" si="169">IF(E189&gt;0,E189+$D189,0)</f>
        <v>0</v>
      </c>
      <c r="G189" s="428">
        <f>IF(SUM(F189:F191)+E204=0,0,IF(ABS(SUM(F189:F191))=E204,Spielorte!$A$30/2,IF(ABS(SUM(F189:F191))&gt;E204,Spielorte!$A$30,0)))</f>
        <v>0</v>
      </c>
      <c r="H189" s="221"/>
      <c r="I189" s="240">
        <f t="shared" ref="I189:I197" si="170">IF(H189&gt;0,H189+$D189,0)</f>
        <v>0</v>
      </c>
      <c r="J189" s="428">
        <f>IF(SUM(I189:I191)+H204=0,0,IF(ABS(SUM(I189:I191))=H204,Spielorte!$A$30/2,IF(ABS(SUM(I189:I191))&gt;H204,Spielorte!$A$30,0)))</f>
        <v>0</v>
      </c>
      <c r="K189" s="221"/>
      <c r="L189" s="240">
        <f t="shared" ref="L189:L197" si="171">IF(K189&gt;0,K189+$D189,0)</f>
        <v>0</v>
      </c>
      <c r="M189" s="428">
        <f>IF(SUM(L189:L191)+K204=0,0,IF(ABS(SUM(L189:L191))=K204,Spielorte!$A$30/2,IF(ABS(SUM(L189:L191))&gt;K204,Spielorte!$A$30,0)))</f>
        <v>0</v>
      </c>
      <c r="N189" s="221"/>
      <c r="O189" s="240">
        <f t="shared" ref="O189:O197" si="172">IF(N189&gt;0,N189+$D189,0)</f>
        <v>0</v>
      </c>
      <c r="P189" s="428">
        <f>IF(SUM(O189:O191)+N204=0,0,IF(ABS(SUM(O189:O191))=N204,Spielorte!$A$30/2,IF(ABS(SUM(O189:O191))&gt;N204,Spielorte!$A$30,0)))</f>
        <v>0</v>
      </c>
      <c r="Q189" s="221"/>
      <c r="R189" s="240">
        <f t="shared" ref="R189:R197" si="173">IF(Q189&gt;0,Q189+$D189,0)</f>
        <v>0</v>
      </c>
      <c r="S189" s="428">
        <f>IF(SUM(R189:R191)+Q204=0,0,IF(ABS(SUM(R189:R191))=Q204,Spielorte!$A$30/2,IF(ABS(SUM(R189:R191))&gt;Q204,Spielorte!$A$30,0)))</f>
        <v>0</v>
      </c>
      <c r="T189" s="221">
        <f t="shared" ref="T189:U197" si="174">ABS(SUM(E189:E189))+ABS(SUM(H189:H189))+ABS(SUM(K189:K189))+ABS(SUM(N189:N189))+ABS(SUM(Q189:Q189))</f>
        <v>0</v>
      </c>
      <c r="U189" s="240">
        <f t="shared" si="174"/>
        <v>0</v>
      </c>
      <c r="V189" s="400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IF(AU189=0,0,IFERROR(INDEX(RanglisteST7!K:K,MATCH(AU189,RanglisteST7!A:A,0)),0))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5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6">C189</f>
        <v>0</v>
      </c>
      <c r="AV189" s="167">
        <f t="shared" ref="AV189:AV197" si="177">T189</f>
        <v>0</v>
      </c>
      <c r="AW189" s="169">
        <f t="shared" ref="AW189:AW197" si="178">COUNT(AY189:BC189)</f>
        <v>0</v>
      </c>
      <c r="AX189" s="169">
        <f t="shared" ref="AX189:AX197" si="179">COUNTIF(AY189:BC189,"&gt;0")</f>
        <v>0</v>
      </c>
      <c r="AY189" s="169" t="str">
        <f t="shared" ref="AY189:AY197" si="180">IF(E189=0,"",E189)</f>
        <v/>
      </c>
      <c r="AZ189" s="169" t="str">
        <f t="shared" ref="AZ189:AZ197" si="181">IF(H189=0,"",H189)</f>
        <v/>
      </c>
      <c r="BA189" s="169" t="str">
        <f t="shared" ref="BA189:BA197" si="182">IF(K189=0,"",K189)</f>
        <v/>
      </c>
      <c r="BB189" s="169" t="str">
        <f t="shared" ref="BB189:BB197" si="183">IF(N189=0,"",N189)</f>
        <v/>
      </c>
      <c r="BC189" s="169" t="str">
        <f t="shared" ref="BC189:BC197" si="184">IF(Q189=0,"",Q189)</f>
        <v/>
      </c>
      <c r="BD189" s="170"/>
      <c r="BE189" s="168"/>
      <c r="BF189" s="169">
        <f t="shared" ref="BF189:BF197" si="185">MAX(AY189:BC189)</f>
        <v>0</v>
      </c>
      <c r="BG189" s="169">
        <f t="shared" ref="BG189:BG197" si="186">IF(BF189&lt;MAX(BF:BF),0,BF189+ROW()/1000000000)</f>
        <v>1.8900000000000001E-7</v>
      </c>
      <c r="BH189" s="169" t="str">
        <f>+B185</f>
        <v>EMAX 1</v>
      </c>
      <c r="BI189" s="168">
        <f t="shared" ref="BI189:BI197" si="187">RANK(BG189,BG:BG)</f>
        <v>9</v>
      </c>
      <c r="BJ189" s="169">
        <f t="shared" ref="BJ189:BJ197" si="188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89">IF(BK189&lt;MAX(BK:BK),0,BK189+ROW()/1000000000)</f>
        <v>1.8900000000000001E-7</v>
      </c>
      <c r="BM189" s="168">
        <f t="shared" ref="BM189:BM197" si="190">IF(BL189=0,0,RANK(BL189,BL:BL))</f>
        <v>9</v>
      </c>
    </row>
    <row r="190" spans="1:65" ht="16.95" customHeight="1">
      <c r="A190" s="404"/>
      <c r="B190" s="58" t="str">
        <f>IF(C190=0,"",VLOOKUP(C190,Starter!$A$1:$D$196,2,FALSE))</f>
        <v/>
      </c>
      <c r="C190" s="233"/>
      <c r="D190" s="239">
        <f t="shared" si="168"/>
        <v>0</v>
      </c>
      <c r="E190" s="222"/>
      <c r="F190" s="241">
        <f t="shared" si="169"/>
        <v>0</v>
      </c>
      <c r="G190" s="429"/>
      <c r="H190" s="222"/>
      <c r="I190" s="241">
        <f t="shared" si="170"/>
        <v>0</v>
      </c>
      <c r="J190" s="429"/>
      <c r="K190" s="222"/>
      <c r="L190" s="241">
        <f t="shared" si="171"/>
        <v>0</v>
      </c>
      <c r="M190" s="429"/>
      <c r="N190" s="222"/>
      <c r="O190" s="241">
        <f t="shared" si="172"/>
        <v>0</v>
      </c>
      <c r="P190" s="429"/>
      <c r="Q190" s="222"/>
      <c r="R190" s="241">
        <f t="shared" si="173"/>
        <v>0</v>
      </c>
      <c r="S190" s="429"/>
      <c r="T190" s="222">
        <f t="shared" si="174"/>
        <v>0</v>
      </c>
      <c r="U190" s="241">
        <f t="shared" si="174"/>
        <v>0</v>
      </c>
      <c r="V190" s="401"/>
      <c r="W190" s="79"/>
      <c r="X190" s="79"/>
      <c r="Y190" s="79"/>
      <c r="Z190" s="79"/>
      <c r="AA190" s="79"/>
      <c r="AB190" s="79"/>
      <c r="AL190" s="169">
        <f>IF(AU190=0,0,IFERROR(INDEX(RanglisteST7!K:K,MATCH(AU190,RanglisteST7!A:A,0)),0))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5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6"/>
        <v>0</v>
      </c>
      <c r="AV190" s="167">
        <f t="shared" si="177"/>
        <v>0</v>
      </c>
      <c r="AW190" s="169">
        <f t="shared" si="178"/>
        <v>0</v>
      </c>
      <c r="AX190" s="169">
        <f t="shared" si="179"/>
        <v>0</v>
      </c>
      <c r="AY190" s="169" t="str">
        <f t="shared" si="180"/>
        <v/>
      </c>
      <c r="AZ190" s="169" t="str">
        <f t="shared" si="181"/>
        <v/>
      </c>
      <c r="BA190" s="169" t="str">
        <f t="shared" si="182"/>
        <v/>
      </c>
      <c r="BB190" s="169" t="str">
        <f t="shared" si="183"/>
        <v/>
      </c>
      <c r="BC190" s="169" t="str">
        <f t="shared" si="184"/>
        <v/>
      </c>
      <c r="BD190" s="170"/>
      <c r="BE190" s="168"/>
      <c r="BF190" s="169">
        <f t="shared" si="185"/>
        <v>0</v>
      </c>
      <c r="BG190" s="169">
        <f t="shared" si="186"/>
        <v>1.9000000000000001E-7</v>
      </c>
      <c r="BH190" s="169" t="str">
        <f t="shared" ref="BH190:BH197" si="191">+BH189</f>
        <v>EMAX 1</v>
      </c>
      <c r="BI190" s="168">
        <f t="shared" si="187"/>
        <v>8</v>
      </c>
      <c r="BJ190" s="169">
        <f t="shared" si="188"/>
        <v>0</v>
      </c>
      <c r="BK190" s="169">
        <f>IF(COUNTIF(AY190:BC190,"&gt;0")&lt;Spielorte!$A$23,0,AV190/Spielorte!$A$23)</f>
        <v>0</v>
      </c>
      <c r="BL190" s="169">
        <f t="shared" si="189"/>
        <v>1.9000000000000001E-7</v>
      </c>
      <c r="BM190" s="168">
        <f t="shared" si="190"/>
        <v>8</v>
      </c>
    </row>
    <row r="191" spans="1:65" ht="16.95" customHeight="1" thickBot="1">
      <c r="A191" s="405"/>
      <c r="B191" s="59" t="str">
        <f>IF(C191=0,"",VLOOKUP(C191,Starter!$A$1:$D$196,2,FALSE))</f>
        <v/>
      </c>
      <c r="C191" s="234"/>
      <c r="D191" s="223">
        <f t="shared" si="168"/>
        <v>0</v>
      </c>
      <c r="E191" s="224"/>
      <c r="F191" s="242">
        <f t="shared" si="169"/>
        <v>0</v>
      </c>
      <c r="G191" s="430"/>
      <c r="H191" s="224"/>
      <c r="I191" s="242">
        <f t="shared" si="170"/>
        <v>0</v>
      </c>
      <c r="J191" s="430"/>
      <c r="K191" s="224"/>
      <c r="L191" s="242">
        <f t="shared" si="171"/>
        <v>0</v>
      </c>
      <c r="M191" s="430"/>
      <c r="N191" s="224"/>
      <c r="O191" s="242">
        <f t="shared" si="172"/>
        <v>0</v>
      </c>
      <c r="P191" s="430"/>
      <c r="Q191" s="224"/>
      <c r="R191" s="242">
        <f t="shared" si="173"/>
        <v>0</v>
      </c>
      <c r="S191" s="430"/>
      <c r="T191" s="224">
        <f t="shared" si="174"/>
        <v>0</v>
      </c>
      <c r="U191" s="242">
        <f t="shared" si="174"/>
        <v>0</v>
      </c>
      <c r="V191" s="402"/>
      <c r="W191" s="79"/>
      <c r="X191" s="79"/>
      <c r="Y191" s="79"/>
      <c r="Z191" s="79"/>
      <c r="AA191" s="79"/>
      <c r="AB191" s="79"/>
      <c r="AL191" s="169">
        <f>IF(AU191=0,0,IFERROR(INDEX(RanglisteST7!K:K,MATCH(AU191,RanglisteST7!A:A,0)),0))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5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6"/>
        <v>0</v>
      </c>
      <c r="AV191" s="167">
        <f t="shared" si="177"/>
        <v>0</v>
      </c>
      <c r="AW191" s="169">
        <f t="shared" si="178"/>
        <v>0</v>
      </c>
      <c r="AX191" s="169">
        <f t="shared" si="179"/>
        <v>0</v>
      </c>
      <c r="AY191" s="169" t="str">
        <f t="shared" si="180"/>
        <v/>
      </c>
      <c r="AZ191" s="169" t="str">
        <f t="shared" si="181"/>
        <v/>
      </c>
      <c r="BA191" s="169" t="str">
        <f t="shared" si="182"/>
        <v/>
      </c>
      <c r="BB191" s="169" t="str">
        <f t="shared" si="183"/>
        <v/>
      </c>
      <c r="BC191" s="169" t="str">
        <f t="shared" si="184"/>
        <v/>
      </c>
      <c r="BD191" s="170"/>
      <c r="BE191" s="168"/>
      <c r="BF191" s="169">
        <f t="shared" si="185"/>
        <v>0</v>
      </c>
      <c r="BG191" s="169">
        <f t="shared" si="186"/>
        <v>1.91E-7</v>
      </c>
      <c r="BH191" s="169" t="str">
        <f t="shared" si="191"/>
        <v>EMAX 1</v>
      </c>
      <c r="BI191" s="168">
        <f t="shared" si="187"/>
        <v>7</v>
      </c>
      <c r="BJ191" s="169">
        <f t="shared" si="188"/>
        <v>0</v>
      </c>
      <c r="BK191" s="169">
        <f>IF(COUNTIF(AY191:BC191,"&gt;0")&lt;Spielorte!$A$23,0,AV191/Spielorte!$A$23)</f>
        <v>0</v>
      </c>
      <c r="BL191" s="169">
        <f t="shared" si="189"/>
        <v>1.91E-7</v>
      </c>
      <c r="BM191" s="168">
        <f t="shared" si="190"/>
        <v>7</v>
      </c>
    </row>
    <row r="192" spans="1:65" ht="16.95" customHeight="1">
      <c r="A192" s="403" t="s">
        <v>2</v>
      </c>
      <c r="B192" s="58" t="str">
        <f>IF(C192=0,"",VLOOKUP(C192,Starter!$A$1:$D$196,2,FALSE))</f>
        <v/>
      </c>
      <c r="C192" s="235"/>
      <c r="D192" s="238">
        <f t="shared" si="168"/>
        <v>0</v>
      </c>
      <c r="E192" s="221"/>
      <c r="F192" s="240">
        <f t="shared" si="169"/>
        <v>0</v>
      </c>
      <c r="G192" s="428">
        <f>IF(SUM(F192:F194)+E205=0,0,IF(ABS(SUM(F192:F194))=E205,Spielorte!$A$30/2,IF(ABS(SUM(F192:F194))&gt;E205,Spielorte!$A$30,0)))</f>
        <v>0</v>
      </c>
      <c r="H192" s="221"/>
      <c r="I192" s="240">
        <f t="shared" si="170"/>
        <v>0</v>
      </c>
      <c r="J192" s="428">
        <f>IF(SUM(I192:I194)+H205=0,0,IF(ABS(SUM(I192:I194))=H205,Spielorte!$A$30/2,IF(ABS(SUM(I192:I194))&gt;H205,Spielorte!$A$30,0)))</f>
        <v>0</v>
      </c>
      <c r="K192" s="221"/>
      <c r="L192" s="240">
        <f t="shared" si="171"/>
        <v>0</v>
      </c>
      <c r="M192" s="428">
        <f>IF(SUM(L192:L194)+K205=0,0,IF(ABS(SUM(L192:L194))=K205,Spielorte!$A$30/2,IF(ABS(SUM(L192:L194))&gt;K205,Spielorte!$A$30,0)))</f>
        <v>0</v>
      </c>
      <c r="N192" s="221"/>
      <c r="O192" s="240">
        <f t="shared" si="172"/>
        <v>0</v>
      </c>
      <c r="P192" s="428">
        <f>IF(SUM(O192:O194)+N205=0,0,IF(ABS(SUM(O192:O194))=N205,Spielorte!$A$30/2,IF(ABS(SUM(O192:O194))&gt;N205,Spielorte!$A$30,0)))</f>
        <v>0</v>
      </c>
      <c r="Q192" s="221"/>
      <c r="R192" s="240">
        <f t="shared" si="173"/>
        <v>0</v>
      </c>
      <c r="S192" s="428">
        <f>IF(SUM(R192:R194)+Q205=0,0,IF(ABS(SUM(R192:R194))=Q205,Spielorte!$A$30/2,IF(ABS(SUM(R192:R194))&gt;Q205,Spielorte!$A$30,0)))</f>
        <v>0</v>
      </c>
      <c r="T192" s="221">
        <f t="shared" si="174"/>
        <v>0</v>
      </c>
      <c r="U192" s="240">
        <f t="shared" si="174"/>
        <v>0</v>
      </c>
      <c r="V192" s="400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IF(AU192=0,0,IFERROR(INDEX(RanglisteST7!K:K,MATCH(AU192,RanglisteST7!A:A,0)),0))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5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6"/>
        <v>0</v>
      </c>
      <c r="AV192" s="167">
        <f t="shared" si="177"/>
        <v>0</v>
      </c>
      <c r="AW192" s="169">
        <f t="shared" si="178"/>
        <v>0</v>
      </c>
      <c r="AX192" s="169">
        <f t="shared" si="179"/>
        <v>0</v>
      </c>
      <c r="AY192" s="169" t="str">
        <f t="shared" si="180"/>
        <v/>
      </c>
      <c r="AZ192" s="169" t="str">
        <f t="shared" si="181"/>
        <v/>
      </c>
      <c r="BA192" s="169" t="str">
        <f t="shared" si="182"/>
        <v/>
      </c>
      <c r="BB192" s="169" t="str">
        <f t="shared" si="183"/>
        <v/>
      </c>
      <c r="BC192" s="169" t="str">
        <f t="shared" si="184"/>
        <v/>
      </c>
      <c r="BD192" s="170"/>
      <c r="BE192" s="168"/>
      <c r="BF192" s="169">
        <f t="shared" si="185"/>
        <v>0</v>
      </c>
      <c r="BG192" s="169">
        <f t="shared" si="186"/>
        <v>1.92E-7</v>
      </c>
      <c r="BH192" s="169" t="str">
        <f t="shared" si="191"/>
        <v>EMAX 1</v>
      </c>
      <c r="BI192" s="168">
        <f t="shared" si="187"/>
        <v>6</v>
      </c>
      <c r="BJ192" s="169">
        <f t="shared" si="188"/>
        <v>0</v>
      </c>
      <c r="BK192" s="169">
        <f>IF(COUNTIF(AY192:BC192,"&gt;0")&lt;Spielorte!$A$23,0,AV192/Spielorte!$A$23)</f>
        <v>0</v>
      </c>
      <c r="BL192" s="169">
        <f t="shared" si="189"/>
        <v>1.92E-7</v>
      </c>
      <c r="BM192" s="168">
        <f t="shared" si="190"/>
        <v>6</v>
      </c>
    </row>
    <row r="193" spans="1:65" ht="16.95" customHeight="1">
      <c r="A193" s="404"/>
      <c r="B193" s="58" t="str">
        <f>IF(C193=0,"",VLOOKUP(C193,Starter!$A$1:$D$196,2,FALSE))</f>
        <v/>
      </c>
      <c r="C193" s="233"/>
      <c r="D193" s="239">
        <f t="shared" si="168"/>
        <v>0</v>
      </c>
      <c r="E193" s="222"/>
      <c r="F193" s="241">
        <f t="shared" si="169"/>
        <v>0</v>
      </c>
      <c r="G193" s="429"/>
      <c r="H193" s="222"/>
      <c r="I193" s="241">
        <f t="shared" si="170"/>
        <v>0</v>
      </c>
      <c r="J193" s="429"/>
      <c r="K193" s="222"/>
      <c r="L193" s="241">
        <f t="shared" si="171"/>
        <v>0</v>
      </c>
      <c r="M193" s="429"/>
      <c r="N193" s="222"/>
      <c r="O193" s="241">
        <f t="shared" si="172"/>
        <v>0</v>
      </c>
      <c r="P193" s="429"/>
      <c r="Q193" s="222"/>
      <c r="R193" s="241">
        <f t="shared" si="173"/>
        <v>0</v>
      </c>
      <c r="S193" s="429"/>
      <c r="T193" s="222">
        <f t="shared" si="174"/>
        <v>0</v>
      </c>
      <c r="U193" s="241">
        <f t="shared" si="174"/>
        <v>0</v>
      </c>
      <c r="V193" s="401"/>
      <c r="W193" s="79"/>
      <c r="X193" s="79"/>
      <c r="Y193" s="79"/>
      <c r="Z193" s="79"/>
      <c r="AA193" s="79"/>
      <c r="AB193" s="79"/>
      <c r="AL193" s="169">
        <f>IF(AU193=0,0,IFERROR(INDEX(RanglisteST7!K:K,MATCH(AU193,RanglisteST7!A:A,0)),0))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5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6"/>
        <v>0</v>
      </c>
      <c r="AV193" s="167">
        <f t="shared" si="177"/>
        <v>0</v>
      </c>
      <c r="AW193" s="169">
        <f t="shared" si="178"/>
        <v>0</v>
      </c>
      <c r="AX193" s="169">
        <f t="shared" si="179"/>
        <v>0</v>
      </c>
      <c r="AY193" s="169" t="str">
        <f t="shared" si="180"/>
        <v/>
      </c>
      <c r="AZ193" s="169" t="str">
        <f t="shared" si="181"/>
        <v/>
      </c>
      <c r="BA193" s="169" t="str">
        <f t="shared" si="182"/>
        <v/>
      </c>
      <c r="BB193" s="169" t="str">
        <f t="shared" si="183"/>
        <v/>
      </c>
      <c r="BC193" s="169" t="str">
        <f t="shared" si="184"/>
        <v/>
      </c>
      <c r="BD193" s="170"/>
      <c r="BE193" s="168"/>
      <c r="BF193" s="169">
        <f t="shared" si="185"/>
        <v>0</v>
      </c>
      <c r="BG193" s="169">
        <f t="shared" si="186"/>
        <v>1.9299999999999999E-7</v>
      </c>
      <c r="BH193" s="169" t="str">
        <f t="shared" si="191"/>
        <v>EMAX 1</v>
      </c>
      <c r="BI193" s="168">
        <f t="shared" si="187"/>
        <v>5</v>
      </c>
      <c r="BJ193" s="169">
        <f t="shared" si="188"/>
        <v>0</v>
      </c>
      <c r="BK193" s="169">
        <f>IF(COUNTIF(AY193:BC193,"&gt;0")&lt;Spielorte!$A$23,0,AV193/Spielorte!$A$23)</f>
        <v>0</v>
      </c>
      <c r="BL193" s="169">
        <f t="shared" si="189"/>
        <v>1.9299999999999999E-7</v>
      </c>
      <c r="BM193" s="168">
        <f t="shared" si="190"/>
        <v>5</v>
      </c>
    </row>
    <row r="194" spans="1:65" ht="16.95" customHeight="1" thickBot="1">
      <c r="A194" s="405"/>
      <c r="B194" s="60" t="str">
        <f>IF(C194=0,"",VLOOKUP(C194,Starter!$A$1:$D$196,2,FALSE))</f>
        <v/>
      </c>
      <c r="C194" s="236"/>
      <c r="D194" s="223">
        <f t="shared" si="168"/>
        <v>0</v>
      </c>
      <c r="E194" s="224"/>
      <c r="F194" s="242">
        <f t="shared" si="169"/>
        <v>0</v>
      </c>
      <c r="G194" s="430"/>
      <c r="H194" s="224"/>
      <c r="I194" s="242">
        <f t="shared" si="170"/>
        <v>0</v>
      </c>
      <c r="J194" s="430"/>
      <c r="K194" s="224"/>
      <c r="L194" s="242">
        <f t="shared" si="171"/>
        <v>0</v>
      </c>
      <c r="M194" s="430"/>
      <c r="N194" s="224"/>
      <c r="O194" s="242">
        <f t="shared" si="172"/>
        <v>0</v>
      </c>
      <c r="P194" s="430"/>
      <c r="Q194" s="224"/>
      <c r="R194" s="242">
        <f t="shared" si="173"/>
        <v>0</v>
      </c>
      <c r="S194" s="430"/>
      <c r="T194" s="224">
        <f t="shared" si="174"/>
        <v>0</v>
      </c>
      <c r="U194" s="242">
        <f t="shared" si="174"/>
        <v>0</v>
      </c>
      <c r="V194" s="402"/>
      <c r="W194" s="79"/>
      <c r="X194" s="79"/>
      <c r="Y194" s="79"/>
      <c r="Z194" s="79"/>
      <c r="AA194" s="79"/>
      <c r="AB194" s="79"/>
      <c r="AL194" s="169">
        <f>IF(AU194=0,0,IFERROR(INDEX(RanglisteST7!K:K,MATCH(AU194,RanglisteST7!A:A,0)),0))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5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6"/>
        <v>0</v>
      </c>
      <c r="AV194" s="167">
        <f t="shared" si="177"/>
        <v>0</v>
      </c>
      <c r="AW194" s="169">
        <f t="shared" si="178"/>
        <v>0</v>
      </c>
      <c r="AX194" s="169">
        <f t="shared" si="179"/>
        <v>0</v>
      </c>
      <c r="AY194" s="169" t="str">
        <f t="shared" si="180"/>
        <v/>
      </c>
      <c r="AZ194" s="169" t="str">
        <f t="shared" si="181"/>
        <v/>
      </c>
      <c r="BA194" s="169" t="str">
        <f t="shared" si="182"/>
        <v/>
      </c>
      <c r="BB194" s="169" t="str">
        <f t="shared" si="183"/>
        <v/>
      </c>
      <c r="BC194" s="169" t="str">
        <f t="shared" si="184"/>
        <v/>
      </c>
      <c r="BD194" s="170"/>
      <c r="BE194" s="168"/>
      <c r="BF194" s="169">
        <f t="shared" si="185"/>
        <v>0</v>
      </c>
      <c r="BG194" s="169">
        <f t="shared" si="186"/>
        <v>1.9399999999999999E-7</v>
      </c>
      <c r="BH194" s="169" t="str">
        <f t="shared" si="191"/>
        <v>EMAX 1</v>
      </c>
      <c r="BI194" s="168">
        <f t="shared" si="187"/>
        <v>4</v>
      </c>
      <c r="BJ194" s="169">
        <f t="shared" si="188"/>
        <v>0</v>
      </c>
      <c r="BK194" s="169">
        <f>IF(COUNTIF(AY194:BC194,"&gt;0")&lt;Spielorte!$A$23,0,AV194/Spielorte!$A$23)</f>
        <v>0</v>
      </c>
      <c r="BL194" s="169">
        <f t="shared" si="189"/>
        <v>1.9399999999999999E-7</v>
      </c>
      <c r="BM194" s="168">
        <f t="shared" si="190"/>
        <v>4</v>
      </c>
    </row>
    <row r="195" spans="1:65" ht="16.95" customHeight="1">
      <c r="A195" s="403" t="s">
        <v>3</v>
      </c>
      <c r="B195" s="58" t="str">
        <f>IF(C195=0,"",VLOOKUP(C195,Starter!$A$1:$D$196,2,FALSE))</f>
        <v/>
      </c>
      <c r="C195" s="235"/>
      <c r="D195" s="238">
        <f t="shared" si="168"/>
        <v>0</v>
      </c>
      <c r="E195" s="221"/>
      <c r="F195" s="240">
        <f t="shared" si="169"/>
        <v>0</v>
      </c>
      <c r="G195" s="428">
        <f>IF(SUM(F195:F197)+E206=0,0,IF(ABS(SUM(F195:F197))=E206,Spielorte!$A$30/2,IF(ABS(SUM(F195:F197))&gt;E206,Spielorte!$A$30,0)))</f>
        <v>0</v>
      </c>
      <c r="H195" s="221"/>
      <c r="I195" s="240">
        <f t="shared" si="170"/>
        <v>0</v>
      </c>
      <c r="J195" s="428">
        <f>IF(SUM(I195:I197)+H206=0,0,IF(ABS(SUM(I195:I197))=H206,Spielorte!$A$30/2,IF(ABS(SUM(I195:I197))&gt;H206,Spielorte!$A$30,0)))</f>
        <v>0</v>
      </c>
      <c r="K195" s="221"/>
      <c r="L195" s="240">
        <f t="shared" si="171"/>
        <v>0</v>
      </c>
      <c r="M195" s="428">
        <f>IF(SUM(L195:L197)+K206=0,0,IF(ABS(SUM(L195:L197))=K206,Spielorte!$A$30/2,IF(ABS(SUM(L195:L197))&gt;K206,Spielorte!$A$30,0)))</f>
        <v>0</v>
      </c>
      <c r="N195" s="221"/>
      <c r="O195" s="240">
        <f t="shared" si="172"/>
        <v>0</v>
      </c>
      <c r="P195" s="428">
        <f>IF(SUM(O195:O197)+N206=0,0,IF(ABS(SUM(O195:O197))=N206,Spielorte!$A$30/2,IF(ABS(SUM(O195:O197))&gt;N206,Spielorte!$A$30,0)))</f>
        <v>0</v>
      </c>
      <c r="Q195" s="221"/>
      <c r="R195" s="240">
        <f t="shared" si="173"/>
        <v>0</v>
      </c>
      <c r="S195" s="428">
        <f>IF(SUM(R195:R197)+Q206=0,0,IF(ABS(SUM(R195:R197))=Q206,Spielorte!$A$30/2,IF(ABS(SUM(R195:R197))&gt;Q206,Spielorte!$A$30,0)))</f>
        <v>0</v>
      </c>
      <c r="T195" s="221">
        <f t="shared" si="174"/>
        <v>0</v>
      </c>
      <c r="U195" s="240">
        <f t="shared" si="174"/>
        <v>0</v>
      </c>
      <c r="V195" s="400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IF(AU195=0,0,IFERROR(INDEX(RanglisteST7!K:K,MATCH(AU195,RanglisteST7!A:A,0)),0))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5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6"/>
        <v>0</v>
      </c>
      <c r="AV195" s="167">
        <f t="shared" si="177"/>
        <v>0</v>
      </c>
      <c r="AW195" s="169">
        <f t="shared" si="178"/>
        <v>0</v>
      </c>
      <c r="AX195" s="169">
        <f t="shared" si="179"/>
        <v>0</v>
      </c>
      <c r="AY195" s="169" t="str">
        <f t="shared" si="180"/>
        <v/>
      </c>
      <c r="AZ195" s="169" t="str">
        <f t="shared" si="181"/>
        <v/>
      </c>
      <c r="BA195" s="169" t="str">
        <f t="shared" si="182"/>
        <v/>
      </c>
      <c r="BB195" s="169" t="str">
        <f t="shared" si="183"/>
        <v/>
      </c>
      <c r="BC195" s="169" t="str">
        <f t="shared" si="184"/>
        <v/>
      </c>
      <c r="BD195" s="170"/>
      <c r="BE195" s="168"/>
      <c r="BF195" s="169">
        <f t="shared" si="185"/>
        <v>0</v>
      </c>
      <c r="BG195" s="169">
        <f t="shared" si="186"/>
        <v>1.9500000000000001E-7</v>
      </c>
      <c r="BH195" s="169" t="str">
        <f t="shared" si="191"/>
        <v>EMAX 1</v>
      </c>
      <c r="BI195" s="168">
        <f t="shared" si="187"/>
        <v>3</v>
      </c>
      <c r="BJ195" s="169">
        <f t="shared" si="188"/>
        <v>0</v>
      </c>
      <c r="BK195" s="169">
        <f>IF(COUNTIF(AY195:BC195,"&gt;0")&lt;Spielorte!$A$23,0,AV195/Spielorte!$A$23)</f>
        <v>0</v>
      </c>
      <c r="BL195" s="169">
        <f t="shared" si="189"/>
        <v>1.9500000000000001E-7</v>
      </c>
      <c r="BM195" s="168">
        <f t="shared" si="190"/>
        <v>3</v>
      </c>
    </row>
    <row r="196" spans="1:65" ht="16.95" customHeight="1">
      <c r="A196" s="404"/>
      <c r="B196" s="58" t="str">
        <f>IF(C196=0,"",VLOOKUP(C196,Starter!$A$1:$D$196,2,FALSE))</f>
        <v/>
      </c>
      <c r="C196" s="233"/>
      <c r="D196" s="239">
        <f t="shared" si="168"/>
        <v>0</v>
      </c>
      <c r="E196" s="222"/>
      <c r="F196" s="241">
        <f t="shared" si="169"/>
        <v>0</v>
      </c>
      <c r="G196" s="429"/>
      <c r="H196" s="222"/>
      <c r="I196" s="241">
        <f t="shared" si="170"/>
        <v>0</v>
      </c>
      <c r="J196" s="429"/>
      <c r="K196" s="222"/>
      <c r="L196" s="241">
        <f t="shared" si="171"/>
        <v>0</v>
      </c>
      <c r="M196" s="429"/>
      <c r="N196" s="222"/>
      <c r="O196" s="241">
        <f t="shared" si="172"/>
        <v>0</v>
      </c>
      <c r="P196" s="429"/>
      <c r="Q196" s="222"/>
      <c r="R196" s="241">
        <f t="shared" si="173"/>
        <v>0</v>
      </c>
      <c r="S196" s="429"/>
      <c r="T196" s="222">
        <f t="shared" si="174"/>
        <v>0</v>
      </c>
      <c r="U196" s="241">
        <f t="shared" si="174"/>
        <v>0</v>
      </c>
      <c r="V196" s="401"/>
      <c r="W196" s="79"/>
      <c r="X196" s="79"/>
      <c r="Y196" s="79"/>
      <c r="Z196" s="79"/>
      <c r="AA196" s="79"/>
      <c r="AB196" s="79"/>
      <c r="AL196" s="169">
        <f>IF(AU196=0,0,IFERROR(INDEX(RanglisteST7!K:K,MATCH(AU196,RanglisteST7!A:A,0)),0))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5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6"/>
        <v>0</v>
      </c>
      <c r="AV196" s="167">
        <f t="shared" si="177"/>
        <v>0</v>
      </c>
      <c r="AW196" s="169">
        <f t="shared" si="178"/>
        <v>0</v>
      </c>
      <c r="AX196" s="169">
        <f t="shared" si="179"/>
        <v>0</v>
      </c>
      <c r="AY196" s="169" t="str">
        <f t="shared" si="180"/>
        <v/>
      </c>
      <c r="AZ196" s="169" t="str">
        <f t="shared" si="181"/>
        <v/>
      </c>
      <c r="BA196" s="169" t="str">
        <f t="shared" si="182"/>
        <v/>
      </c>
      <c r="BB196" s="169" t="str">
        <f t="shared" si="183"/>
        <v/>
      </c>
      <c r="BC196" s="169" t="str">
        <f t="shared" si="184"/>
        <v/>
      </c>
      <c r="BD196" s="170"/>
      <c r="BE196" s="168"/>
      <c r="BF196" s="169">
        <f t="shared" si="185"/>
        <v>0</v>
      </c>
      <c r="BG196" s="169">
        <f t="shared" si="186"/>
        <v>1.9600000000000001E-7</v>
      </c>
      <c r="BH196" s="169" t="str">
        <f t="shared" si="191"/>
        <v>EMAX 1</v>
      </c>
      <c r="BI196" s="168">
        <f t="shared" si="187"/>
        <v>2</v>
      </c>
      <c r="BJ196" s="169">
        <f t="shared" si="188"/>
        <v>0</v>
      </c>
      <c r="BK196" s="169">
        <f>IF(COUNTIF(AY196:BC196,"&gt;0")&lt;Spielorte!$A$23,0,AV196/Spielorte!$A$23)</f>
        <v>0</v>
      </c>
      <c r="BL196" s="169">
        <f t="shared" si="189"/>
        <v>1.9600000000000001E-7</v>
      </c>
      <c r="BM196" s="168">
        <f t="shared" si="190"/>
        <v>2</v>
      </c>
    </row>
    <row r="197" spans="1:65" ht="16.95" customHeight="1" thickBot="1">
      <c r="A197" s="405"/>
      <c r="B197" s="60" t="str">
        <f>IF(C197=0,"",VLOOKUP(C197,Starter!$A$1:$D$196,2,FALSE))</f>
        <v/>
      </c>
      <c r="C197" s="236"/>
      <c r="D197" s="223">
        <f t="shared" si="168"/>
        <v>0</v>
      </c>
      <c r="E197" s="224"/>
      <c r="F197" s="242">
        <f t="shared" si="169"/>
        <v>0</v>
      </c>
      <c r="G197" s="430"/>
      <c r="H197" s="224"/>
      <c r="I197" s="242">
        <f t="shared" si="170"/>
        <v>0</v>
      </c>
      <c r="J197" s="430"/>
      <c r="K197" s="224"/>
      <c r="L197" s="242">
        <f t="shared" si="171"/>
        <v>0</v>
      </c>
      <c r="M197" s="430"/>
      <c r="N197" s="224"/>
      <c r="O197" s="242">
        <f t="shared" si="172"/>
        <v>0</v>
      </c>
      <c r="P197" s="430"/>
      <c r="Q197" s="224"/>
      <c r="R197" s="242">
        <f t="shared" si="173"/>
        <v>0</v>
      </c>
      <c r="S197" s="430"/>
      <c r="T197" s="224">
        <f t="shared" si="174"/>
        <v>0</v>
      </c>
      <c r="U197" s="242">
        <f t="shared" si="174"/>
        <v>0</v>
      </c>
      <c r="V197" s="402"/>
      <c r="W197" s="79"/>
      <c r="X197" s="79"/>
      <c r="Y197" s="79"/>
      <c r="Z197" s="79"/>
      <c r="AA197" s="79"/>
      <c r="AB197" s="79"/>
      <c r="AL197" s="169">
        <f>IF(AU197=0,0,IFERROR(INDEX(RanglisteST7!K:K,MATCH(AU197,RanglisteST7!A:A,0)),0))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5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6"/>
        <v>0</v>
      </c>
      <c r="AV197" s="167">
        <f t="shared" si="177"/>
        <v>0</v>
      </c>
      <c r="AW197" s="169">
        <f t="shared" si="178"/>
        <v>0</v>
      </c>
      <c r="AX197" s="169">
        <f t="shared" si="179"/>
        <v>0</v>
      </c>
      <c r="AY197" s="169" t="str">
        <f t="shared" si="180"/>
        <v/>
      </c>
      <c r="AZ197" s="169" t="str">
        <f t="shared" si="181"/>
        <v/>
      </c>
      <c r="BA197" s="169" t="str">
        <f t="shared" si="182"/>
        <v/>
      </c>
      <c r="BB197" s="169" t="str">
        <f t="shared" si="183"/>
        <v/>
      </c>
      <c r="BC197" s="169" t="str">
        <f t="shared" si="184"/>
        <v/>
      </c>
      <c r="BD197" s="170"/>
      <c r="BE197" s="168"/>
      <c r="BF197" s="169">
        <f t="shared" si="185"/>
        <v>0</v>
      </c>
      <c r="BG197" s="169">
        <f t="shared" si="186"/>
        <v>1.97E-7</v>
      </c>
      <c r="BH197" s="169" t="str">
        <f t="shared" si="191"/>
        <v>EMAX 1</v>
      </c>
      <c r="BI197" s="168">
        <f t="shared" si="187"/>
        <v>1</v>
      </c>
      <c r="BJ197" s="169">
        <f t="shared" si="188"/>
        <v>0</v>
      </c>
      <c r="BK197" s="169">
        <f>IF(COUNTIF(AY197:BC197,"&gt;0")&lt;Spielorte!$A$23,0,AV197/Spielorte!$A$23)</f>
        <v>0</v>
      </c>
      <c r="BL197" s="169">
        <f t="shared" si="189"/>
        <v>1.97E-7</v>
      </c>
      <c r="BM197" s="168">
        <f t="shared" si="190"/>
        <v>1</v>
      </c>
    </row>
    <row r="198" spans="1:65" ht="27.75" customHeight="1" thickBot="1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>
      <c r="B201" s="231" t="s">
        <v>1790</v>
      </c>
      <c r="C201" s="210"/>
      <c r="D201" s="42"/>
      <c r="E201" s="434">
        <f>VLOOKUP($B184,Schlüssel!$A$5:$EK$12,123)</f>
        <v>2</v>
      </c>
      <c r="F201" s="435"/>
      <c r="G201" s="436"/>
      <c r="H201" s="434">
        <f>VLOOKUP($B184,Schlüssel!$A$5:$EK$12,124)</f>
        <v>7</v>
      </c>
      <c r="I201" s="435"/>
      <c r="J201" s="436"/>
      <c r="K201" s="434">
        <f>VLOOKUP($B184,Schlüssel!$A$5:$EK$12,125)</f>
        <v>6</v>
      </c>
      <c r="L201" s="435"/>
      <c r="M201" s="436"/>
      <c r="N201" s="434">
        <f>VLOOKUP($B184,Schlüssel!$A$5:$EK$12,126)</f>
        <v>1</v>
      </c>
      <c r="O201" s="435"/>
      <c r="P201" s="436"/>
      <c r="Q201" s="434">
        <f>VLOOKUP($B184,Schlüssel!$A$5:$EK$12,127)</f>
        <v>4</v>
      </c>
      <c r="R201" s="435"/>
      <c r="S201" s="436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>
      <c r="B202" s="3" t="s">
        <v>9</v>
      </c>
      <c r="C202" s="1"/>
      <c r="D202" s="1"/>
      <c r="E202" s="395" t="str">
        <f>VLOOKUP(E201,Schlüssel!$A$5:$K$12,2)</f>
        <v>Highroller Rosenheim 1</v>
      </c>
      <c r="F202" s="438"/>
      <c r="G202" s="396"/>
      <c r="H202" s="395" t="str">
        <f>VLOOKUP(H201,Schlüssel!$A$5:$K$12,2)</f>
        <v>BK München 1</v>
      </c>
      <c r="I202" s="438"/>
      <c r="J202" s="396"/>
      <c r="K202" s="395" t="str">
        <f>VLOOKUP(K201,Schlüssel!$A$5:$K$12,2)</f>
        <v>Bowling Jugend Bayern 1</v>
      </c>
      <c r="L202" s="438"/>
      <c r="M202" s="396"/>
      <c r="N202" s="395" t="str">
        <f>VLOOKUP(N201,Schlüssel!$A$5:$K$12,2)</f>
        <v>Bad Tölz 1</v>
      </c>
      <c r="O202" s="438"/>
      <c r="P202" s="396"/>
      <c r="Q202" s="395" t="str">
        <f>VLOOKUP(Q201,Schlüssel!$A$5:$K$12,2)</f>
        <v>Highroller Rosenheim 3</v>
      </c>
      <c r="R202" s="438"/>
      <c r="S202" s="396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" customHeight="1">
      <c r="B204" s="417" t="s">
        <v>2275</v>
      </c>
      <c r="C204" s="418"/>
      <c r="D204" s="419"/>
      <c r="E204" s="431">
        <f>ABS(INDEX(F:F,MATCH(E201,$B:$B,0)+5)+INDEX(F:F,MATCH(E201,$B:$B,0)+6)+INDEX(F:F,MATCH(E201,$B:$B,0)+7))</f>
        <v>0</v>
      </c>
      <c r="F204" s="432"/>
      <c r="G204" s="433"/>
      <c r="H204" s="431">
        <f>ABS(INDEX(I:I,MATCH(H201,$B:$B,0)+5)+INDEX(I:I,MATCH(H201,$B:$B,0)+6)+INDEX(I:I,MATCH(H201,$B:$B,0)+7))</f>
        <v>0</v>
      </c>
      <c r="I204" s="432"/>
      <c r="J204" s="433"/>
      <c r="K204" s="431">
        <f>ABS(INDEX(L:L,MATCH(K201,$B:$B,0)+5)+INDEX(L:L,MATCH(K201,$B:$B,0)+6)+INDEX(L:L,MATCH(K201,$B:$B,0)+7))</f>
        <v>0</v>
      </c>
      <c r="L204" s="432"/>
      <c r="M204" s="433"/>
      <c r="N204" s="431">
        <f>ABS(INDEX(O:O,MATCH(N201,$B:$B,0)+5)+INDEX(O:O,MATCH(N201,$B:$B,0)+6)+INDEX(O:O,MATCH(N201,$B:$B,0)+7))</f>
        <v>0</v>
      </c>
      <c r="O204" s="432"/>
      <c r="P204" s="433"/>
      <c r="Q204" s="431">
        <f>ABS(INDEX(R:R,MATCH(Q201,$B:$B,0)+5)+INDEX(R:R,MATCH(Q201,$B:$B,0)+6)+INDEX(R:R,MATCH(Q201,$B:$B,0)+7))</f>
        <v>0</v>
      </c>
      <c r="R204" s="432"/>
      <c r="S204" s="433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" customHeight="1">
      <c r="B205" s="417" t="s">
        <v>2276</v>
      </c>
      <c r="C205" s="418"/>
      <c r="D205" s="419"/>
      <c r="E205" s="424">
        <f>ABS(INDEX(F:F,MATCH(E201,$B:$B,0)+8)+INDEX(F:F,MATCH(E201,$B:$B,0)+9)+INDEX(F:F,MATCH(E201,$B:$B,0)+10))</f>
        <v>0</v>
      </c>
      <c r="F205" s="425"/>
      <c r="G205" s="426"/>
      <c r="H205" s="424">
        <f>ABS(INDEX(I:I,MATCH(H201,$B:$B,0)+8)+INDEX(I:I,MATCH(H201,$B:$B,0)+9)+INDEX(I:I,MATCH(H201,$B:$B,0)+10))</f>
        <v>0</v>
      </c>
      <c r="I205" s="425"/>
      <c r="J205" s="426"/>
      <c r="K205" s="424">
        <f>ABS(INDEX(L:L,MATCH(K201,$B:$B,0)+8)+INDEX(L:L,MATCH(K201,$B:$B,0)+9)+INDEX(L:L,MATCH(K201,$B:$B,0)+10))</f>
        <v>0</v>
      </c>
      <c r="L205" s="425"/>
      <c r="M205" s="426"/>
      <c r="N205" s="424">
        <f>ABS(INDEX(O:O,MATCH(N201,$B:$B,0)+8)+INDEX(O:O,MATCH(N201,$B:$B,0)+9)+INDEX(O:O,MATCH(N201,$B:$B,0)+10))</f>
        <v>0</v>
      </c>
      <c r="O205" s="425"/>
      <c r="P205" s="426"/>
      <c r="Q205" s="424">
        <f>ABS(INDEX(R:R,MATCH(Q201,$B:$B,0)+8)+INDEX(R:R,MATCH(Q201,$B:$B,0)+9)+INDEX(R:R,MATCH(Q201,$B:$B,0)+10))</f>
        <v>0</v>
      </c>
      <c r="R205" s="425"/>
      <c r="S205" s="426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" customHeight="1">
      <c r="B206" s="417" t="s">
        <v>2277</v>
      </c>
      <c r="C206" s="418"/>
      <c r="D206" s="419"/>
      <c r="E206" s="424">
        <f>ABS(INDEX(F:F,MATCH(E201,$B:$B,0)+11)+INDEX(F:F,MATCH(E201,$B:$B,0)+12)+INDEX(F:F,MATCH(E201,$B:$B,0)+13))</f>
        <v>0</v>
      </c>
      <c r="F206" s="425"/>
      <c r="G206" s="426"/>
      <c r="H206" s="424">
        <f>ABS(INDEX(I:I,MATCH(H201,$B:$B,0)+11)+INDEX(I:I,MATCH(H201,$B:$B,0)+12)+INDEX(I:I,MATCH(H201,$B:$B,0)+13))</f>
        <v>0</v>
      </c>
      <c r="I206" s="425"/>
      <c r="J206" s="426"/>
      <c r="K206" s="424">
        <f>ABS(INDEX(L:L,MATCH(K201,$B:$B,0)+11)+INDEX(L:L,MATCH(K201,$B:$B,0)+12)+INDEX(L:L,MATCH(K201,$B:$B,0)+13))</f>
        <v>0</v>
      </c>
      <c r="L206" s="425"/>
      <c r="M206" s="426"/>
      <c r="N206" s="424">
        <f>ABS(INDEX(O:O,MATCH(N201,$B:$B,0)+11)+INDEX(O:O,MATCH(N201,$B:$B,0)+12)+INDEX(O:O,MATCH(N201,$B:$B,0)+13))</f>
        <v>0</v>
      </c>
      <c r="O206" s="425"/>
      <c r="P206" s="426"/>
      <c r="Q206" s="424">
        <f>ABS(INDEX(R:R,MATCH(Q201,$B:$B,0)+11)+INDEX(R:R,MATCH(Q201,$B:$B,0)+12)+INDEX(R:R,MATCH(Q201,$B:$B,0)+13))</f>
        <v>0</v>
      </c>
      <c r="R206" s="425"/>
      <c r="S206" s="426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" customHeight="1">
      <c r="B207" s="420" t="s">
        <v>2278</v>
      </c>
      <c r="C207" s="421"/>
      <c r="D207" s="422"/>
      <c r="E207" s="407">
        <f>SUM(E204:E206)</f>
        <v>0</v>
      </c>
      <c r="F207" s="423"/>
      <c r="G207" s="408"/>
      <c r="H207" s="407">
        <f>SUM(H204:H206)</f>
        <v>0</v>
      </c>
      <c r="I207" s="423"/>
      <c r="J207" s="408"/>
      <c r="K207" s="407">
        <f>SUM(K204:K206)</f>
        <v>0</v>
      </c>
      <c r="L207" s="423"/>
      <c r="M207" s="408"/>
      <c r="N207" s="407">
        <f>SUM(N204:N206)</f>
        <v>0</v>
      </c>
      <c r="O207" s="423"/>
      <c r="P207" s="408"/>
      <c r="Q207" s="407">
        <f>SUM(Q204:Q206)</f>
        <v>0</v>
      </c>
      <c r="R207" s="423"/>
      <c r="S207" s="408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T5:V5"/>
    <mergeCell ref="A7:A9"/>
    <mergeCell ref="G7:G9"/>
    <mergeCell ref="J7:J9"/>
    <mergeCell ref="M7:M9"/>
    <mergeCell ref="P7:P9"/>
    <mergeCell ref="S7:S9"/>
    <mergeCell ref="V7:V9"/>
    <mergeCell ref="G1:R1"/>
    <mergeCell ref="S1:V1"/>
    <mergeCell ref="G2:O2"/>
    <mergeCell ref="Q2:R2"/>
    <mergeCell ref="B3:G3"/>
    <mergeCell ref="E5:G5"/>
    <mergeCell ref="H5:J5"/>
    <mergeCell ref="K5:M5"/>
    <mergeCell ref="N5:P5"/>
    <mergeCell ref="Q5:S5"/>
    <mergeCell ref="V10:V12"/>
    <mergeCell ref="A13:A15"/>
    <mergeCell ref="G13:G15"/>
    <mergeCell ref="J13:J15"/>
    <mergeCell ref="M13:M15"/>
    <mergeCell ref="P13:P15"/>
    <mergeCell ref="S13:S15"/>
    <mergeCell ref="V13:V15"/>
    <mergeCell ref="A10:A12"/>
    <mergeCell ref="G10:G12"/>
    <mergeCell ref="J10:J12"/>
    <mergeCell ref="M10:M12"/>
    <mergeCell ref="P10:P12"/>
    <mergeCell ref="S10:S12"/>
    <mergeCell ref="E19:G19"/>
    <mergeCell ref="H19:J19"/>
    <mergeCell ref="K19:M19"/>
    <mergeCell ref="N19:P19"/>
    <mergeCell ref="Q19:S19"/>
    <mergeCell ref="E20:G20"/>
    <mergeCell ref="H20:J20"/>
    <mergeCell ref="K20:M20"/>
    <mergeCell ref="N20:P20"/>
    <mergeCell ref="Q20:S20"/>
    <mergeCell ref="B23:D23"/>
    <mergeCell ref="E23:G23"/>
    <mergeCell ref="H23:J23"/>
    <mergeCell ref="K23:M23"/>
    <mergeCell ref="N23:P23"/>
    <mergeCell ref="Q23:S23"/>
    <mergeCell ref="B22:D22"/>
    <mergeCell ref="E22:G22"/>
    <mergeCell ref="H22:J22"/>
    <mergeCell ref="K22:M22"/>
    <mergeCell ref="N22:P22"/>
    <mergeCell ref="Q22:S22"/>
    <mergeCell ref="B25:D25"/>
    <mergeCell ref="E25:G25"/>
    <mergeCell ref="H25:J25"/>
    <mergeCell ref="K25:M25"/>
    <mergeCell ref="N25:P25"/>
    <mergeCell ref="Q25:S25"/>
    <mergeCell ref="B24:D24"/>
    <mergeCell ref="E24:G24"/>
    <mergeCell ref="H24:J24"/>
    <mergeCell ref="K24:M24"/>
    <mergeCell ref="N24:P24"/>
    <mergeCell ref="Q24:S24"/>
    <mergeCell ref="T31:V31"/>
    <mergeCell ref="A33:A35"/>
    <mergeCell ref="G33:G35"/>
    <mergeCell ref="J33:J35"/>
    <mergeCell ref="M33:M35"/>
    <mergeCell ref="P33:P35"/>
    <mergeCell ref="S33:S35"/>
    <mergeCell ref="V33:V35"/>
    <mergeCell ref="G27:R27"/>
    <mergeCell ref="S27:V27"/>
    <mergeCell ref="G28:O28"/>
    <mergeCell ref="Q28:R28"/>
    <mergeCell ref="B29:G29"/>
    <mergeCell ref="E31:G31"/>
    <mergeCell ref="H31:J31"/>
    <mergeCell ref="K31:M31"/>
    <mergeCell ref="N31:P31"/>
    <mergeCell ref="Q31:S31"/>
    <mergeCell ref="V36:V38"/>
    <mergeCell ref="A39:A41"/>
    <mergeCell ref="G39:G41"/>
    <mergeCell ref="J39:J41"/>
    <mergeCell ref="M39:M41"/>
    <mergeCell ref="P39:P41"/>
    <mergeCell ref="S39:S41"/>
    <mergeCell ref="V39:V41"/>
    <mergeCell ref="A36:A38"/>
    <mergeCell ref="G36:G38"/>
    <mergeCell ref="J36:J38"/>
    <mergeCell ref="M36:M38"/>
    <mergeCell ref="P36:P38"/>
    <mergeCell ref="S36:S38"/>
    <mergeCell ref="E45:G45"/>
    <mergeCell ref="H45:J45"/>
    <mergeCell ref="K45:M45"/>
    <mergeCell ref="N45:P45"/>
    <mergeCell ref="Q45:S45"/>
    <mergeCell ref="E46:G46"/>
    <mergeCell ref="H46:J46"/>
    <mergeCell ref="K46:M46"/>
    <mergeCell ref="N46:P46"/>
    <mergeCell ref="Q46:S46"/>
    <mergeCell ref="B49:D49"/>
    <mergeCell ref="E49:G49"/>
    <mergeCell ref="H49:J49"/>
    <mergeCell ref="K49:M49"/>
    <mergeCell ref="N49:P49"/>
    <mergeCell ref="Q49:S49"/>
    <mergeCell ref="B48:D48"/>
    <mergeCell ref="E48:G48"/>
    <mergeCell ref="H48:J48"/>
    <mergeCell ref="K48:M48"/>
    <mergeCell ref="N48:P48"/>
    <mergeCell ref="Q48:S48"/>
    <mergeCell ref="B51:D51"/>
    <mergeCell ref="E51:G51"/>
    <mergeCell ref="H51:J51"/>
    <mergeCell ref="K51:M51"/>
    <mergeCell ref="N51:P51"/>
    <mergeCell ref="Q51:S51"/>
    <mergeCell ref="B50:D50"/>
    <mergeCell ref="E50:G50"/>
    <mergeCell ref="H50:J50"/>
    <mergeCell ref="K50:M50"/>
    <mergeCell ref="N50:P50"/>
    <mergeCell ref="Q50:S50"/>
    <mergeCell ref="T57:V57"/>
    <mergeCell ref="A59:A61"/>
    <mergeCell ref="G59:G61"/>
    <mergeCell ref="J59:J61"/>
    <mergeCell ref="M59:M61"/>
    <mergeCell ref="P59:P61"/>
    <mergeCell ref="S59:S61"/>
    <mergeCell ref="V59:V61"/>
    <mergeCell ref="G53:R53"/>
    <mergeCell ref="S53:V53"/>
    <mergeCell ref="G54:O54"/>
    <mergeCell ref="Q54:R54"/>
    <mergeCell ref="B55:G55"/>
    <mergeCell ref="E57:G57"/>
    <mergeCell ref="H57:J57"/>
    <mergeCell ref="K57:M57"/>
    <mergeCell ref="N57:P57"/>
    <mergeCell ref="Q57:S57"/>
    <mergeCell ref="V62:V64"/>
    <mergeCell ref="A65:A67"/>
    <mergeCell ref="G65:G67"/>
    <mergeCell ref="J65:J67"/>
    <mergeCell ref="M65:M67"/>
    <mergeCell ref="P65:P67"/>
    <mergeCell ref="S65:S67"/>
    <mergeCell ref="V65:V67"/>
    <mergeCell ref="A62:A64"/>
    <mergeCell ref="G62:G64"/>
    <mergeCell ref="J62:J64"/>
    <mergeCell ref="M62:M64"/>
    <mergeCell ref="P62:P64"/>
    <mergeCell ref="S62:S64"/>
    <mergeCell ref="E71:G71"/>
    <mergeCell ref="H71:J71"/>
    <mergeCell ref="K71:M71"/>
    <mergeCell ref="N71:P71"/>
    <mergeCell ref="Q71:S71"/>
    <mergeCell ref="E72:G72"/>
    <mergeCell ref="H72:J72"/>
    <mergeCell ref="K72:M72"/>
    <mergeCell ref="N72:P72"/>
    <mergeCell ref="Q72:S72"/>
    <mergeCell ref="B75:D75"/>
    <mergeCell ref="E75:G75"/>
    <mergeCell ref="H75:J75"/>
    <mergeCell ref="K75:M75"/>
    <mergeCell ref="N75:P75"/>
    <mergeCell ref="Q75:S75"/>
    <mergeCell ref="B74:D74"/>
    <mergeCell ref="E74:G74"/>
    <mergeCell ref="H74:J74"/>
    <mergeCell ref="K74:M74"/>
    <mergeCell ref="N74:P74"/>
    <mergeCell ref="Q74:S74"/>
    <mergeCell ref="B77:D77"/>
    <mergeCell ref="E77:G77"/>
    <mergeCell ref="H77:J77"/>
    <mergeCell ref="K77:M77"/>
    <mergeCell ref="N77:P77"/>
    <mergeCell ref="Q77:S77"/>
    <mergeCell ref="B76:D76"/>
    <mergeCell ref="E76:G76"/>
    <mergeCell ref="H76:J76"/>
    <mergeCell ref="K76:M76"/>
    <mergeCell ref="N76:P76"/>
    <mergeCell ref="Q76:S76"/>
    <mergeCell ref="T83:V83"/>
    <mergeCell ref="A85:A87"/>
    <mergeCell ref="G85:G87"/>
    <mergeCell ref="J85:J87"/>
    <mergeCell ref="M85:M87"/>
    <mergeCell ref="P85:P87"/>
    <mergeCell ref="S85:S87"/>
    <mergeCell ref="V85:V87"/>
    <mergeCell ref="G79:R79"/>
    <mergeCell ref="S79:V79"/>
    <mergeCell ref="G80:O80"/>
    <mergeCell ref="Q80:R80"/>
    <mergeCell ref="B81:G81"/>
    <mergeCell ref="E83:G83"/>
    <mergeCell ref="H83:J83"/>
    <mergeCell ref="K83:M83"/>
    <mergeCell ref="N83:P83"/>
    <mergeCell ref="Q83:S83"/>
    <mergeCell ref="V88:V90"/>
    <mergeCell ref="A91:A93"/>
    <mergeCell ref="G91:G93"/>
    <mergeCell ref="J91:J93"/>
    <mergeCell ref="M91:M93"/>
    <mergeCell ref="P91:P93"/>
    <mergeCell ref="S91:S93"/>
    <mergeCell ref="V91:V93"/>
    <mergeCell ref="A88:A90"/>
    <mergeCell ref="G88:G90"/>
    <mergeCell ref="J88:J90"/>
    <mergeCell ref="M88:M90"/>
    <mergeCell ref="P88:P90"/>
    <mergeCell ref="S88:S90"/>
    <mergeCell ref="E97:G97"/>
    <mergeCell ref="H97:J97"/>
    <mergeCell ref="K97:M97"/>
    <mergeCell ref="N97:P97"/>
    <mergeCell ref="Q97:S97"/>
    <mergeCell ref="E98:G98"/>
    <mergeCell ref="H98:J98"/>
    <mergeCell ref="K98:M98"/>
    <mergeCell ref="N98:P98"/>
    <mergeCell ref="Q98:S98"/>
    <mergeCell ref="B101:D101"/>
    <mergeCell ref="E101:G101"/>
    <mergeCell ref="H101:J101"/>
    <mergeCell ref="K101:M101"/>
    <mergeCell ref="N101:P101"/>
    <mergeCell ref="Q101:S101"/>
    <mergeCell ref="B100:D100"/>
    <mergeCell ref="E100:G100"/>
    <mergeCell ref="H100:J100"/>
    <mergeCell ref="K100:M100"/>
    <mergeCell ref="N100:P100"/>
    <mergeCell ref="Q100:S100"/>
    <mergeCell ref="B103:D103"/>
    <mergeCell ref="E103:G103"/>
    <mergeCell ref="H103:J103"/>
    <mergeCell ref="K103:M103"/>
    <mergeCell ref="N103:P103"/>
    <mergeCell ref="Q103:S103"/>
    <mergeCell ref="B102:D102"/>
    <mergeCell ref="E102:G102"/>
    <mergeCell ref="H102:J102"/>
    <mergeCell ref="K102:M102"/>
    <mergeCell ref="N102:P102"/>
    <mergeCell ref="Q102:S102"/>
    <mergeCell ref="T109:V109"/>
    <mergeCell ref="A111:A113"/>
    <mergeCell ref="G111:G113"/>
    <mergeCell ref="J111:J113"/>
    <mergeCell ref="M111:M113"/>
    <mergeCell ref="P111:P113"/>
    <mergeCell ref="S111:S113"/>
    <mergeCell ref="V111:V113"/>
    <mergeCell ref="G105:R105"/>
    <mergeCell ref="S105:V105"/>
    <mergeCell ref="G106:O106"/>
    <mergeCell ref="Q106:R106"/>
    <mergeCell ref="B107:G107"/>
    <mergeCell ref="E109:G109"/>
    <mergeCell ref="H109:J109"/>
    <mergeCell ref="K109:M109"/>
    <mergeCell ref="N109:P109"/>
    <mergeCell ref="Q109:S109"/>
    <mergeCell ref="V114:V116"/>
    <mergeCell ref="A117:A119"/>
    <mergeCell ref="G117:G119"/>
    <mergeCell ref="J117:J119"/>
    <mergeCell ref="M117:M119"/>
    <mergeCell ref="P117:P119"/>
    <mergeCell ref="S117:S119"/>
    <mergeCell ref="V117:V119"/>
    <mergeCell ref="A114:A116"/>
    <mergeCell ref="G114:G116"/>
    <mergeCell ref="J114:J116"/>
    <mergeCell ref="M114:M116"/>
    <mergeCell ref="P114:P116"/>
    <mergeCell ref="S114:S116"/>
    <mergeCell ref="E123:G123"/>
    <mergeCell ref="H123:J123"/>
    <mergeCell ref="K123:M123"/>
    <mergeCell ref="N123:P123"/>
    <mergeCell ref="Q123:S123"/>
    <mergeCell ref="E124:G124"/>
    <mergeCell ref="H124:J124"/>
    <mergeCell ref="K124:M124"/>
    <mergeCell ref="N124:P124"/>
    <mergeCell ref="Q124:S124"/>
    <mergeCell ref="B127:D127"/>
    <mergeCell ref="E127:G127"/>
    <mergeCell ref="H127:J127"/>
    <mergeCell ref="K127:M127"/>
    <mergeCell ref="N127:P127"/>
    <mergeCell ref="Q127:S127"/>
    <mergeCell ref="B126:D126"/>
    <mergeCell ref="E126:G126"/>
    <mergeCell ref="H126:J126"/>
    <mergeCell ref="K126:M126"/>
    <mergeCell ref="N126:P126"/>
    <mergeCell ref="Q126:S126"/>
    <mergeCell ref="B129:D129"/>
    <mergeCell ref="E129:G129"/>
    <mergeCell ref="H129:J129"/>
    <mergeCell ref="K129:M129"/>
    <mergeCell ref="N129:P129"/>
    <mergeCell ref="Q129:S129"/>
    <mergeCell ref="B128:D128"/>
    <mergeCell ref="E128:G128"/>
    <mergeCell ref="H128:J128"/>
    <mergeCell ref="K128:M128"/>
    <mergeCell ref="N128:P128"/>
    <mergeCell ref="Q128:S128"/>
    <mergeCell ref="T135:V135"/>
    <mergeCell ref="A137:A139"/>
    <mergeCell ref="G137:G139"/>
    <mergeCell ref="J137:J139"/>
    <mergeCell ref="M137:M139"/>
    <mergeCell ref="P137:P139"/>
    <mergeCell ref="S137:S139"/>
    <mergeCell ref="V137:V139"/>
    <mergeCell ref="G131:R131"/>
    <mergeCell ref="S131:V131"/>
    <mergeCell ref="G132:O132"/>
    <mergeCell ref="Q132:R132"/>
    <mergeCell ref="B133:G133"/>
    <mergeCell ref="E135:G135"/>
    <mergeCell ref="H135:J135"/>
    <mergeCell ref="K135:M135"/>
    <mergeCell ref="N135:P135"/>
    <mergeCell ref="Q135:S135"/>
    <mergeCell ref="V140:V142"/>
    <mergeCell ref="A143:A145"/>
    <mergeCell ref="G143:G145"/>
    <mergeCell ref="J143:J145"/>
    <mergeCell ref="M143:M145"/>
    <mergeCell ref="P143:P145"/>
    <mergeCell ref="S143:S145"/>
    <mergeCell ref="V143:V145"/>
    <mergeCell ref="A140:A142"/>
    <mergeCell ref="G140:G142"/>
    <mergeCell ref="J140:J142"/>
    <mergeCell ref="M140:M142"/>
    <mergeCell ref="P140:P142"/>
    <mergeCell ref="S140:S142"/>
    <mergeCell ref="E149:G149"/>
    <mergeCell ref="H149:J149"/>
    <mergeCell ref="K149:M149"/>
    <mergeCell ref="N149:P149"/>
    <mergeCell ref="Q149:S149"/>
    <mergeCell ref="E150:G150"/>
    <mergeCell ref="H150:J150"/>
    <mergeCell ref="K150:M150"/>
    <mergeCell ref="N150:P150"/>
    <mergeCell ref="Q150:S150"/>
    <mergeCell ref="B153:D153"/>
    <mergeCell ref="E153:G153"/>
    <mergeCell ref="H153:J153"/>
    <mergeCell ref="K153:M153"/>
    <mergeCell ref="N153:P153"/>
    <mergeCell ref="Q153:S153"/>
    <mergeCell ref="B152:D152"/>
    <mergeCell ref="E152:G152"/>
    <mergeCell ref="H152:J152"/>
    <mergeCell ref="K152:M152"/>
    <mergeCell ref="N152:P152"/>
    <mergeCell ref="Q152:S152"/>
    <mergeCell ref="B155:D155"/>
    <mergeCell ref="E155:G155"/>
    <mergeCell ref="H155:J155"/>
    <mergeCell ref="K155:M155"/>
    <mergeCell ref="N155:P155"/>
    <mergeCell ref="Q155:S155"/>
    <mergeCell ref="B154:D154"/>
    <mergeCell ref="E154:G154"/>
    <mergeCell ref="H154:J154"/>
    <mergeCell ref="K154:M154"/>
    <mergeCell ref="N154:P154"/>
    <mergeCell ref="Q154:S154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A166:A168"/>
    <mergeCell ref="G166:G168"/>
    <mergeCell ref="J166:J168"/>
    <mergeCell ref="M166:M168"/>
    <mergeCell ref="P166:P168"/>
    <mergeCell ref="S166:S168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9:D179"/>
    <mergeCell ref="E179:G179"/>
    <mergeCell ref="H179:J179"/>
    <mergeCell ref="K179:M179"/>
    <mergeCell ref="N179:P179"/>
    <mergeCell ref="Q179:S179"/>
    <mergeCell ref="B178:D178"/>
    <mergeCell ref="E178:G178"/>
    <mergeCell ref="H178:J178"/>
    <mergeCell ref="K178:M178"/>
    <mergeCell ref="N178:P178"/>
    <mergeCell ref="Q178:S178"/>
    <mergeCell ref="B181:D181"/>
    <mergeCell ref="E181:G181"/>
    <mergeCell ref="H181:J181"/>
    <mergeCell ref="K181:M181"/>
    <mergeCell ref="N181:P181"/>
    <mergeCell ref="Q181:S181"/>
    <mergeCell ref="B180:D180"/>
    <mergeCell ref="E180:G180"/>
    <mergeCell ref="H180:J180"/>
    <mergeCell ref="K180:M180"/>
    <mergeCell ref="N180:P180"/>
    <mergeCell ref="Q180:S180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A192:A194"/>
    <mergeCell ref="G192:G194"/>
    <mergeCell ref="J192:J194"/>
    <mergeCell ref="M192:M194"/>
    <mergeCell ref="P192:P194"/>
    <mergeCell ref="S192:S194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5:D205"/>
    <mergeCell ref="E205:G205"/>
    <mergeCell ref="H205:J205"/>
    <mergeCell ref="K205:M205"/>
    <mergeCell ref="N205:P205"/>
    <mergeCell ref="Q205:S205"/>
    <mergeCell ref="B204:D204"/>
    <mergeCell ref="E204:G204"/>
    <mergeCell ref="H204:J204"/>
    <mergeCell ref="K204:M204"/>
    <mergeCell ref="N204:P204"/>
    <mergeCell ref="Q204:S204"/>
    <mergeCell ref="B207:D207"/>
    <mergeCell ref="E207:G207"/>
    <mergeCell ref="H207:J207"/>
    <mergeCell ref="K207:M207"/>
    <mergeCell ref="N207:P207"/>
    <mergeCell ref="Q207:S207"/>
    <mergeCell ref="B206:D206"/>
    <mergeCell ref="E206:G206"/>
    <mergeCell ref="H206:J206"/>
    <mergeCell ref="K206:M206"/>
    <mergeCell ref="N206:P206"/>
    <mergeCell ref="Q206:S206"/>
  </mergeCells>
  <conditionalFormatting sqref="D7:D15">
    <cfRule type="cellIs" dxfId="58" priority="72" stopIfTrue="1" operator="equal">
      <formula>0</formula>
    </cfRule>
  </conditionalFormatting>
  <conditionalFormatting sqref="D33:D41">
    <cfRule type="cellIs" dxfId="57" priority="63" stopIfTrue="1" operator="equal">
      <formula>0</formula>
    </cfRule>
  </conditionalFormatting>
  <conditionalFormatting sqref="D59:D67">
    <cfRule type="cellIs" dxfId="56" priority="54" stopIfTrue="1" operator="equal">
      <formula>0</formula>
    </cfRule>
  </conditionalFormatting>
  <conditionalFormatting sqref="D85:D93">
    <cfRule type="cellIs" dxfId="55" priority="45" stopIfTrue="1" operator="equal">
      <formula>0</formula>
    </cfRule>
  </conditionalFormatting>
  <conditionalFormatting sqref="D111:D119">
    <cfRule type="cellIs" dxfId="54" priority="36" stopIfTrue="1" operator="equal">
      <formula>0</formula>
    </cfRule>
  </conditionalFormatting>
  <conditionalFormatting sqref="D137:D145">
    <cfRule type="cellIs" dxfId="53" priority="27" stopIfTrue="1" operator="equal">
      <formula>0</formula>
    </cfRule>
  </conditionalFormatting>
  <conditionalFormatting sqref="D163:D171">
    <cfRule type="cellIs" dxfId="52" priority="18" stopIfTrue="1" operator="equal">
      <formula>0</formula>
    </cfRule>
  </conditionalFormatting>
  <conditionalFormatting sqref="D189:D197">
    <cfRule type="cellIs" dxfId="51" priority="9" stopIfTrue="1" operator="equal">
      <formula>0</formula>
    </cfRule>
  </conditionalFormatting>
  <conditionalFormatting sqref="F7:F15">
    <cfRule type="cellIs" dxfId="50" priority="71" stopIfTrue="1" operator="equal">
      <formula>0</formula>
    </cfRule>
  </conditionalFormatting>
  <conditionalFormatting sqref="F33:F41">
    <cfRule type="cellIs" dxfId="49" priority="62" stopIfTrue="1" operator="equal">
      <formula>0</formula>
    </cfRule>
  </conditionalFormatting>
  <conditionalFormatting sqref="F59:F67">
    <cfRule type="cellIs" dxfId="48" priority="53" stopIfTrue="1" operator="equal">
      <formula>0</formula>
    </cfRule>
  </conditionalFormatting>
  <conditionalFormatting sqref="F85:F93">
    <cfRule type="cellIs" dxfId="47" priority="44" stopIfTrue="1" operator="equal">
      <formula>0</formula>
    </cfRule>
  </conditionalFormatting>
  <conditionalFormatting sqref="F111:F119">
    <cfRule type="cellIs" dxfId="46" priority="35" stopIfTrue="1" operator="equal">
      <formula>0</formula>
    </cfRule>
  </conditionalFormatting>
  <conditionalFormatting sqref="F137:F145">
    <cfRule type="cellIs" dxfId="45" priority="26" stopIfTrue="1" operator="equal">
      <formula>0</formula>
    </cfRule>
  </conditionalFormatting>
  <conditionalFormatting sqref="F163:F171">
    <cfRule type="cellIs" dxfId="44" priority="17" stopIfTrue="1" operator="equal">
      <formula>0</formula>
    </cfRule>
  </conditionalFormatting>
  <conditionalFormatting sqref="F189:F197">
    <cfRule type="cellIs" dxfId="43" priority="8" stopIfTrue="1" operator="equal">
      <formula>0</formula>
    </cfRule>
  </conditionalFormatting>
  <conditionalFormatting sqref="I7:I15">
    <cfRule type="cellIs" dxfId="42" priority="70" stopIfTrue="1" operator="equal">
      <formula>0</formula>
    </cfRule>
  </conditionalFormatting>
  <conditionalFormatting sqref="I33:I41">
    <cfRule type="cellIs" dxfId="41" priority="61" stopIfTrue="1" operator="equal">
      <formula>0</formula>
    </cfRule>
  </conditionalFormatting>
  <conditionalFormatting sqref="I59:I67">
    <cfRule type="cellIs" dxfId="40" priority="52" stopIfTrue="1" operator="equal">
      <formula>0</formula>
    </cfRule>
  </conditionalFormatting>
  <conditionalFormatting sqref="I85:I93">
    <cfRule type="cellIs" dxfId="39" priority="43" stopIfTrue="1" operator="equal">
      <formula>0</formula>
    </cfRule>
  </conditionalFormatting>
  <conditionalFormatting sqref="I111:I119">
    <cfRule type="cellIs" dxfId="38" priority="34" stopIfTrue="1" operator="equal">
      <formula>0</formula>
    </cfRule>
  </conditionalFormatting>
  <conditionalFormatting sqref="I137:I145">
    <cfRule type="cellIs" dxfId="37" priority="25" stopIfTrue="1" operator="equal">
      <formula>0</formula>
    </cfRule>
  </conditionalFormatting>
  <conditionalFormatting sqref="I163:I171">
    <cfRule type="cellIs" dxfId="36" priority="16" stopIfTrue="1" operator="equal">
      <formula>0</formula>
    </cfRule>
  </conditionalFormatting>
  <conditionalFormatting sqref="I189:I197">
    <cfRule type="cellIs" dxfId="35" priority="7" stopIfTrue="1" operator="equal">
      <formula>0</formula>
    </cfRule>
  </conditionalFormatting>
  <conditionalFormatting sqref="L7:L15">
    <cfRule type="cellIs" dxfId="34" priority="69" stopIfTrue="1" operator="equal">
      <formula>0</formula>
    </cfRule>
  </conditionalFormatting>
  <conditionalFormatting sqref="L33:L41">
    <cfRule type="cellIs" dxfId="33" priority="60" stopIfTrue="1" operator="equal">
      <formula>0</formula>
    </cfRule>
  </conditionalFormatting>
  <conditionalFormatting sqref="L59:L67">
    <cfRule type="cellIs" dxfId="32" priority="51" stopIfTrue="1" operator="equal">
      <formula>0</formula>
    </cfRule>
  </conditionalFormatting>
  <conditionalFormatting sqref="L85:L93">
    <cfRule type="cellIs" dxfId="31" priority="42" stopIfTrue="1" operator="equal">
      <formula>0</formula>
    </cfRule>
  </conditionalFormatting>
  <conditionalFormatting sqref="L111:L119">
    <cfRule type="cellIs" dxfId="30" priority="33" stopIfTrue="1" operator="equal">
      <formula>0</formula>
    </cfRule>
  </conditionalFormatting>
  <conditionalFormatting sqref="L137:L145">
    <cfRule type="cellIs" dxfId="29" priority="24" stopIfTrue="1" operator="equal">
      <formula>0</formula>
    </cfRule>
  </conditionalFormatting>
  <conditionalFormatting sqref="L163:L171">
    <cfRule type="cellIs" dxfId="28" priority="15" stopIfTrue="1" operator="equal">
      <formula>0</formula>
    </cfRule>
  </conditionalFormatting>
  <conditionalFormatting sqref="L189:L197">
    <cfRule type="cellIs" dxfId="27" priority="6" stopIfTrue="1" operator="equal">
      <formula>0</formula>
    </cfRule>
  </conditionalFormatting>
  <conditionalFormatting sqref="O7:O15">
    <cfRule type="cellIs" dxfId="26" priority="68" stopIfTrue="1" operator="equal">
      <formula>0</formula>
    </cfRule>
  </conditionalFormatting>
  <conditionalFormatting sqref="O33:O41">
    <cfRule type="cellIs" dxfId="25" priority="59" stopIfTrue="1" operator="equal">
      <formula>0</formula>
    </cfRule>
  </conditionalFormatting>
  <conditionalFormatting sqref="O59:O67">
    <cfRule type="cellIs" dxfId="24" priority="50" stopIfTrue="1" operator="equal">
      <formula>0</formula>
    </cfRule>
  </conditionalFormatting>
  <conditionalFormatting sqref="O85:O93">
    <cfRule type="cellIs" dxfId="23" priority="41" stopIfTrue="1" operator="equal">
      <formula>0</formula>
    </cfRule>
  </conditionalFormatting>
  <conditionalFormatting sqref="O111:O119">
    <cfRule type="cellIs" dxfId="22" priority="32" stopIfTrue="1" operator="equal">
      <formula>0</formula>
    </cfRule>
  </conditionalFormatting>
  <conditionalFormatting sqref="O137:O145">
    <cfRule type="cellIs" dxfId="21" priority="23" stopIfTrue="1" operator="equal">
      <formula>0</formula>
    </cfRule>
  </conditionalFormatting>
  <conditionalFormatting sqref="O163:O171">
    <cfRule type="cellIs" dxfId="20" priority="14" stopIfTrue="1" operator="equal">
      <formula>0</formula>
    </cfRule>
  </conditionalFormatting>
  <conditionalFormatting sqref="O189:O197">
    <cfRule type="cellIs" dxfId="19" priority="5" stopIfTrue="1" operator="equal">
      <formula>0</formula>
    </cfRule>
  </conditionalFormatting>
  <conditionalFormatting sqref="R7:R15">
    <cfRule type="cellIs" dxfId="18" priority="67" stopIfTrue="1" operator="equal">
      <formula>0</formula>
    </cfRule>
  </conditionalFormatting>
  <conditionalFormatting sqref="R33:R41">
    <cfRule type="cellIs" dxfId="17" priority="58" stopIfTrue="1" operator="equal">
      <formula>0</formula>
    </cfRule>
  </conditionalFormatting>
  <conditionalFormatting sqref="R59:R67">
    <cfRule type="cellIs" dxfId="16" priority="49" stopIfTrue="1" operator="equal">
      <formula>0</formula>
    </cfRule>
  </conditionalFormatting>
  <conditionalFormatting sqref="R85:R93">
    <cfRule type="cellIs" dxfId="15" priority="40" stopIfTrue="1" operator="equal">
      <formula>0</formula>
    </cfRule>
  </conditionalFormatting>
  <conditionalFormatting sqref="R111:R119">
    <cfRule type="cellIs" dxfId="14" priority="31" stopIfTrue="1" operator="equal">
      <formula>0</formula>
    </cfRule>
  </conditionalFormatting>
  <conditionalFormatting sqref="R137:R145">
    <cfRule type="cellIs" dxfId="13" priority="22" stopIfTrue="1" operator="equal">
      <formula>0</formula>
    </cfRule>
  </conditionalFormatting>
  <conditionalFormatting sqref="R163:R171">
    <cfRule type="cellIs" dxfId="12" priority="13" stopIfTrue="1" operator="equal">
      <formula>0</formula>
    </cfRule>
  </conditionalFormatting>
  <conditionalFormatting sqref="R189:R197">
    <cfRule type="cellIs" dxfId="11" priority="4" stopIfTrue="1" operator="equal">
      <formula>0</formula>
    </cfRule>
  </conditionalFormatting>
  <conditionalFormatting sqref="U7:U15">
    <cfRule type="cellIs" dxfId="10" priority="64" stopIfTrue="1" operator="equal">
      <formula>0</formula>
    </cfRule>
  </conditionalFormatting>
  <conditionalFormatting sqref="U33:U41">
    <cfRule type="cellIs" dxfId="9" priority="55" stopIfTrue="1" operator="equal">
      <formula>0</formula>
    </cfRule>
  </conditionalFormatting>
  <conditionalFormatting sqref="U59:U67">
    <cfRule type="cellIs" dxfId="8" priority="46" stopIfTrue="1" operator="equal">
      <formula>0</formula>
    </cfRule>
  </conditionalFormatting>
  <conditionalFormatting sqref="U85:U93">
    <cfRule type="cellIs" dxfId="7" priority="37" stopIfTrue="1" operator="equal">
      <formula>0</formula>
    </cfRule>
  </conditionalFormatting>
  <conditionalFormatting sqref="U111:U119">
    <cfRule type="cellIs" dxfId="6" priority="28" stopIfTrue="1" operator="equal">
      <formula>0</formula>
    </cfRule>
  </conditionalFormatting>
  <conditionalFormatting sqref="U137:U145">
    <cfRule type="cellIs" dxfId="5" priority="19" stopIfTrue="1" operator="equal">
      <formula>0</formula>
    </cfRule>
  </conditionalFormatting>
  <conditionalFormatting sqref="U163:U171">
    <cfRule type="cellIs" dxfId="4" priority="10" stopIfTrue="1" operator="equal">
      <formula>0</formula>
    </cfRule>
  </conditionalFormatting>
  <conditionalFormatting sqref="U189:U197">
    <cfRule type="cellIs" dxfId="3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S39 S33 Q33:R41 S13 S7 M65 M59 Q59:R67 P65 P59 S91 S85 Q85:R93 S65 S59 P10 E7:F15 Q137:R145 S117 S111 H7:I15 G13 G7 G10 K7:L15 J13 J7 J10 N7:O15 M10 S10 E33:F41 J39 J33 J36 H33:I41 M39 M33 M36 K33:L41 P39 P33 P36 N33:O41 S36 P62 E59:F67 G39 G33 G36 H59:I67 G65 G59 G62 K59:L67 J65 J59 J62 N59:O67 M62 S62 E85:F93 J91 J85 J88 H85:I93 M91 M85 M88 K85:L93 P91 P85 P88 N85:O93 S88 P114 E111:F119 G91 G85 G88 H111:I119 G117 G111 G114 K111:L119 J117 J111 J114 N111:O119 M114 S114 E137:F145 J143 J137 J140 H137:I145 M143 M137 M140 K137:L145 P143 P137 P140 N137:O145 S143 S137 S140 G143 G137 G140 Q163:R171 E163:F171 J169 J163 J166 H163:I171 M169 M163 M166 K163:L171 P169 P163 P166 N163:O171 S169 S163 S166 G169 G163 G166 Q189:R197 E189:F197 J195 J189 J192 H189:I197 M195 M189 M192 K189:L197 P195 P189 P192 N189:O197 S195 S189 S192 G195 G189 G192" xr:uid="{00000000-0002-0000-2E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FF00"/>
    <pageSetUpPr fitToPage="1"/>
  </sheetPr>
  <dimension ref="A1:AE24"/>
  <sheetViews>
    <sheetView workbookViewId="0">
      <selection activeCell="V24" sqref="V24"/>
    </sheetView>
  </sheetViews>
  <sheetFormatPr baseColWidth="10" defaultRowHeight="13.2"/>
  <cols>
    <col min="1" max="1" width="4.2187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44140625" customWidth="1"/>
    <col min="14" max="14" width="7.6640625" customWidth="1"/>
    <col min="16" max="16" width="4.44140625" customWidth="1"/>
    <col min="17" max="17" width="11.44140625" customWidth="1"/>
    <col min="18" max="18" width="14.33203125" customWidth="1"/>
    <col min="19" max="26" width="11.44140625" customWidth="1"/>
    <col min="27" max="27" width="14.6640625" style="169" hidden="1" customWidth="1"/>
    <col min="28" max="28" width="6.44140625" style="169" hidden="1" customWidth="1"/>
    <col min="29" max="29" width="5" style="169" hidden="1" customWidth="1"/>
    <col min="30" max="30" width="5.21875" style="169" hidden="1" customWidth="1"/>
    <col min="31" max="31" width="6" style="169" hidden="1" customWidth="1"/>
    <col min="32" max="50" width="11.44140625" customWidth="1"/>
  </cols>
  <sheetData>
    <row r="1" spans="1:31" ht="28.5" customHeight="1">
      <c r="A1" s="449" t="str">
        <f>Schlüssel!$C$1</f>
        <v>Landesliga Jugend</v>
      </c>
      <c r="B1" s="449"/>
      <c r="C1" s="449" t="s">
        <v>1786</v>
      </c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>
        <f>+Erfassung6!S1</f>
        <v>45808</v>
      </c>
      <c r="O1" s="449"/>
      <c r="P1" s="55"/>
      <c r="Q1" s="55"/>
      <c r="AA1" s="169" t="s">
        <v>2091</v>
      </c>
    </row>
    <row r="2" spans="1:31" ht="28.5" customHeight="1">
      <c r="A2" s="450" t="str">
        <f>"Saison "&amp;Spielorte!C18&amp;"     -     Spieltag "&amp;Erfassung7!S2&amp;"     -     "&amp;TEXT(Erfassung7!S1,"T. MMMM JJJJ")</f>
        <v>Saison 2024/2025     -     Spieltag 7     -     21. Juni 2025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55"/>
      <c r="Q2" s="55"/>
    </row>
    <row r="3" spans="1:31" ht="28.5" customHeight="1">
      <c r="A3" s="450" t="str">
        <f>+Erfassung7!G2</f>
        <v>Brunnthal Max Munich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55"/>
      <c r="Q3" s="55"/>
    </row>
    <row r="4" spans="1:31" ht="13.8" thickBot="1"/>
    <row r="5" spans="1:31">
      <c r="A5" s="451" t="s">
        <v>1804</v>
      </c>
      <c r="B5" s="447" t="s">
        <v>1805</v>
      </c>
      <c r="C5" s="443" t="s">
        <v>1793</v>
      </c>
      <c r="D5" s="444"/>
      <c r="E5" s="443" t="s">
        <v>1794</v>
      </c>
      <c r="F5" s="444"/>
      <c r="G5" s="443" t="s">
        <v>1795</v>
      </c>
      <c r="H5" s="444"/>
      <c r="I5" s="443" t="s">
        <v>1796</v>
      </c>
      <c r="J5" s="444"/>
      <c r="K5" s="443" t="s">
        <v>1797</v>
      </c>
      <c r="L5" s="444"/>
      <c r="M5" s="443" t="s">
        <v>1792</v>
      </c>
      <c r="N5" s="444"/>
      <c r="O5" s="445" t="s">
        <v>1806</v>
      </c>
      <c r="P5" s="55"/>
      <c r="Q5" s="55"/>
    </row>
    <row r="6" spans="1:31" ht="13.8" thickBot="1">
      <c r="A6" s="452"/>
      <c r="B6" s="448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6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>
      <c r="A7" s="163">
        <v>1</v>
      </c>
      <c r="B7" s="104" t="str">
        <f>INDEX(Erfassung7!$B:$B,MATCH($A7,Erfassung7!$BE:$BE,0)-14)</f>
        <v>Bad Tölz 1</v>
      </c>
      <c r="C7" s="82">
        <f>INDEX(Erfassung7!F:F,MATCH($A7,Erfassung7!$BE:$BE,0)-1)</f>
        <v>0</v>
      </c>
      <c r="D7" s="83">
        <f>INDEX(Erfassung7!G:G,MATCH($A7,Erfassung7!$BE:$BE,0))</f>
        <v>0</v>
      </c>
      <c r="E7" s="82">
        <f>INDEX(Erfassung7!I:I,MATCH($A7,Erfassung7!$BE:$BE,0)-1)</f>
        <v>0</v>
      </c>
      <c r="F7" s="83">
        <f>INDEX(Erfassung7!J:J,MATCH($A7,Erfassung7!$BE:$BE,0))</f>
        <v>0</v>
      </c>
      <c r="G7" s="82">
        <f>INDEX(Erfassung7!L:L,MATCH($A7,Erfassung7!$BE:$BE,0)-1)</f>
        <v>0</v>
      </c>
      <c r="H7" s="83">
        <f>INDEX(Erfassung7!M:M,MATCH($A7,Erfassung7!$BE:$BE,0))</f>
        <v>0</v>
      </c>
      <c r="I7" s="82">
        <f>INDEX(Erfassung7!O:O,MATCH($A7,Erfassung7!$BE:$BE,0)-1)</f>
        <v>0</v>
      </c>
      <c r="J7" s="83">
        <f>INDEX(Erfassung7!P:P,MATCH($A7,Erfassung7!$BE:$BE,0))</f>
        <v>0</v>
      </c>
      <c r="K7" s="82">
        <f>INDEX(Erfassung7!R:R,MATCH($A7,Erfassung7!$BE:$BE,0)-1)</f>
        <v>0</v>
      </c>
      <c r="L7" s="83">
        <f>INDEX(Erfassung7!S:S,MATCH($A7,Erfassung7!$BE:$BE,0))</f>
        <v>0</v>
      </c>
      <c r="M7" s="84">
        <f t="shared" ref="M7:N14" si="0">SUM(C7+E7+G7+I7+K7)</f>
        <v>0</v>
      </c>
      <c r="N7" s="85">
        <f t="shared" si="0"/>
        <v>0</v>
      </c>
      <c r="O7" s="65">
        <f>IFERROR(M7/INDEX(Erfassung7!AW:AW,MATCH(A7,Erfassung7!BE:BE,0)),0)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INDEX(Tabelle6!AA:AA,MATCH(B7,Tabelle6!B:B,0))+M7</f>
        <v>11601</v>
      </c>
      <c r="AB7" s="167">
        <f>INDEX(Tabelle6!AB:AB,MATCH(B7,Tabelle6!B:B,0))+N7</f>
        <v>63.5</v>
      </c>
      <c r="AC7" s="169">
        <f>+AB7+AA7/1000000000</f>
        <v>63.500011600999997</v>
      </c>
      <c r="AD7" s="169" t="e">
        <f>RANK(AC7,AC:AC)</f>
        <v>#N/A</v>
      </c>
      <c r="AE7" s="169">
        <f>INDEX(Tabelle6!AE:AE,MATCH(B7,Tabelle6!B:B,0))+SUMIF(Erfassung7!BH:BH,B7,Erfassung7!AW:AW)</f>
        <v>70</v>
      </c>
    </row>
    <row r="8" spans="1:31" ht="42" customHeight="1" thickBot="1">
      <c r="A8" s="163">
        <v>2</v>
      </c>
      <c r="B8" s="104" t="e">
        <f>INDEX(Erfassung7!$B:$B,MATCH($A8,Erfassung7!$BE:$BE,0)-14)</f>
        <v>#N/A</v>
      </c>
      <c r="C8" s="82" t="e">
        <f>INDEX(Erfassung7!F:F,MATCH($A8,Erfassung7!$BE:$BE,0)-1)</f>
        <v>#N/A</v>
      </c>
      <c r="D8" s="83" t="e">
        <f>INDEX(Erfassung7!G:G,MATCH($A8,Erfassung7!$BE:$BE,0))</f>
        <v>#N/A</v>
      </c>
      <c r="E8" s="82" t="e">
        <f>INDEX(Erfassung7!I:I,MATCH($A8,Erfassung7!$BE:$BE,0)-1)</f>
        <v>#N/A</v>
      </c>
      <c r="F8" s="83" t="e">
        <f>INDEX(Erfassung7!J:J,MATCH($A8,Erfassung7!$BE:$BE,0))</f>
        <v>#N/A</v>
      </c>
      <c r="G8" s="82" t="e">
        <f>INDEX(Erfassung7!L:L,MATCH($A8,Erfassung7!$BE:$BE,0)-1)</f>
        <v>#N/A</v>
      </c>
      <c r="H8" s="83" t="e">
        <f>INDEX(Erfassung7!M:M,MATCH($A8,Erfassung7!$BE:$BE,0))</f>
        <v>#N/A</v>
      </c>
      <c r="I8" s="82" t="e">
        <f>INDEX(Erfassung7!O:O,MATCH($A8,Erfassung7!$BE:$BE,0)-1)</f>
        <v>#N/A</v>
      </c>
      <c r="J8" s="83" t="e">
        <f>INDEX(Erfassung7!P:P,MATCH($A8,Erfassung7!$BE:$BE,0))</f>
        <v>#N/A</v>
      </c>
      <c r="K8" s="82" t="e">
        <f>INDEX(Erfassung7!R:R,MATCH($A8,Erfassung7!$BE:$BE,0)-1)</f>
        <v>#N/A</v>
      </c>
      <c r="L8" s="83" t="e">
        <f>INDEX(Erfassung7!S:S,MATCH($A8,Erfassung7!$BE:$BE,0))</f>
        <v>#N/A</v>
      </c>
      <c r="M8" s="84" t="e">
        <f t="shared" si="0"/>
        <v>#N/A</v>
      </c>
      <c r="N8" s="85" t="e">
        <f t="shared" si="0"/>
        <v>#N/A</v>
      </c>
      <c r="O8" s="65">
        <f>IFERROR(M8/INDEX(Erfassung7!AW:AW,MATCH(A8,Erfassung7!BE:BE,0)),0)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INDEX(Tabelle6!AA:AA,MATCH(B8,Tabelle6!B:B,0))+M8</f>
        <v>#N/A</v>
      </c>
      <c r="AB8" s="167" t="e">
        <f>INDEX(Tabelle6!AB:AB,MATCH(B8,Tabelle6!B:B,0))+N8</f>
        <v>#N/A</v>
      </c>
      <c r="AC8" s="169" t="e">
        <f t="shared" ref="AC8:AC14" si="1">+AB8+AA8/1000000000</f>
        <v>#N/A</v>
      </c>
      <c r="AD8" s="169" t="e">
        <f t="shared" ref="AD8:AD14" si="2">RANK(AC8,AC:AC)</f>
        <v>#N/A</v>
      </c>
      <c r="AE8" s="169" t="e">
        <f>INDEX(Tabelle6!AE:AE,MATCH(B8,Tabelle6!B:B,0))+SUMIF(Erfassung7!BH:BH,B8,Erfassung7!AW:AW)</f>
        <v>#N/A</v>
      </c>
    </row>
    <row r="9" spans="1:31" ht="42" customHeight="1" thickBot="1">
      <c r="A9" s="163">
        <v>3</v>
      </c>
      <c r="B9" s="104" t="e">
        <f>INDEX(Erfassung7!$B:$B,MATCH($A9,Erfassung7!$BE:$BE,0)-14)</f>
        <v>#N/A</v>
      </c>
      <c r="C9" s="82" t="e">
        <f>INDEX(Erfassung7!F:F,MATCH($A9,Erfassung7!$BE:$BE,0)-1)</f>
        <v>#N/A</v>
      </c>
      <c r="D9" s="83" t="e">
        <f>INDEX(Erfassung7!G:G,MATCH($A9,Erfassung7!$BE:$BE,0))</f>
        <v>#N/A</v>
      </c>
      <c r="E9" s="82" t="e">
        <f>INDEX(Erfassung7!I:I,MATCH($A9,Erfassung7!$BE:$BE,0)-1)</f>
        <v>#N/A</v>
      </c>
      <c r="F9" s="83" t="e">
        <f>INDEX(Erfassung7!J:J,MATCH($A9,Erfassung7!$BE:$BE,0))</f>
        <v>#N/A</v>
      </c>
      <c r="G9" s="82" t="e">
        <f>INDEX(Erfassung7!L:L,MATCH($A9,Erfassung7!$BE:$BE,0)-1)</f>
        <v>#N/A</v>
      </c>
      <c r="H9" s="83" t="e">
        <f>INDEX(Erfassung7!M:M,MATCH($A9,Erfassung7!$BE:$BE,0))</f>
        <v>#N/A</v>
      </c>
      <c r="I9" s="82" t="e">
        <f>INDEX(Erfassung7!O:O,MATCH($A9,Erfassung7!$BE:$BE,0)-1)</f>
        <v>#N/A</v>
      </c>
      <c r="J9" s="83" t="e">
        <f>INDEX(Erfassung7!P:P,MATCH($A9,Erfassung7!$BE:$BE,0))</f>
        <v>#N/A</v>
      </c>
      <c r="K9" s="82" t="e">
        <f>INDEX(Erfassung7!R:R,MATCH($A9,Erfassung7!$BE:$BE,0)-1)</f>
        <v>#N/A</v>
      </c>
      <c r="L9" s="83" t="e">
        <f>INDEX(Erfassung7!S:S,MATCH($A9,Erfassung7!$BE:$BE,0))</f>
        <v>#N/A</v>
      </c>
      <c r="M9" s="84" t="e">
        <f t="shared" si="0"/>
        <v>#N/A</v>
      </c>
      <c r="N9" s="85" t="e">
        <f t="shared" si="0"/>
        <v>#N/A</v>
      </c>
      <c r="O9" s="65">
        <f>IFERROR(M9/INDEX(Erfassung7!AW:AW,MATCH(A9,Erfassung7!BE:BE,0)),0)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INDEX(Tabelle6!AA:AA,MATCH(B9,Tabelle6!B:B,0))+M9</f>
        <v>#N/A</v>
      </c>
      <c r="AB9" s="167" t="e">
        <f>INDEX(Tabelle6!AB:AB,MATCH(B9,Tabelle6!B:B,0))+N9</f>
        <v>#N/A</v>
      </c>
      <c r="AC9" s="169" t="e">
        <f t="shared" si="1"/>
        <v>#N/A</v>
      </c>
      <c r="AD9" s="169" t="e">
        <f t="shared" si="2"/>
        <v>#N/A</v>
      </c>
      <c r="AE9" s="169" t="e">
        <f>INDEX(Tabelle6!AE:AE,MATCH(B9,Tabelle6!B:B,0))+SUMIF(Erfassung7!BH:BH,B9,Erfassung7!AW:AW)</f>
        <v>#N/A</v>
      </c>
    </row>
    <row r="10" spans="1:31" ht="42" customHeight="1" thickBot="1">
      <c r="A10" s="163">
        <v>4</v>
      </c>
      <c r="B10" s="104" t="e">
        <f>INDEX(Erfassung7!$B:$B,MATCH($A10,Erfassung7!$BE:$BE,0)-14)</f>
        <v>#N/A</v>
      </c>
      <c r="C10" s="82" t="e">
        <f>INDEX(Erfassung7!F:F,MATCH($A10,Erfassung7!$BE:$BE,0)-1)</f>
        <v>#N/A</v>
      </c>
      <c r="D10" s="83" t="e">
        <f>INDEX(Erfassung7!G:G,MATCH($A10,Erfassung7!$BE:$BE,0))</f>
        <v>#N/A</v>
      </c>
      <c r="E10" s="82" t="e">
        <f>INDEX(Erfassung7!I:I,MATCH($A10,Erfassung7!$BE:$BE,0)-1)</f>
        <v>#N/A</v>
      </c>
      <c r="F10" s="83" t="e">
        <f>INDEX(Erfassung7!J:J,MATCH($A10,Erfassung7!$BE:$BE,0))</f>
        <v>#N/A</v>
      </c>
      <c r="G10" s="82" t="e">
        <f>INDEX(Erfassung7!L:L,MATCH($A10,Erfassung7!$BE:$BE,0)-1)</f>
        <v>#N/A</v>
      </c>
      <c r="H10" s="83" t="e">
        <f>INDEX(Erfassung7!M:M,MATCH($A10,Erfassung7!$BE:$BE,0))</f>
        <v>#N/A</v>
      </c>
      <c r="I10" s="82" t="e">
        <f>INDEX(Erfassung7!O:O,MATCH($A10,Erfassung7!$BE:$BE,0)-1)</f>
        <v>#N/A</v>
      </c>
      <c r="J10" s="83" t="e">
        <f>INDEX(Erfassung7!P:P,MATCH($A10,Erfassung7!$BE:$BE,0))</f>
        <v>#N/A</v>
      </c>
      <c r="K10" s="82" t="e">
        <f>INDEX(Erfassung7!R:R,MATCH($A10,Erfassung7!$BE:$BE,0)-1)</f>
        <v>#N/A</v>
      </c>
      <c r="L10" s="83" t="e">
        <f>INDEX(Erfassung7!S:S,MATCH($A10,Erfassung7!$BE:$BE,0))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IFERROR(M10/INDEX(Erfassung7!AW:AW,MATCH(A10,Erfassung7!BE:BE,0)),0)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INDEX(Tabelle6!AA:AA,MATCH(B10,Tabelle6!B:B,0))+M10</f>
        <v>#N/A</v>
      </c>
      <c r="AB10" s="167" t="e">
        <f>INDEX(Tabelle6!AB:AB,MATCH(B10,Tabelle6!B:B,0))+N10</f>
        <v>#N/A</v>
      </c>
      <c r="AC10" s="169" t="e">
        <f t="shared" si="1"/>
        <v>#N/A</v>
      </c>
      <c r="AD10" s="169" t="e">
        <f t="shared" si="2"/>
        <v>#N/A</v>
      </c>
      <c r="AE10" s="169" t="e">
        <f>INDEX(Tabelle6!AE:AE,MATCH(B10,Tabelle6!B:B,0))+SUMIF(Erfassung7!BH:BH,B10,Erfassung7!AW:AW)</f>
        <v>#N/A</v>
      </c>
    </row>
    <row r="11" spans="1:31" ht="42" customHeight="1" thickBot="1">
      <c r="A11" s="163">
        <v>5</v>
      </c>
      <c r="B11" s="104" t="e">
        <f>INDEX(Erfassung7!$B:$B,MATCH($A11,Erfassung7!$BE:$BE,0)-14)</f>
        <v>#N/A</v>
      </c>
      <c r="C11" s="82" t="e">
        <f>INDEX(Erfassung7!F:F,MATCH($A11,Erfassung7!$BE:$BE,0)-1)</f>
        <v>#N/A</v>
      </c>
      <c r="D11" s="83" t="e">
        <f>INDEX(Erfassung7!G:G,MATCH($A11,Erfassung7!$BE:$BE,0))</f>
        <v>#N/A</v>
      </c>
      <c r="E11" s="82" t="e">
        <f>INDEX(Erfassung7!I:I,MATCH($A11,Erfassung7!$BE:$BE,0)-1)</f>
        <v>#N/A</v>
      </c>
      <c r="F11" s="83" t="e">
        <f>INDEX(Erfassung7!J:J,MATCH($A11,Erfassung7!$BE:$BE,0))</f>
        <v>#N/A</v>
      </c>
      <c r="G11" s="82" t="e">
        <f>INDEX(Erfassung7!L:L,MATCH($A11,Erfassung7!$BE:$BE,0)-1)</f>
        <v>#N/A</v>
      </c>
      <c r="H11" s="83" t="e">
        <f>INDEX(Erfassung7!M:M,MATCH($A11,Erfassung7!$BE:$BE,0))</f>
        <v>#N/A</v>
      </c>
      <c r="I11" s="82" t="e">
        <f>INDEX(Erfassung7!O:O,MATCH($A11,Erfassung7!$BE:$BE,0)-1)</f>
        <v>#N/A</v>
      </c>
      <c r="J11" s="83" t="e">
        <f>INDEX(Erfassung7!P:P,MATCH($A11,Erfassung7!$BE:$BE,0))</f>
        <v>#N/A</v>
      </c>
      <c r="K11" s="82" t="e">
        <f>INDEX(Erfassung7!R:R,MATCH($A11,Erfassung7!$BE:$BE,0)-1)</f>
        <v>#N/A</v>
      </c>
      <c r="L11" s="83" t="e">
        <f>INDEX(Erfassung7!S:S,MATCH($A11,Erfassung7!$BE:$BE,0))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IFERROR(M11/INDEX(Erfassung7!AW:AW,MATCH(A11,Erfassung7!BE:BE,0)),0)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INDEX(Tabelle6!AA:AA,MATCH(B11,Tabelle6!B:B,0))+M11</f>
        <v>#N/A</v>
      </c>
      <c r="AB11" s="167" t="e">
        <f>INDEX(Tabelle6!AB:AB,MATCH(B11,Tabelle6!B:B,0))+N11</f>
        <v>#N/A</v>
      </c>
      <c r="AC11" s="169" t="e">
        <f t="shared" si="1"/>
        <v>#N/A</v>
      </c>
      <c r="AD11" s="169" t="e">
        <f t="shared" si="2"/>
        <v>#N/A</v>
      </c>
      <c r="AE11" s="169" t="e">
        <f>INDEX(Tabelle6!AE:AE,MATCH(B11,Tabelle6!B:B,0))+SUMIF(Erfassung7!BH:BH,B11,Erfassung7!AW:AW)</f>
        <v>#N/A</v>
      </c>
    </row>
    <row r="12" spans="1:31" ht="42" customHeight="1" thickBot="1">
      <c r="A12" s="163">
        <v>6</v>
      </c>
      <c r="B12" s="104" t="e">
        <f>INDEX(Erfassung7!$B:$B,MATCH($A12,Erfassung7!$BE:$BE,0)-14)</f>
        <v>#N/A</v>
      </c>
      <c r="C12" s="82" t="e">
        <f>INDEX(Erfassung7!F:F,MATCH($A12,Erfassung7!$BE:$BE,0)-1)</f>
        <v>#N/A</v>
      </c>
      <c r="D12" s="83" t="e">
        <f>INDEX(Erfassung7!G:G,MATCH($A12,Erfassung7!$BE:$BE,0))</f>
        <v>#N/A</v>
      </c>
      <c r="E12" s="82" t="e">
        <f>INDEX(Erfassung7!I:I,MATCH($A12,Erfassung7!$BE:$BE,0)-1)</f>
        <v>#N/A</v>
      </c>
      <c r="F12" s="83" t="e">
        <f>INDEX(Erfassung7!J:J,MATCH($A12,Erfassung7!$BE:$BE,0))</f>
        <v>#N/A</v>
      </c>
      <c r="G12" s="82" t="e">
        <f>INDEX(Erfassung7!L:L,MATCH($A12,Erfassung7!$BE:$BE,0)-1)</f>
        <v>#N/A</v>
      </c>
      <c r="H12" s="83" t="e">
        <f>INDEX(Erfassung7!M:M,MATCH($A12,Erfassung7!$BE:$BE,0))</f>
        <v>#N/A</v>
      </c>
      <c r="I12" s="82" t="e">
        <f>INDEX(Erfassung7!O:O,MATCH($A12,Erfassung7!$BE:$BE,0)-1)</f>
        <v>#N/A</v>
      </c>
      <c r="J12" s="83" t="e">
        <f>INDEX(Erfassung7!P:P,MATCH($A12,Erfassung7!$BE:$BE,0))</f>
        <v>#N/A</v>
      </c>
      <c r="K12" s="82" t="e">
        <f>INDEX(Erfassung7!R:R,MATCH($A12,Erfassung7!$BE:$BE,0)-1)</f>
        <v>#N/A</v>
      </c>
      <c r="L12" s="83" t="e">
        <f>INDEX(Erfassung7!S:S,MATCH($A12,Erfassung7!$BE:$BE,0))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IFERROR(M12/INDEX(Erfassung7!AW:AW,MATCH(A12,Erfassung7!BE:BE,0)),0)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INDEX(Tabelle6!AA:AA,MATCH(B12,Tabelle6!B:B,0))+M12</f>
        <v>#N/A</v>
      </c>
      <c r="AB12" s="167" t="e">
        <f>INDEX(Tabelle6!AB:AB,MATCH(B12,Tabelle6!B:B,0))+N12</f>
        <v>#N/A</v>
      </c>
      <c r="AC12" s="169" t="e">
        <f t="shared" si="1"/>
        <v>#N/A</v>
      </c>
      <c r="AD12" s="169" t="e">
        <f t="shared" si="2"/>
        <v>#N/A</v>
      </c>
      <c r="AE12" s="169" t="e">
        <f>INDEX(Tabelle6!AE:AE,MATCH(B12,Tabelle6!B:B,0))+SUMIF(Erfassung7!BH:BH,B12,Erfassung7!AW:AW)</f>
        <v>#N/A</v>
      </c>
    </row>
    <row r="13" spans="1:31" ht="42" customHeight="1" thickBot="1">
      <c r="A13" s="163">
        <v>7</v>
      </c>
      <c r="B13" s="104" t="e">
        <f>INDEX(Erfassung7!$B:$B,MATCH($A13,Erfassung7!$BE:$BE,0)-14)</f>
        <v>#N/A</v>
      </c>
      <c r="C13" s="82" t="e">
        <f>INDEX(Erfassung7!F:F,MATCH($A13,Erfassung7!$BE:$BE,0)-1)</f>
        <v>#N/A</v>
      </c>
      <c r="D13" s="83" t="e">
        <f>INDEX(Erfassung7!G:G,MATCH($A13,Erfassung7!$BE:$BE,0))</f>
        <v>#N/A</v>
      </c>
      <c r="E13" s="82" t="e">
        <f>INDEX(Erfassung7!I:I,MATCH($A13,Erfassung7!$BE:$BE,0)-1)</f>
        <v>#N/A</v>
      </c>
      <c r="F13" s="83" t="e">
        <f>INDEX(Erfassung7!J:J,MATCH($A13,Erfassung7!$BE:$BE,0))</f>
        <v>#N/A</v>
      </c>
      <c r="G13" s="82" t="e">
        <f>INDEX(Erfassung7!L:L,MATCH($A13,Erfassung7!$BE:$BE,0)-1)</f>
        <v>#N/A</v>
      </c>
      <c r="H13" s="83" t="e">
        <f>INDEX(Erfassung7!M:M,MATCH($A13,Erfassung7!$BE:$BE,0))</f>
        <v>#N/A</v>
      </c>
      <c r="I13" s="82" t="e">
        <f>INDEX(Erfassung7!O:O,MATCH($A13,Erfassung7!$BE:$BE,0)-1)</f>
        <v>#N/A</v>
      </c>
      <c r="J13" s="83" t="e">
        <f>INDEX(Erfassung7!P:P,MATCH($A13,Erfassung7!$BE:$BE,0))</f>
        <v>#N/A</v>
      </c>
      <c r="K13" s="82" t="e">
        <f>INDEX(Erfassung7!R:R,MATCH($A13,Erfassung7!$BE:$BE,0)-1)</f>
        <v>#N/A</v>
      </c>
      <c r="L13" s="83" t="e">
        <f>INDEX(Erfassung7!S:S,MATCH($A13,Erfassung7!$BE:$BE,0))</f>
        <v>#N/A</v>
      </c>
      <c r="M13" s="84" t="e">
        <f t="shared" si="0"/>
        <v>#N/A</v>
      </c>
      <c r="N13" s="85" t="e">
        <f t="shared" si="0"/>
        <v>#N/A</v>
      </c>
      <c r="O13" s="65">
        <f>IFERROR(M13/INDEX(Erfassung7!AW:AW,MATCH(A13,Erfassung7!BE:BE,0)),0)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INDEX(Tabelle6!AA:AA,MATCH(B13,Tabelle6!B:B,0))+M13</f>
        <v>#N/A</v>
      </c>
      <c r="AB13" s="167" t="e">
        <f>INDEX(Tabelle6!AB:AB,MATCH(B13,Tabelle6!B:B,0))+N13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INDEX(Tabelle6!AE:AE,MATCH(B13,Tabelle6!B:B,0))+SUMIF(Erfassung7!BH:BH,B13,Erfassung7!AW:AW)</f>
        <v>#N/A</v>
      </c>
    </row>
    <row r="14" spans="1:31" ht="42" customHeight="1" thickBot="1">
      <c r="A14" s="163">
        <v>8</v>
      </c>
      <c r="B14" s="104" t="e">
        <f>INDEX(Erfassung7!$B:$B,MATCH($A14,Erfassung7!$BE:$BE,0)-14)</f>
        <v>#N/A</v>
      </c>
      <c r="C14" s="82" t="e">
        <f>INDEX(Erfassung7!F:F,MATCH($A14,Erfassung7!$BE:$BE,0)-1)</f>
        <v>#N/A</v>
      </c>
      <c r="D14" s="83" t="e">
        <f>INDEX(Erfassung7!G:G,MATCH($A14,Erfassung7!$BE:$BE,0))</f>
        <v>#N/A</v>
      </c>
      <c r="E14" s="82" t="e">
        <f>INDEX(Erfassung7!I:I,MATCH($A14,Erfassung7!$BE:$BE,0)-1)</f>
        <v>#N/A</v>
      </c>
      <c r="F14" s="83" t="e">
        <f>INDEX(Erfassung7!J:J,MATCH($A14,Erfassung7!$BE:$BE,0))</f>
        <v>#N/A</v>
      </c>
      <c r="G14" s="82" t="e">
        <f>INDEX(Erfassung7!L:L,MATCH($A14,Erfassung7!$BE:$BE,0)-1)</f>
        <v>#N/A</v>
      </c>
      <c r="H14" s="83" t="e">
        <f>INDEX(Erfassung7!M:M,MATCH($A14,Erfassung7!$BE:$BE,0))</f>
        <v>#N/A</v>
      </c>
      <c r="I14" s="82" t="e">
        <f>INDEX(Erfassung7!O:O,MATCH($A14,Erfassung7!$BE:$BE,0)-1)</f>
        <v>#N/A</v>
      </c>
      <c r="J14" s="83" t="e">
        <f>INDEX(Erfassung7!P:P,MATCH($A14,Erfassung7!$BE:$BE,0))</f>
        <v>#N/A</v>
      </c>
      <c r="K14" s="82" t="e">
        <f>INDEX(Erfassung7!R:R,MATCH($A14,Erfassung7!$BE:$BE,0)-1)</f>
        <v>#N/A</v>
      </c>
      <c r="L14" s="83" t="e">
        <f>INDEX(Erfassung7!S:S,MATCH($A14,Erfassung7!$BE:$BE,0))</f>
        <v>#N/A</v>
      </c>
      <c r="M14" s="84" t="e">
        <f t="shared" si="0"/>
        <v>#N/A</v>
      </c>
      <c r="N14" s="85" t="e">
        <f t="shared" si="0"/>
        <v>#N/A</v>
      </c>
      <c r="O14" s="65">
        <f>IFERROR(M14/INDEX(Erfassung7!AW:AW,MATCH(A14,Erfassung7!BE:BE,0)),0)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INDEX(Tabelle6!AA:AA,MATCH(B14,Tabelle6!B:B,0))+M14</f>
        <v>#N/A</v>
      </c>
      <c r="AB14" s="167" t="e">
        <f>INDEX(Tabelle6!AB:AB,MATCH(B14,Tabelle6!B:B,0))+N14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INDEX(Tabelle6!AE:AE,MATCH(B14,Tabelle6!B:B,0))+SUMIF(Erfassung7!BH:BH,B14,Erfassung7!AW:AW)</f>
        <v>#N/A</v>
      </c>
    </row>
    <row r="17" spans="2:18" ht="15.6">
      <c r="B17" s="442" t="s">
        <v>2379</v>
      </c>
      <c r="C17" s="442"/>
      <c r="D17" s="442"/>
      <c r="E17" s="442"/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89"/>
      <c r="Q17" s="89"/>
      <c r="R17" s="89"/>
    </row>
    <row r="18" spans="2:18">
      <c r="C18" s="453"/>
      <c r="D18" s="453"/>
      <c r="E18" s="453"/>
      <c r="F18" s="453"/>
      <c r="G18" s="453"/>
      <c r="H18" s="453"/>
    </row>
    <row r="19" spans="2:18">
      <c r="B19" s="89" t="s">
        <v>1817</v>
      </c>
      <c r="C19" t="str">
        <f>IFERROR(INDEX(Erfassung7!B:B,MATCH(1,Erfassung7!BI:BI,0)),"")</f>
        <v/>
      </c>
      <c r="H19" t="str">
        <f>INDEX(Erfassung7!BH:BH,MATCH(C19,Erfassung7!B:B,0))</f>
        <v>Bad Tölz 1</v>
      </c>
      <c r="N19" s="87">
        <f>IFERROR(ROUND(INDEX(Erfassung7!BG:BG,MATCH(1,Erfassung7!BI:BI,0)),0),"")</f>
        <v>0</v>
      </c>
    </row>
    <row r="20" spans="2:18">
      <c r="B20" s="89"/>
      <c r="C20" t="str">
        <f>IF(N20="","",IFERROR(INDEX(Erfassung7!B:B,MATCH(2,Erfassung7!BI:BI,0)),""))</f>
        <v/>
      </c>
      <c r="H20" t="str">
        <f>IF(C20="","",INDEX(Erfassung7!BH:BH,MATCH(C20,Erfassung7!B:B,0)))</f>
        <v/>
      </c>
      <c r="N20" s="88" t="str">
        <f>IF(IFERROR(ROUND(INDEX(Erfassung7!BG:BG,MATCH(2,Erfassung7!BI:BI,0)),0),0)=0,"",IFERROR(ROUND(INDEX(Erfassung7!BG:BG,MATCH(2,Erfassung7!BI:BI,0)),0),0))</f>
        <v/>
      </c>
    </row>
    <row r="21" spans="2:18">
      <c r="B21" s="89"/>
      <c r="C21" t="str">
        <f>IF(N21="","",IFERROR(INDEX(Erfassung7!B:B,MATCH(3,Erfassung7!BI:BI,0)),""))</f>
        <v/>
      </c>
      <c r="H21" t="str">
        <f>IF(C21="","",INDEX(Erfassung7!BH:BH,MATCH(C21,Erfassung7!B:B,0)))</f>
        <v/>
      </c>
      <c r="N21" s="88" t="str">
        <f>IF(IFERROR(ROUND(INDEX(Erfassung7!BG:BG,MATCH(3,Erfassung7!BI:BI,0)),0),0)=0,"",IFERROR(ROUND(INDEX(Erfassung7!BG:BG,MATCH(3,Erfassung7!BI:BI,0)),0),""))</f>
        <v/>
      </c>
    </row>
    <row r="22" spans="2:18">
      <c r="B22" s="89" t="s">
        <v>1818</v>
      </c>
      <c r="C22" t="str">
        <f>IFERROR(INDEX(Erfassung7!B:B,MATCH(1,Erfassung7!BM:BM,0)),"")</f>
        <v/>
      </c>
      <c r="H22" t="str">
        <f>INDEX(Erfassung7!BH:BH,MATCH(C22,Erfassung7!B:B,0))</f>
        <v>Bad Tölz 1</v>
      </c>
      <c r="N22" s="441" t="str">
        <f>IFERROR(ROUND(INDEX(Erfassung7!BJ:BJ,MATCH(1,Erfassung7!BM:BM,0)),0),"")&amp;"  /  "&amp;ROUND(IFERROR(ROUND(INDEX(Erfassung7!BJ:BJ,MATCH(1,Erfassung7!BM:BM,0)),0),"")/5,2)</f>
        <v>0  /  0</v>
      </c>
      <c r="O22" s="441"/>
      <c r="P22" s="78"/>
    </row>
    <row r="23" spans="2:18">
      <c r="C23" t="str">
        <f>IF(N23="","",IFERROR(INDEX(Erfassung7!B:B,MATCH(2,Erfassung7!BM:BM,0)),""))</f>
        <v/>
      </c>
      <c r="E23" s="6"/>
      <c r="H23" t="str">
        <f>IF(C23="","",INDEX(Erfassung7!BH:BH,MATCH(C23,Erfassung7!B:B,0)))</f>
        <v/>
      </c>
      <c r="N23" s="88" t="str">
        <f>IF(IFERROR(ROUND(INDEX(Erfassung7!BJ:BJ,MATCH(2,Erfassung7!BM:BM,0)),0),0)=0,"",IFERROR(ROUND(INDEX(Erfassung7!BJ:BJ,MATCH(2,Erfassung7!BM:BM,0)),0),0))</f>
        <v/>
      </c>
    </row>
    <row r="24" spans="2:18">
      <c r="C24" t="str">
        <f>IF(N24="","",IFERROR(INDEX(Erfassung7!B:B,MATCH(3,Erfassung7!BM:BM,0)),""))</f>
        <v/>
      </c>
      <c r="E24" s="6"/>
      <c r="H24" t="str">
        <f>IF(C24="","",INDEX(Erfassung7!BH:BH,MATCH(C24,Erfassung7!B:B,0)))</f>
        <v/>
      </c>
      <c r="N24" s="88" t="str">
        <f>IF(IFERROR(ROUND(INDEX(Erfassung7!BJ:BJ,MATCH(3,Erfassung7!BM:BM,0)),0),0)=0,"",IFERROR(ROUND(INDEX(Erfassung7!BJ:BJ,MATCH(3,Erfassung7!BM:BM,0)),0),0))</f>
        <v/>
      </c>
    </row>
  </sheetData>
  <sheetProtection formatCells="0" formatColumns="0" formatRows="0"/>
  <mergeCells count="15">
    <mergeCell ref="B17:O17"/>
    <mergeCell ref="C18:H18"/>
    <mergeCell ref="N22:O22"/>
    <mergeCell ref="A1:O1"/>
    <mergeCell ref="A2:O2"/>
    <mergeCell ref="A3:O3"/>
    <mergeCell ref="A5:A6"/>
    <mergeCell ref="B5:B6"/>
    <mergeCell ref="C5:D5"/>
    <mergeCell ref="E5:F5"/>
    <mergeCell ref="G5:H5"/>
    <mergeCell ref="I5:J5"/>
    <mergeCell ref="K5:L5"/>
    <mergeCell ref="M5:N5"/>
    <mergeCell ref="O5:O6"/>
  </mergeCells>
  <conditionalFormatting sqref="C7:L14">
    <cfRule type="top10" dxfId="2" priority="2" stopIfTrue="1" rank="1"/>
  </conditionalFormatting>
  <conditionalFormatting sqref="M7:M14">
    <cfRule type="top10" dxfId="1" priority="1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6" fitToWidth="0" orientation="landscape" r:id="rId1"/>
  <headerFooter alignWithMargins="0">
    <oddHeader>&amp;R&amp;G</oddHeader>
  </headerFooter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T14"/>
  <sheetViews>
    <sheetView workbookViewId="0">
      <selection activeCell="E8" sqref="E7:J9"/>
    </sheetView>
  </sheetViews>
  <sheetFormatPr baseColWidth="10" defaultRowHeight="13.2"/>
  <cols>
    <col min="1" max="1" width="4.21875" customWidth="1"/>
    <col min="2" max="2" width="18.44140625" customWidth="1"/>
    <col min="3" max="16" width="8.6640625" customWidth="1"/>
    <col min="17" max="17" width="13.44140625" customWidth="1"/>
    <col min="18" max="18" width="9.44140625" customWidth="1"/>
    <col min="20" max="20" width="6.44140625" customWidth="1"/>
  </cols>
  <sheetData>
    <row r="1" spans="1:20" ht="28.5" customHeight="1">
      <c r="A1" s="449" t="str">
        <f>Schlüssel!$C$1</f>
        <v>Landesliga Jugend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</row>
    <row r="2" spans="1:20" ht="28.5" customHeight="1">
      <c r="A2" s="450" t="str">
        <f>"Saison "&amp;Spielorte!C18&amp;"     -     Spieltag "&amp;Erfassung7!S2&amp;"     -     "&amp;TEXT(Erfassung7!S1,"T. MMMM JJJJ")</f>
        <v>Saison 2024/2025     -     Spieltag 7     -     21. Juni 2025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</row>
    <row r="3" spans="1:20" ht="28.5" customHeight="1">
      <c r="A3" s="449" t="s">
        <v>2381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</row>
    <row r="4" spans="1:20" ht="28.5" customHeight="1" thickBot="1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74"/>
      <c r="S4" s="147"/>
    </row>
    <row r="5" spans="1:20">
      <c r="A5" s="451" t="s">
        <v>1804</v>
      </c>
      <c r="B5" s="447" t="s">
        <v>1805</v>
      </c>
      <c r="C5" s="443" t="s">
        <v>1808</v>
      </c>
      <c r="D5" s="444"/>
      <c r="E5" s="443" t="s">
        <v>1809</v>
      </c>
      <c r="F5" s="444"/>
      <c r="G5" s="443" t="s">
        <v>1810</v>
      </c>
      <c r="H5" s="444"/>
      <c r="I5" s="467" t="s">
        <v>1811</v>
      </c>
      <c r="J5" s="444"/>
      <c r="K5" s="467" t="s">
        <v>1812</v>
      </c>
      <c r="L5" s="444"/>
      <c r="M5" s="467" t="s">
        <v>1813</v>
      </c>
      <c r="N5" s="444"/>
      <c r="O5" s="467" t="s">
        <v>2382</v>
      </c>
      <c r="P5" s="469"/>
      <c r="Q5" s="443" t="s">
        <v>1792</v>
      </c>
      <c r="R5" s="444"/>
      <c r="S5" s="445" t="s">
        <v>1806</v>
      </c>
    </row>
    <row r="6" spans="1:20" ht="13.8" thickBot="1">
      <c r="A6" s="452"/>
      <c r="B6" s="448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63" t="s">
        <v>1800</v>
      </c>
      <c r="N6" s="64" t="s">
        <v>1801</v>
      </c>
      <c r="O6" s="63" t="s">
        <v>1800</v>
      </c>
      <c r="P6" s="256" t="s">
        <v>1801</v>
      </c>
      <c r="Q6" s="63" t="s">
        <v>1800</v>
      </c>
      <c r="R6" s="64" t="s">
        <v>1801</v>
      </c>
      <c r="S6" s="446"/>
    </row>
    <row r="7" spans="1:20" ht="42" customHeight="1" thickBot="1">
      <c r="A7" s="172">
        <v>1</v>
      </c>
      <c r="B7" s="104" t="e">
        <f>INDEX(Tabelle7!B:B,MATCH(A7,Tabelle7!AD:AD,0))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48" t="e">
        <f>INDEX(Tabelle3!M:M,MATCH(B7,Tabelle3!B:B,0))</f>
        <v>#N/A</v>
      </c>
      <c r="H7" s="150" t="e">
        <f>INDEX(Tabelle3!N:N,MATCH(B7,Tabelle3!B:B,0))</f>
        <v>#N/A</v>
      </c>
      <c r="I7" s="148" t="e">
        <f>INDEX(Tabelle4!M:M,MATCH(B7,Tabelle4!B:B,0))</f>
        <v>#N/A</v>
      </c>
      <c r="J7" s="150" t="e">
        <f>INDEX(Tabelle4!N:N,MATCH(B7,Tabelle4!B:B,0))</f>
        <v>#N/A</v>
      </c>
      <c r="K7" s="148" t="e">
        <f>INDEX(Tabelle5!M:M,MATCH(B7,Tabelle5!B:B,0))</f>
        <v>#N/A</v>
      </c>
      <c r="L7" s="150" t="e">
        <f>INDEX(Tabelle5!N:N,MATCH(B7,Tabelle5!B:B,0))</f>
        <v>#N/A</v>
      </c>
      <c r="M7" s="148" t="e">
        <f>INDEX(Tabelle6!M:M,MATCH(B7,Tabelle6!B:B,0))</f>
        <v>#N/A</v>
      </c>
      <c r="N7" s="151" t="e">
        <f>INDEX(Tabelle6!N:N,MATCH(B7,Tabelle6!B:B,0))</f>
        <v>#N/A</v>
      </c>
      <c r="O7" s="148" t="e">
        <f>INDEX(Tabelle7!M:M,MATCH(B7,Tabelle7!B:B,0))</f>
        <v>#N/A</v>
      </c>
      <c r="P7" s="151" t="e">
        <f>INDEX(Tabelle7!N:N,MATCH(B7,Tabelle7!B:B,0))</f>
        <v>#N/A</v>
      </c>
      <c r="Q7" s="257" t="e">
        <f>SUM(C7+E7+G7+I7+K7+M7+O7)</f>
        <v>#N/A</v>
      </c>
      <c r="R7" s="174" t="e">
        <f>SUM(D7+F7+H7+J7+L7+N7+P7)</f>
        <v>#N/A</v>
      </c>
      <c r="S7" s="175" t="e">
        <f>Q7/INDEX(Tabelle7!$AE:$AE,MATCH($B7,Tabelle7!$B:$B,0))</f>
        <v>#N/A</v>
      </c>
      <c r="T7" s="70"/>
    </row>
    <row r="8" spans="1:20" ht="42" customHeight="1" thickBot="1">
      <c r="A8" s="172">
        <v>2</v>
      </c>
      <c r="B8" s="104" t="e">
        <f>INDEX(Tabelle7!B:B,MATCH(A8,Tabelle7!AD:AD,0))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48" t="e">
        <f>INDEX(Tabelle3!M:M,MATCH(B8,Tabelle3!B:B,0))</f>
        <v>#N/A</v>
      </c>
      <c r="H8" s="150" t="e">
        <f>INDEX(Tabelle3!N:N,MATCH(B8,Tabelle3!B:B,0))</f>
        <v>#N/A</v>
      </c>
      <c r="I8" s="148" t="e">
        <f>INDEX(Tabelle4!M:M,MATCH(B8,Tabelle4!B:B,0))</f>
        <v>#N/A</v>
      </c>
      <c r="J8" s="150" t="e">
        <f>INDEX(Tabelle4!N:N,MATCH(B8,Tabelle4!B:B,0))</f>
        <v>#N/A</v>
      </c>
      <c r="K8" s="148" t="e">
        <f>INDEX(Tabelle5!M:M,MATCH(B8,Tabelle5!B:B,0))</f>
        <v>#N/A</v>
      </c>
      <c r="L8" s="150" t="e">
        <f>INDEX(Tabelle5!N:N,MATCH(B8,Tabelle5!B:B,0))</f>
        <v>#N/A</v>
      </c>
      <c r="M8" s="148" t="e">
        <f>INDEX(Tabelle6!M:M,MATCH(B8,Tabelle6!B:B,0))</f>
        <v>#N/A</v>
      </c>
      <c r="N8" s="151" t="e">
        <f>INDEX(Tabelle6!N:N,MATCH(B8,Tabelle6!B:B,0))</f>
        <v>#N/A</v>
      </c>
      <c r="O8" s="148" t="e">
        <f>INDEX(Tabelle6!O:O,MATCH(D8,Tabelle6!D:D,0))</f>
        <v>#N/A</v>
      </c>
      <c r="P8" s="151" t="e">
        <f>INDEX(Tabelle6!P:P,MATCH(D8,Tabelle6!D:D,0))</f>
        <v>#N/A</v>
      </c>
      <c r="Q8" s="257" t="e">
        <f t="shared" ref="Q8:Q14" si="0">SUM(C8+E8+G8+I8+K8+M8+O8)</f>
        <v>#N/A</v>
      </c>
      <c r="R8" s="174" t="e">
        <f t="shared" ref="R8:R14" si="1">SUM(D8+F8+H8+J8+L8+N8+P8)</f>
        <v>#N/A</v>
      </c>
      <c r="S8" s="175" t="e">
        <f>Q8/INDEX(Tabelle7!$AE:$AE,MATCH($B8,Tabelle7!$B:$B,0))</f>
        <v>#N/A</v>
      </c>
      <c r="T8" s="70"/>
    </row>
    <row r="9" spans="1:20" ht="42" customHeight="1" thickBot="1">
      <c r="A9" s="172">
        <v>3</v>
      </c>
      <c r="B9" s="104" t="e">
        <f>INDEX(Tabelle7!B:B,MATCH(A9,Tabelle7!AD:AD,0))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48" t="e">
        <f>INDEX(Tabelle3!M:M,MATCH(B9,Tabelle3!B:B,0))</f>
        <v>#N/A</v>
      </c>
      <c r="H9" s="150" t="e">
        <f>INDEX(Tabelle3!N:N,MATCH(B9,Tabelle3!B:B,0))</f>
        <v>#N/A</v>
      </c>
      <c r="I9" s="148" t="e">
        <f>INDEX(Tabelle4!M:M,MATCH(B9,Tabelle4!B:B,0))</f>
        <v>#N/A</v>
      </c>
      <c r="J9" s="150" t="e">
        <f>INDEX(Tabelle4!N:N,MATCH(B9,Tabelle4!B:B,0))</f>
        <v>#N/A</v>
      </c>
      <c r="K9" s="148" t="e">
        <f>INDEX(Tabelle5!M:M,MATCH(B9,Tabelle5!B:B,0))</f>
        <v>#N/A</v>
      </c>
      <c r="L9" s="150" t="e">
        <f>INDEX(Tabelle5!N:N,MATCH(B9,Tabelle5!B:B,0))</f>
        <v>#N/A</v>
      </c>
      <c r="M9" s="148" t="e">
        <f>INDEX(Tabelle6!M:M,MATCH(B9,Tabelle6!B:B,0))</f>
        <v>#N/A</v>
      </c>
      <c r="N9" s="151" t="e">
        <f>INDEX(Tabelle6!N:N,MATCH(B9,Tabelle6!B:B,0))</f>
        <v>#N/A</v>
      </c>
      <c r="O9" s="148" t="e">
        <f>INDEX(Tabelle6!O:O,MATCH(D9,Tabelle6!D:D,0))</f>
        <v>#N/A</v>
      </c>
      <c r="P9" s="151" t="e">
        <f>INDEX(Tabelle6!P:P,MATCH(D9,Tabelle6!D:D,0))</f>
        <v>#N/A</v>
      </c>
      <c r="Q9" s="257" t="e">
        <f t="shared" si="0"/>
        <v>#N/A</v>
      </c>
      <c r="R9" s="174" t="e">
        <f t="shared" si="1"/>
        <v>#N/A</v>
      </c>
      <c r="S9" s="175" t="e">
        <f>Q9/INDEX(Tabelle7!$AE:$AE,MATCH($B9,Tabelle7!$B:$B,0))</f>
        <v>#N/A</v>
      </c>
      <c r="T9" s="70"/>
    </row>
    <row r="10" spans="1:20" ht="42" customHeight="1" thickBot="1">
      <c r="A10" s="172">
        <v>4</v>
      </c>
      <c r="B10" s="104" t="e">
        <f>INDEX(Tabelle7!B:B,MATCH(A10,Tabelle7!AD:AD,0))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48" t="e">
        <f>INDEX(Tabelle3!M:M,MATCH(B10,Tabelle3!B:B,0))</f>
        <v>#N/A</v>
      </c>
      <c r="H10" s="150" t="e">
        <f>INDEX(Tabelle3!N:N,MATCH(B10,Tabelle3!B:B,0))</f>
        <v>#N/A</v>
      </c>
      <c r="I10" s="148" t="e">
        <f>INDEX(Tabelle4!M:M,MATCH(B10,Tabelle4!B:B,0))</f>
        <v>#N/A</v>
      </c>
      <c r="J10" s="150" t="e">
        <f>INDEX(Tabelle4!N:N,MATCH(B10,Tabelle4!B:B,0))</f>
        <v>#N/A</v>
      </c>
      <c r="K10" s="148" t="e">
        <f>INDEX(Tabelle5!M:M,MATCH(B10,Tabelle5!B:B,0))</f>
        <v>#N/A</v>
      </c>
      <c r="L10" s="150" t="e">
        <f>INDEX(Tabelle5!N:N,MATCH(B10,Tabelle5!B:B,0))</f>
        <v>#N/A</v>
      </c>
      <c r="M10" s="148" t="e">
        <f>INDEX(Tabelle6!M:M,MATCH(B10,Tabelle6!B:B,0))</f>
        <v>#N/A</v>
      </c>
      <c r="N10" s="151" t="e">
        <f>INDEX(Tabelle6!N:N,MATCH(B10,Tabelle6!B:B,0))</f>
        <v>#N/A</v>
      </c>
      <c r="O10" s="148" t="e">
        <f>INDEX(Tabelle6!O:O,MATCH(D10,Tabelle6!D:D,0))</f>
        <v>#N/A</v>
      </c>
      <c r="P10" s="151" t="e">
        <f>INDEX(Tabelle6!P:P,MATCH(D10,Tabelle6!D:D,0))</f>
        <v>#N/A</v>
      </c>
      <c r="Q10" s="257" t="e">
        <f t="shared" si="0"/>
        <v>#N/A</v>
      </c>
      <c r="R10" s="174" t="e">
        <f t="shared" si="1"/>
        <v>#N/A</v>
      </c>
      <c r="S10" s="175" t="e">
        <f>Q10/INDEX(Tabelle7!$AE:$AE,MATCH($B10,Tabelle7!$B:$B,0))</f>
        <v>#N/A</v>
      </c>
      <c r="T10" s="70"/>
    </row>
    <row r="11" spans="1:20" ht="42" customHeight="1" thickBot="1">
      <c r="A11" s="172">
        <v>5</v>
      </c>
      <c r="B11" s="104" t="e">
        <f>INDEX(Tabelle7!B:B,MATCH(A11,Tabelle7!AD:AD,0))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48" t="e">
        <f>INDEX(Tabelle3!M:M,MATCH(B11,Tabelle3!B:B,0))</f>
        <v>#N/A</v>
      </c>
      <c r="H11" s="150" t="e">
        <f>INDEX(Tabelle3!N:N,MATCH(B11,Tabelle3!B:B,0))</f>
        <v>#N/A</v>
      </c>
      <c r="I11" s="148" t="e">
        <f>INDEX(Tabelle4!M:M,MATCH(B11,Tabelle4!B:B,0))</f>
        <v>#N/A</v>
      </c>
      <c r="J11" s="150" t="e">
        <f>INDEX(Tabelle4!N:N,MATCH(B11,Tabelle4!B:B,0))</f>
        <v>#N/A</v>
      </c>
      <c r="K11" s="148" t="e">
        <f>INDEX(Tabelle5!M:M,MATCH(B11,Tabelle5!B:B,0))</f>
        <v>#N/A</v>
      </c>
      <c r="L11" s="150" t="e">
        <f>INDEX(Tabelle5!N:N,MATCH(B11,Tabelle5!B:B,0))</f>
        <v>#N/A</v>
      </c>
      <c r="M11" s="148" t="e">
        <f>INDEX(Tabelle6!M:M,MATCH(B11,Tabelle6!B:B,0))</f>
        <v>#N/A</v>
      </c>
      <c r="N11" s="151" t="e">
        <f>INDEX(Tabelle6!N:N,MATCH(B11,Tabelle6!B:B,0))</f>
        <v>#N/A</v>
      </c>
      <c r="O11" s="148" t="e">
        <f>INDEX(Tabelle6!O:O,MATCH(D11,Tabelle6!D:D,0))</f>
        <v>#N/A</v>
      </c>
      <c r="P11" s="151" t="e">
        <f>INDEX(Tabelle6!P:P,MATCH(D11,Tabelle6!D:D,0))</f>
        <v>#N/A</v>
      </c>
      <c r="Q11" s="257" t="e">
        <f t="shared" si="0"/>
        <v>#N/A</v>
      </c>
      <c r="R11" s="174" t="e">
        <f t="shared" si="1"/>
        <v>#N/A</v>
      </c>
      <c r="S11" s="175" t="e">
        <f>Q11/INDEX(Tabelle7!$AE:$AE,MATCH($B11,Tabelle7!$B:$B,0))</f>
        <v>#N/A</v>
      </c>
      <c r="T11" s="70"/>
    </row>
    <row r="12" spans="1:20" ht="42" customHeight="1" thickBot="1">
      <c r="A12" s="172">
        <v>6</v>
      </c>
      <c r="B12" s="104" t="e">
        <f>INDEX(Tabelle7!B:B,MATCH(A12,Tabelle7!AD:AD,0))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48" t="e">
        <f>INDEX(Tabelle3!M:M,MATCH(B12,Tabelle3!B:B,0))</f>
        <v>#N/A</v>
      </c>
      <c r="H12" s="150" t="e">
        <f>INDEX(Tabelle3!N:N,MATCH(B12,Tabelle3!B:B,0))</f>
        <v>#N/A</v>
      </c>
      <c r="I12" s="148" t="e">
        <f>INDEX(Tabelle4!M:M,MATCH(B12,Tabelle4!B:B,0))</f>
        <v>#N/A</v>
      </c>
      <c r="J12" s="150" t="e">
        <f>INDEX(Tabelle4!N:N,MATCH(B12,Tabelle4!B:B,0))</f>
        <v>#N/A</v>
      </c>
      <c r="K12" s="148" t="e">
        <f>INDEX(Tabelle5!M:M,MATCH(B12,Tabelle5!B:B,0))</f>
        <v>#N/A</v>
      </c>
      <c r="L12" s="150" t="e">
        <f>INDEX(Tabelle5!N:N,MATCH(B12,Tabelle5!B:B,0))</f>
        <v>#N/A</v>
      </c>
      <c r="M12" s="148" t="e">
        <f>INDEX(Tabelle6!M:M,MATCH(B12,Tabelle6!B:B,0))</f>
        <v>#N/A</v>
      </c>
      <c r="N12" s="151" t="e">
        <f>INDEX(Tabelle6!N:N,MATCH(B12,Tabelle6!B:B,0))</f>
        <v>#N/A</v>
      </c>
      <c r="O12" s="148" t="e">
        <f>INDEX(Tabelle6!O:O,MATCH(D12,Tabelle6!D:D,0))</f>
        <v>#N/A</v>
      </c>
      <c r="P12" s="151" t="e">
        <f>INDEX(Tabelle6!P:P,MATCH(D12,Tabelle6!D:D,0))</f>
        <v>#N/A</v>
      </c>
      <c r="Q12" s="257" t="e">
        <f t="shared" si="0"/>
        <v>#N/A</v>
      </c>
      <c r="R12" s="174" t="e">
        <f t="shared" si="1"/>
        <v>#N/A</v>
      </c>
      <c r="S12" s="175" t="e">
        <f>Q12/INDEX(Tabelle7!$AE:$AE,MATCH($B12,Tabelle7!$B:$B,0))</f>
        <v>#N/A</v>
      </c>
      <c r="T12" s="70"/>
    </row>
    <row r="13" spans="1:20" ht="42" customHeight="1" thickBot="1">
      <c r="A13" s="172">
        <v>7</v>
      </c>
      <c r="B13" s="104" t="e">
        <f>INDEX(Tabelle7!B:B,MATCH(A13,Tabelle7!AD:AD,0))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48" t="e">
        <f>INDEX(Tabelle3!M:M,MATCH(B13,Tabelle3!B:B,0))</f>
        <v>#N/A</v>
      </c>
      <c r="H13" s="150" t="e">
        <f>INDEX(Tabelle3!N:N,MATCH(B13,Tabelle3!B:B,0))</f>
        <v>#N/A</v>
      </c>
      <c r="I13" s="148" t="e">
        <f>INDEX(Tabelle4!M:M,MATCH(B13,Tabelle4!B:B,0))</f>
        <v>#N/A</v>
      </c>
      <c r="J13" s="150" t="e">
        <f>INDEX(Tabelle4!N:N,MATCH(B13,Tabelle4!B:B,0))</f>
        <v>#N/A</v>
      </c>
      <c r="K13" s="148" t="e">
        <f>INDEX(Tabelle5!M:M,MATCH(B13,Tabelle5!B:B,0))</f>
        <v>#N/A</v>
      </c>
      <c r="L13" s="150" t="e">
        <f>INDEX(Tabelle5!N:N,MATCH(B13,Tabelle5!B:B,0))</f>
        <v>#N/A</v>
      </c>
      <c r="M13" s="148" t="e">
        <f>INDEX(Tabelle6!M:M,MATCH(B13,Tabelle6!B:B,0))</f>
        <v>#N/A</v>
      </c>
      <c r="N13" s="151" t="e">
        <f>INDEX(Tabelle6!N:N,MATCH(B13,Tabelle6!B:B,0))</f>
        <v>#N/A</v>
      </c>
      <c r="O13" s="148" t="e">
        <f>INDEX(Tabelle6!O:O,MATCH(D13,Tabelle6!D:D,0))</f>
        <v>#N/A</v>
      </c>
      <c r="P13" s="151" t="e">
        <f>INDEX(Tabelle6!P:P,MATCH(D13,Tabelle6!D:D,0))</f>
        <v>#N/A</v>
      </c>
      <c r="Q13" s="257" t="e">
        <f t="shared" si="0"/>
        <v>#N/A</v>
      </c>
      <c r="R13" s="174" t="e">
        <f t="shared" si="1"/>
        <v>#N/A</v>
      </c>
      <c r="S13" s="175" t="e">
        <f>Q13/INDEX(Tabelle7!$AE:$AE,MATCH($B13,Tabelle7!$B:$B,0))</f>
        <v>#N/A</v>
      </c>
      <c r="T13" s="70"/>
    </row>
    <row r="14" spans="1:20" ht="42" customHeight="1" thickBot="1">
      <c r="A14" s="172">
        <v>8</v>
      </c>
      <c r="B14" s="104" t="e">
        <f>INDEX(Tabelle7!B:B,MATCH(A14,Tabelle7!AD:AD,0))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48" t="e">
        <f>INDEX(Tabelle3!M:M,MATCH(B14,Tabelle3!B:B,0))</f>
        <v>#N/A</v>
      </c>
      <c r="H14" s="150" t="e">
        <f>INDEX(Tabelle3!N:N,MATCH(B14,Tabelle3!B:B,0))</f>
        <v>#N/A</v>
      </c>
      <c r="I14" s="148" t="e">
        <f>INDEX(Tabelle4!M:M,MATCH(B14,Tabelle4!B:B,0))</f>
        <v>#N/A</v>
      </c>
      <c r="J14" s="150" t="e">
        <f>INDEX(Tabelle4!N:N,MATCH(B14,Tabelle4!B:B,0))</f>
        <v>#N/A</v>
      </c>
      <c r="K14" s="148" t="e">
        <f>INDEX(Tabelle5!M:M,MATCH(B14,Tabelle5!B:B,0))</f>
        <v>#N/A</v>
      </c>
      <c r="L14" s="150" t="e">
        <f>INDEX(Tabelle5!N:N,MATCH(B14,Tabelle5!B:B,0))</f>
        <v>#N/A</v>
      </c>
      <c r="M14" s="148" t="e">
        <f>INDEX(Tabelle6!M:M,MATCH(B14,Tabelle6!B:B,0))</f>
        <v>#N/A</v>
      </c>
      <c r="N14" s="151" t="e">
        <f>INDEX(Tabelle6!N:N,MATCH(B14,Tabelle6!B:B,0))</f>
        <v>#N/A</v>
      </c>
      <c r="O14" s="148" t="e">
        <f>INDEX(Tabelle6!O:O,MATCH(D14,Tabelle6!D:D,0))</f>
        <v>#N/A</v>
      </c>
      <c r="P14" s="151" t="e">
        <f>INDEX(Tabelle6!P:P,MATCH(D14,Tabelle6!D:D,0))</f>
        <v>#N/A</v>
      </c>
      <c r="Q14" s="257" t="e">
        <f t="shared" si="0"/>
        <v>#N/A</v>
      </c>
      <c r="R14" s="174" t="e">
        <f t="shared" si="1"/>
        <v>#N/A</v>
      </c>
      <c r="S14" s="175" t="e">
        <f>Q14/INDEX(Tabelle7!$AE:$AE,MATCH($B14,Tabelle7!$B:$B,0))</f>
        <v>#N/A</v>
      </c>
      <c r="T14" s="70"/>
    </row>
  </sheetData>
  <sheetProtection password="D19C" sheet="1" objects="1" scenarios="1" formatCells="0" formatColumns="0" formatRows="0"/>
  <mergeCells count="14">
    <mergeCell ref="M5:N5"/>
    <mergeCell ref="Q5:R5"/>
    <mergeCell ref="S5:S6"/>
    <mergeCell ref="O5:P5"/>
    <mergeCell ref="A1:S1"/>
    <mergeCell ref="A2:S2"/>
    <mergeCell ref="A3:S3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19685039370078741" right="0.19685039370078741" top="0.78740157480314965" bottom="0.78740157480314965" header="0.31496062992125984" footer="0.31496062992125984"/>
  <pageSetup paperSize="9" scale="82" fitToHeight="0" orientation="landscape" r:id="rId1"/>
  <headerFooter>
    <oddHeader>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autoPageBreaks="0"/>
  </sheetPr>
  <dimension ref="A1:V87"/>
  <sheetViews>
    <sheetView showGridLines="0" topLeftCell="A59" zoomScale="134" zoomScaleNormal="134" workbookViewId="0">
      <selection activeCell="D34" sqref="D34"/>
    </sheetView>
  </sheetViews>
  <sheetFormatPr baseColWidth="10" defaultColWidth="0" defaultRowHeight="13.2"/>
  <cols>
    <col min="1" max="1" width="1.21875" customWidth="1"/>
    <col min="2" max="2" width="3.44140625" customWidth="1"/>
    <col min="3" max="3" width="10.664062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21875" customWidth="1"/>
    <col min="9" max="9" width="2.21875" customWidth="1"/>
    <col min="10" max="10" width="3.21875" customWidth="1"/>
    <col min="11" max="11" width="0.6640625" customWidth="1"/>
    <col min="12" max="12" width="9.33203125" customWidth="1"/>
    <col min="13" max="13" width="2.21875" customWidth="1"/>
    <col min="14" max="14" width="3.21875" customWidth="1"/>
    <col min="15" max="15" width="0.6640625" customWidth="1"/>
    <col min="16" max="16" width="11.21875" customWidth="1"/>
    <col min="17" max="17" width="2.21875" customWidth="1"/>
    <col min="18" max="18" width="3.21875" customWidth="1"/>
    <col min="19" max="19" width="0.6640625" customWidth="1"/>
    <col min="20" max="20" width="11.6640625" customWidth="1"/>
    <col min="21" max="21" width="2.21875" customWidth="1"/>
    <col min="22" max="22" width="1" customWidth="1"/>
    <col min="23" max="16384" width="9.21875" hidden="1"/>
  </cols>
  <sheetData>
    <row r="1" spans="2:21" ht="3.75" customHeight="1"/>
    <row r="2" spans="2:21" ht="24.6">
      <c r="B2" s="378" t="s">
        <v>1824</v>
      </c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</row>
    <row r="3" spans="2:21" ht="11.25" customHeight="1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>
      <c r="P4" s="106"/>
      <c r="Q4" s="379"/>
      <c r="R4" s="379"/>
      <c r="S4" s="379"/>
      <c r="T4" s="379"/>
      <c r="U4" s="379"/>
    </row>
    <row r="5" spans="2:21" ht="11.25" customHeight="1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>
      <c r="B6" s="56"/>
      <c r="C6" s="110" t="s">
        <v>1788</v>
      </c>
      <c r="D6" s="110"/>
      <c r="E6" s="380">
        <f>+Spielzettel1!N2</f>
        <v>1</v>
      </c>
      <c r="F6" s="381"/>
      <c r="P6" s="110" t="s">
        <v>1825</v>
      </c>
      <c r="Q6" s="382">
        <f>+Spielzettel1!M1</f>
        <v>45211</v>
      </c>
      <c r="R6" s="383">
        <v>0</v>
      </c>
      <c r="S6" s="383">
        <v>0</v>
      </c>
      <c r="T6" s="384">
        <v>0</v>
      </c>
      <c r="U6" s="111"/>
    </row>
    <row r="7" spans="2:21">
      <c r="B7" s="56"/>
      <c r="C7" s="110"/>
      <c r="D7" s="110"/>
      <c r="U7" s="111"/>
    </row>
    <row r="8" spans="2:21">
      <c r="B8" s="56"/>
      <c r="C8" s="110" t="s">
        <v>1826</v>
      </c>
      <c r="D8" s="110"/>
      <c r="E8" s="385" t="str">
        <f>+Spielzettel1!E2</f>
        <v>Brunnthal Max Munich</v>
      </c>
      <c r="F8" s="386"/>
      <c r="G8" s="386"/>
      <c r="H8" s="386">
        <v>0</v>
      </c>
      <c r="I8" s="386"/>
      <c r="J8" s="387"/>
      <c r="N8" s="110" t="s">
        <v>1827</v>
      </c>
      <c r="P8" s="388" t="str">
        <f>+Spielzettel1!E1</f>
        <v>Landesliga Jugend</v>
      </c>
      <c r="Q8" s="389"/>
      <c r="R8" s="389"/>
      <c r="S8" s="389"/>
      <c r="T8" s="390"/>
      <c r="U8" s="111"/>
    </row>
    <row r="9" spans="2:21" ht="11.25" customHeight="1" thickBot="1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3.8" thickBot="1"/>
    <row r="11" spans="2:21" s="2" customFormat="1" ht="30" customHeight="1" thickBot="1">
      <c r="B11" s="115"/>
      <c r="C11" s="372" t="s">
        <v>1828</v>
      </c>
      <c r="D11" s="372"/>
      <c r="E11" s="372"/>
      <c r="F11" s="372"/>
      <c r="G11" s="372"/>
      <c r="H11" s="372"/>
      <c r="I11" s="372"/>
      <c r="J11" s="372"/>
      <c r="K11" s="372"/>
      <c r="L11" s="372"/>
      <c r="M11" s="372"/>
      <c r="N11" s="372"/>
      <c r="O11" s="372"/>
      <c r="P11" s="372"/>
      <c r="Q11" s="372"/>
      <c r="R11" s="372"/>
      <c r="S11" s="372"/>
      <c r="T11" s="372"/>
      <c r="U11" s="116"/>
    </row>
    <row r="12" spans="2:21" ht="21.75" customHeight="1">
      <c r="B12" s="117"/>
      <c r="C12" s="373" t="s">
        <v>1829</v>
      </c>
      <c r="D12" s="373"/>
      <c r="E12" s="373"/>
      <c r="F12" s="373"/>
      <c r="G12" s="373"/>
      <c r="H12" s="373"/>
      <c r="I12" s="373"/>
      <c r="J12" s="373"/>
      <c r="L12" s="118">
        <v>0.39583333333333331</v>
      </c>
      <c r="M12" s="119" t="s">
        <v>1830</v>
      </c>
      <c r="P12" s="89"/>
      <c r="U12" s="111"/>
    </row>
    <row r="13" spans="2:21" ht="6.75" customHeight="1" thickBot="1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>
      <c r="B14" s="56"/>
      <c r="U14" s="111"/>
    </row>
    <row r="15" spans="2:21">
      <c r="B15" s="56"/>
      <c r="C15" s="121" t="s">
        <v>1831</v>
      </c>
      <c r="D15" s="121"/>
      <c r="F15" s="122" t="s">
        <v>2599</v>
      </c>
      <c r="G15" s="123"/>
      <c r="H15" t="s">
        <v>1832</v>
      </c>
      <c r="J15" s="122"/>
      <c r="L15" t="s">
        <v>1833</v>
      </c>
      <c r="U15" s="111"/>
    </row>
    <row r="16" spans="2:21">
      <c r="B16" s="56"/>
      <c r="C16" s="121"/>
      <c r="D16" s="121"/>
      <c r="F16" s="7"/>
      <c r="J16" s="86"/>
      <c r="U16" s="111"/>
    </row>
    <row r="17" spans="2:21">
      <c r="B17" s="56"/>
      <c r="C17" s="121" t="s">
        <v>1834</v>
      </c>
      <c r="D17" s="121"/>
      <c r="F17" s="122" t="s">
        <v>2599</v>
      </c>
      <c r="G17" s="123"/>
      <c r="H17" t="s">
        <v>1832</v>
      </c>
      <c r="J17" s="122"/>
      <c r="L17" t="s">
        <v>1833</v>
      </c>
      <c r="U17" s="111"/>
    </row>
    <row r="18" spans="2:21" ht="18.75" customHeight="1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4.950000000000003" customHeight="1">
      <c r="B19" s="56"/>
      <c r="C19" s="366"/>
      <c r="D19" s="367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4"/>
      <c r="T19" s="375"/>
      <c r="U19" s="111"/>
    </row>
    <row r="20" spans="2:21" ht="12.75" customHeight="1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>
      <c r="B21" s="56"/>
      <c r="C21" s="121" t="s">
        <v>1836</v>
      </c>
      <c r="D21" s="121"/>
      <c r="U21" s="111"/>
    </row>
    <row r="22" spans="2:21">
      <c r="B22" s="56"/>
      <c r="C22" s="121" t="s">
        <v>1837</v>
      </c>
      <c r="D22" s="121"/>
      <c r="F22" s="122" t="s">
        <v>2599</v>
      </c>
      <c r="H22" t="s">
        <v>1832</v>
      </c>
      <c r="J22" s="122"/>
      <c r="L22" t="s">
        <v>1833</v>
      </c>
      <c r="U22" s="111"/>
    </row>
    <row r="23" spans="2:21" ht="18.75" customHeight="1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4.950000000000003" customHeight="1">
      <c r="B24" s="56"/>
      <c r="C24" s="366"/>
      <c r="D24" s="367"/>
      <c r="E24" s="367"/>
      <c r="F24" s="367"/>
      <c r="G24" s="367"/>
      <c r="H24" s="367"/>
      <c r="I24" s="367"/>
      <c r="J24" s="367"/>
      <c r="K24" s="367"/>
      <c r="L24" s="367"/>
      <c r="M24" s="367"/>
      <c r="N24" s="367"/>
      <c r="O24" s="367"/>
      <c r="P24" s="367"/>
      <c r="Q24" s="367"/>
      <c r="R24" s="367"/>
      <c r="S24" s="367"/>
      <c r="T24" s="368"/>
      <c r="U24" s="111"/>
    </row>
    <row r="25" spans="2:21" ht="12.75" customHeight="1" thickBot="1">
      <c r="B25" s="56"/>
      <c r="C25" s="127"/>
      <c r="D25" s="127"/>
      <c r="U25" s="111"/>
    </row>
    <row r="26" spans="2:21" ht="13.5" hidden="1" customHeight="1">
      <c r="B26" s="56"/>
      <c r="C26" s="121" t="s">
        <v>1838</v>
      </c>
      <c r="D26" s="121"/>
      <c r="U26" s="111"/>
    </row>
    <row r="27" spans="2:21" hidden="1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4.950000000000003" hidden="1" customHeight="1">
      <c r="B29" s="56"/>
      <c r="C29" s="366"/>
      <c r="D29" s="367"/>
      <c r="E29" s="367"/>
      <c r="F29" s="367"/>
      <c r="G29" s="367"/>
      <c r="H29" s="367"/>
      <c r="I29" s="367"/>
      <c r="J29" s="367"/>
      <c r="K29" s="367"/>
      <c r="L29" s="367"/>
      <c r="M29" s="367"/>
      <c r="N29" s="367"/>
      <c r="O29" s="367"/>
      <c r="P29" s="367"/>
      <c r="Q29" s="367"/>
      <c r="R29" s="367"/>
      <c r="S29" s="367"/>
      <c r="T29" s="368"/>
      <c r="U29" s="111"/>
    </row>
    <row r="30" spans="2:21" ht="12.75" hidden="1" customHeight="1" thickBot="1">
      <c r="B30" s="56"/>
      <c r="C30" s="127"/>
      <c r="D30" s="127"/>
      <c r="P30" s="128"/>
      <c r="U30" s="111"/>
    </row>
    <row r="31" spans="2:21" s="133" customFormat="1" ht="21.75" customHeight="1">
      <c r="B31" s="129" t="s">
        <v>1840</v>
      </c>
      <c r="C31" s="130"/>
      <c r="D31" s="130"/>
      <c r="E31" s="130"/>
      <c r="F31" s="130"/>
      <c r="G31" s="130"/>
      <c r="H31" s="131">
        <v>0.49305555555555558</v>
      </c>
      <c r="I31" s="130"/>
      <c r="J31" s="132" t="s">
        <v>1841</v>
      </c>
      <c r="K31" s="132"/>
      <c r="L31" s="131">
        <v>0.50347222222222221</v>
      </c>
      <c r="M31" s="132" t="s">
        <v>1830</v>
      </c>
      <c r="N31" s="132"/>
      <c r="O31" s="132"/>
      <c r="P31" s="130"/>
      <c r="Q31" s="130"/>
      <c r="R31" s="130"/>
      <c r="S31" s="130"/>
      <c r="T31" s="130"/>
      <c r="U31" s="134"/>
    </row>
    <row r="32" spans="2:21" ht="9" customHeight="1" thickBot="1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>
      <c r="B33" s="135"/>
      <c r="U33" s="111"/>
    </row>
    <row r="34" spans="2:21">
      <c r="B34" s="56"/>
      <c r="C34" s="121" t="s">
        <v>1842</v>
      </c>
      <c r="D34" s="121"/>
      <c r="F34" s="122"/>
      <c r="H34" t="s">
        <v>1832</v>
      </c>
      <c r="J34" s="122" t="s">
        <v>2599</v>
      </c>
      <c r="L34" t="s">
        <v>1833</v>
      </c>
      <c r="U34" s="111"/>
    </row>
    <row r="35" spans="2:21" ht="17.25" customHeight="1">
      <c r="B35" s="56"/>
      <c r="C35" s="121" t="s">
        <v>1843</v>
      </c>
      <c r="D35" s="121"/>
      <c r="F35" s="376"/>
      <c r="G35" s="376"/>
      <c r="H35" s="121"/>
      <c r="U35" s="111"/>
    </row>
    <row r="36" spans="2:21" ht="17.25" customHeight="1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4.950000000000003" customHeight="1">
      <c r="B37" s="56"/>
      <c r="C37" s="366"/>
      <c r="D37" s="367"/>
      <c r="E37" s="367"/>
      <c r="F37" s="367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8"/>
      <c r="U37" s="111"/>
    </row>
    <row r="38" spans="2:21">
      <c r="B38" s="56"/>
      <c r="C38" s="127"/>
      <c r="D38" s="127"/>
      <c r="U38" s="111"/>
    </row>
    <row r="39" spans="2:21" ht="6.75" customHeight="1">
      <c r="B39" s="56"/>
      <c r="C39" s="127"/>
      <c r="D39" s="127"/>
      <c r="U39" s="111"/>
    </row>
    <row r="40" spans="2:21">
      <c r="B40" s="56"/>
      <c r="C40" s="121" t="s">
        <v>1845</v>
      </c>
      <c r="D40" s="121"/>
      <c r="F40" s="122" t="s">
        <v>2599</v>
      </c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>
      <c r="B41" s="56"/>
      <c r="C41" s="137" t="s">
        <v>1849</v>
      </c>
      <c r="D41" s="137"/>
      <c r="F41" s="377"/>
      <c r="G41" s="377"/>
      <c r="H41" s="377"/>
      <c r="U41" s="111"/>
    </row>
    <row r="42" spans="2:21" ht="11.25" customHeight="1" thickBot="1">
      <c r="B42" s="56"/>
      <c r="U42" s="111"/>
    </row>
    <row r="43" spans="2:21" s="133" customFormat="1" ht="21.75" customHeight="1">
      <c r="B43" s="129" t="s">
        <v>2598</v>
      </c>
      <c r="C43" s="130"/>
      <c r="D43" s="130"/>
      <c r="E43" s="130"/>
      <c r="F43" s="130"/>
      <c r="G43" s="130"/>
      <c r="H43" s="324"/>
      <c r="I43" s="132"/>
      <c r="J43" s="326"/>
      <c r="K43" s="326"/>
      <c r="L43" s="131">
        <v>0.55208333333333337</v>
      </c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>
      <c r="B45" s="135"/>
      <c r="U45" s="111"/>
    </row>
    <row r="46" spans="2:21" ht="13.8">
      <c r="B46" s="138" t="s">
        <v>1850</v>
      </c>
      <c r="U46" s="111"/>
    </row>
    <row r="47" spans="2:21" ht="9" customHeight="1">
      <c r="B47" s="56"/>
      <c r="U47" s="111"/>
    </row>
    <row r="48" spans="2:21" ht="80.25" customHeight="1">
      <c r="B48" s="56"/>
      <c r="C48" s="366"/>
      <c r="D48" s="367"/>
      <c r="E48" s="367"/>
      <c r="F48" s="367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8"/>
      <c r="U48" s="111"/>
    </row>
    <row r="49" spans="2:21" ht="11.25" customHeight="1" thickBot="1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3.8" thickBot="1"/>
    <row r="51" spans="2:21" s="2" customFormat="1" ht="30" customHeight="1" thickBot="1">
      <c r="B51" s="115"/>
      <c r="C51" s="372" t="s">
        <v>1851</v>
      </c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O51" s="372"/>
      <c r="P51" s="372"/>
      <c r="Q51" s="372"/>
      <c r="R51" s="372"/>
      <c r="S51" s="372"/>
      <c r="T51" s="372"/>
      <c r="U51" s="116"/>
    </row>
    <row r="52" spans="2:21" ht="9" customHeight="1">
      <c r="B52" s="56"/>
      <c r="U52" s="111"/>
    </row>
    <row r="53" spans="2:21" ht="13.8">
      <c r="B53" s="138"/>
      <c r="C53" s="89" t="s">
        <v>1852</v>
      </c>
      <c r="D53" s="89"/>
      <c r="U53" s="111"/>
    </row>
    <row r="54" spans="2:21" ht="9" customHeight="1">
      <c r="B54" s="56"/>
      <c r="U54" s="111"/>
    </row>
    <row r="55" spans="2:21" ht="36.75" customHeight="1">
      <c r="B55" s="56"/>
      <c r="C55" s="366"/>
      <c r="D55" s="367"/>
      <c r="E55" s="367"/>
      <c r="F55" s="367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8"/>
      <c r="U55" s="111"/>
    </row>
    <row r="56" spans="2:21" ht="12.75" customHeight="1">
      <c r="B56" s="56"/>
      <c r="C56" s="127"/>
      <c r="D56" s="127"/>
      <c r="U56" s="111"/>
    </row>
    <row r="57" spans="2:21" ht="12.75" customHeight="1">
      <c r="B57" s="138"/>
      <c r="C57" s="89" t="s">
        <v>1853</v>
      </c>
      <c r="D57" s="89"/>
      <c r="U57" s="111"/>
    </row>
    <row r="58" spans="2:21" ht="6.75" customHeight="1">
      <c r="B58" s="56"/>
      <c r="U58" s="111"/>
    </row>
    <row r="59" spans="2:21" ht="36.75" customHeight="1">
      <c r="B59" s="56"/>
      <c r="C59" s="366"/>
      <c r="D59" s="367"/>
      <c r="E59" s="367"/>
      <c r="F59" s="367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8"/>
      <c r="U59" s="111"/>
    </row>
    <row r="60" spans="2:21" ht="12.75" customHeight="1">
      <c r="B60" s="56"/>
      <c r="C60" s="127"/>
      <c r="D60" s="127"/>
      <c r="U60" s="111"/>
    </row>
    <row r="61" spans="2:21" ht="12.75" customHeight="1">
      <c r="B61" s="138"/>
      <c r="C61" s="89" t="s">
        <v>1854</v>
      </c>
      <c r="D61" s="89"/>
      <c r="U61" s="111"/>
    </row>
    <row r="62" spans="2:21" ht="6.75" customHeight="1">
      <c r="B62" s="56"/>
      <c r="U62" s="111"/>
    </row>
    <row r="63" spans="2:21" ht="36.75" customHeight="1">
      <c r="B63" s="56"/>
      <c r="C63" s="366"/>
      <c r="D63" s="367"/>
      <c r="E63" s="367"/>
      <c r="F63" s="367"/>
      <c r="G63" s="367"/>
      <c r="H63" s="367"/>
      <c r="I63" s="36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8"/>
      <c r="U63" s="111"/>
    </row>
    <row r="64" spans="2:21" ht="11.25" customHeight="1">
      <c r="B64" s="56"/>
      <c r="C64" s="127"/>
      <c r="D64" s="127"/>
      <c r="U64" s="111"/>
    </row>
    <row r="65" spans="1:21" ht="13.5" customHeight="1">
      <c r="B65" s="138"/>
      <c r="C65" s="89" t="s">
        <v>1855</v>
      </c>
      <c r="D65" s="89"/>
      <c r="U65" s="111"/>
    </row>
    <row r="66" spans="1:21" ht="6.75" customHeight="1">
      <c r="B66" s="56"/>
      <c r="U66" s="111"/>
    </row>
    <row r="67" spans="1:21" ht="36.75" customHeight="1">
      <c r="B67" s="56"/>
      <c r="C67" s="366"/>
      <c r="D67" s="367"/>
      <c r="E67" s="367"/>
      <c r="F67" s="367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8"/>
      <c r="U67" s="111"/>
    </row>
    <row r="68" spans="1:21" ht="11.25" customHeight="1">
      <c r="B68" s="56"/>
      <c r="C68" s="127"/>
      <c r="D68" s="127"/>
      <c r="U68" s="111"/>
    </row>
    <row r="69" spans="1:21" ht="13.8">
      <c r="B69" s="138"/>
      <c r="C69" s="89" t="s">
        <v>1856</v>
      </c>
      <c r="D69" s="89"/>
      <c r="U69" s="111"/>
    </row>
    <row r="70" spans="1:21" ht="6" customHeight="1">
      <c r="B70" s="56"/>
      <c r="U70" s="111"/>
    </row>
    <row r="71" spans="1:21" ht="36.75" customHeight="1">
      <c r="B71" s="56"/>
      <c r="C71" s="366"/>
      <c r="D71" s="367"/>
      <c r="E71" s="367"/>
      <c r="F71" s="367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8"/>
      <c r="U71" s="111"/>
    </row>
    <row r="72" spans="1:21" ht="12.75" customHeight="1">
      <c r="B72" s="56"/>
      <c r="C72" s="127"/>
      <c r="D72" s="127"/>
      <c r="U72" s="111"/>
    </row>
    <row r="73" spans="1:21" ht="12.75" customHeight="1">
      <c r="B73" s="138"/>
      <c r="C73" s="89" t="s">
        <v>1857</v>
      </c>
      <c r="D73" s="89"/>
      <c r="U73" s="111"/>
    </row>
    <row r="74" spans="1:21" ht="6.75" customHeight="1">
      <c r="B74" s="56"/>
      <c r="U74" s="111"/>
    </row>
    <row r="75" spans="1:21" ht="36.75" customHeight="1">
      <c r="B75" s="56"/>
      <c r="C75" s="366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8"/>
      <c r="U75" s="111"/>
    </row>
    <row r="76" spans="1:21" ht="11.25" customHeight="1" thickBot="1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>
      <c r="B78" s="135"/>
      <c r="U78" s="111"/>
    </row>
    <row r="79" spans="1:21" s="53" customFormat="1" ht="18" customHeight="1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>
      <c r="B80" s="56"/>
      <c r="P80" s="53"/>
      <c r="Q80" s="53"/>
      <c r="U80" s="111"/>
    </row>
    <row r="81" spans="2:21" ht="6" customHeight="1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4.950000000000003" customHeight="1">
      <c r="B82" s="56"/>
      <c r="C82" s="369" t="s">
        <v>2601</v>
      </c>
      <c r="D82" s="370"/>
      <c r="E82" s="370"/>
      <c r="F82" s="370"/>
      <c r="G82" s="370"/>
      <c r="H82" s="370"/>
      <c r="I82" s="37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1"/>
      <c r="U82" s="111"/>
    </row>
    <row r="83" spans="2:21" ht="11.25" customHeight="1" thickBot="1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/>
    <row r="85" spans="2:21" ht="17.25" customHeight="1"/>
    <row r="86" spans="2:21">
      <c r="B86" s="89" t="s">
        <v>1862</v>
      </c>
      <c r="D86" s="364" t="s">
        <v>2600</v>
      </c>
      <c r="E86" s="365"/>
      <c r="F86" s="365"/>
      <c r="G86" s="365"/>
      <c r="H86" s="365"/>
      <c r="I86" s="365"/>
      <c r="J86" s="365"/>
      <c r="K86" s="365"/>
      <c r="L86" s="365"/>
      <c r="M86" s="365"/>
      <c r="P86" s="365"/>
      <c r="Q86" s="365"/>
      <c r="R86" s="365"/>
      <c r="S86" s="365"/>
      <c r="T86" s="365"/>
      <c r="U86" s="365"/>
    </row>
    <row r="87" spans="2:21">
      <c r="C87" s="143"/>
      <c r="D87" s="53" t="s">
        <v>1860</v>
      </c>
      <c r="P87" s="144" t="s">
        <v>1861</v>
      </c>
    </row>
  </sheetData>
  <sheetProtection algorithmName="SHA-512" hashValue="yK0tfr3n5wa6cEdZ84CvbBF99fQXnMuxkRoOq1OTAlXPazaLzDUcogkvrpxutpxGuCB05K+B9O6jIbkNUzFMHQ==" saltValue="0TujuxI5dV4sbFELG5ofHg==" spinCount="100000" sheet="1" formatCells="0" formatColumns="0" formatRows="0" selectLockedCells="1"/>
  <mergeCells count="25">
    <mergeCell ref="B2:U2"/>
    <mergeCell ref="Q4:U4"/>
    <mergeCell ref="E6:F6"/>
    <mergeCell ref="Q6:T6"/>
    <mergeCell ref="E8:J8"/>
    <mergeCell ref="P8:T8"/>
    <mergeCell ref="C59:T59"/>
    <mergeCell ref="C11:T11"/>
    <mergeCell ref="C12:J12"/>
    <mergeCell ref="C19:T19"/>
    <mergeCell ref="C24:T24"/>
    <mergeCell ref="C29:T29"/>
    <mergeCell ref="F35:G35"/>
    <mergeCell ref="C37:T37"/>
    <mergeCell ref="F41:H41"/>
    <mergeCell ref="C48:T48"/>
    <mergeCell ref="C51:T51"/>
    <mergeCell ref="C55:T55"/>
    <mergeCell ref="D86:M86"/>
    <mergeCell ref="P86:U86"/>
    <mergeCell ref="C63:T63"/>
    <mergeCell ref="C67:T67"/>
    <mergeCell ref="C71:T71"/>
    <mergeCell ref="C75:T75"/>
    <mergeCell ref="C82:T8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9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8" sqref="E7:J9"/>
    </sheetView>
  </sheetViews>
  <sheetFormatPr baseColWidth="10" defaultColWidth="11.44140625" defaultRowHeight="13.2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44140625" style="91"/>
    <col min="10" max="11" width="11.44140625" style="91" customWidth="1"/>
    <col min="12" max="16" width="11.44140625" style="91" hidden="1" customWidth="1"/>
    <col min="17" max="20" width="11.44140625" style="91" customWidth="1"/>
    <col min="21" max="16384" width="11.44140625" style="91"/>
  </cols>
  <sheetData>
    <row r="1" spans="1:16" ht="28.5" customHeight="1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>
      <c r="A2" s="96" t="s">
        <v>1785</v>
      </c>
      <c r="C2" s="97">
        <v>7</v>
      </c>
      <c r="D2" s="97" t="s">
        <v>1821</v>
      </c>
      <c r="E2" s="98"/>
      <c r="F2" s="99"/>
      <c r="L2" s="91">
        <f>INDEX(Starter!A:A,ROW()-1)</f>
        <v>38890</v>
      </c>
      <c r="M2" s="91">
        <f>SUMIF(Erfassung7!AU:AU,L2,Erfassung7!BJ:BJ)</f>
        <v>0</v>
      </c>
      <c r="N2" s="91">
        <f>SUMIF(Erfassung7!AU:AU,L2,Erfassung7!AX:AX)</f>
        <v>0</v>
      </c>
      <c r="O2" s="91">
        <f t="shared" ref="O2:O65" si="0">IF(N2=0,0,M2/N2-ROW()/1000000000)</f>
        <v>0</v>
      </c>
      <c r="P2" s="91">
        <f t="shared" ref="P2:P65" si="1">RANK(O2,O:O)</f>
        <v>1</v>
      </c>
    </row>
    <row r="3" spans="1:16">
      <c r="L3" s="91">
        <f>INDEX(Starter!A:A,ROW()-1)</f>
        <v>38785</v>
      </c>
      <c r="M3" s="91">
        <f>SUMIF(Erfassung7!AU:AU,L3,Erfassung7!BJ:BJ)</f>
        <v>0</v>
      </c>
      <c r="N3" s="91">
        <f>SUMIF(Erfassung7!AU:AU,L3,Erfassung7!AX:AX)</f>
        <v>0</v>
      </c>
      <c r="O3" s="91">
        <f t="shared" si="0"/>
        <v>0</v>
      </c>
      <c r="P3" s="91">
        <f t="shared" si="1"/>
        <v>1</v>
      </c>
    </row>
    <row r="4" spans="1:16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SUMIF(Erfassung7!AU:AU,L4,Erfassung7!BJ:BJ)</f>
        <v>0</v>
      </c>
      <c r="N4" s="91">
        <f>SUMIF(Erfassung7!AU:AU,L4,Erfassung7!AX:AX)</f>
        <v>0</v>
      </c>
      <c r="O4" s="91">
        <f t="shared" si="0"/>
        <v>0</v>
      </c>
      <c r="P4" s="91">
        <f t="shared" si="1"/>
        <v>1</v>
      </c>
    </row>
    <row r="5" spans="1:16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SUMIF(Erfassung7!AU:AU,L5,Erfassung7!BJ:BJ)</f>
        <v>0</v>
      </c>
      <c r="N5" s="91">
        <f>SUMIF(Erfassung7!AU:AU,L5,Erfassung7!AX:AX)</f>
        <v>0</v>
      </c>
      <c r="O5" s="91">
        <f t="shared" si="0"/>
        <v>0</v>
      </c>
      <c r="P5" s="91">
        <f t="shared" si="1"/>
        <v>1</v>
      </c>
    </row>
    <row r="6" spans="1:16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SUMIF(Erfassung7!AU:AU,L6,Erfassung7!BJ:BJ)</f>
        <v>0</v>
      </c>
      <c r="N6" s="91">
        <f>SUMIF(Erfassung7!AU:AU,L6,Erfassung7!AX:AX)</f>
        <v>0</v>
      </c>
      <c r="O6" s="91">
        <f t="shared" si="0"/>
        <v>0</v>
      </c>
      <c r="P6" s="91">
        <f t="shared" si="1"/>
        <v>1</v>
      </c>
    </row>
    <row r="7" spans="1:16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SUMIF(Erfassung7!AU:AU,L7,Erfassung7!BJ:BJ)</f>
        <v>0</v>
      </c>
      <c r="N7" s="91">
        <f>SUMIF(Erfassung7!AU:AU,L7,Erfassung7!AX:AX)</f>
        <v>0</v>
      </c>
      <c r="O7" s="91">
        <f t="shared" si="0"/>
        <v>0</v>
      </c>
      <c r="P7" s="91">
        <f t="shared" si="1"/>
        <v>1</v>
      </c>
    </row>
    <row r="8" spans="1:16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SUMIF(Erfassung7!AU:AU,L8,Erfassung7!BJ:BJ)</f>
        <v>0</v>
      </c>
      <c r="N8" s="91">
        <f>SUMIF(Erfassung7!AU:AU,L8,Erfassung7!AX:AX)</f>
        <v>0</v>
      </c>
      <c r="O8" s="91">
        <f t="shared" si="0"/>
        <v>0</v>
      </c>
      <c r="P8" s="91">
        <f t="shared" si="1"/>
        <v>1</v>
      </c>
    </row>
    <row r="9" spans="1:16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SUMIF(Erfassung7!AU:AU,L9,Erfassung7!BJ:BJ)</f>
        <v>0</v>
      </c>
      <c r="N9" s="91">
        <f>SUMIF(Erfassung7!AU:AU,L9,Erfassung7!AX:AX)</f>
        <v>0</v>
      </c>
      <c r="O9" s="91">
        <f t="shared" si="0"/>
        <v>0</v>
      </c>
      <c r="P9" s="91">
        <f t="shared" si="1"/>
        <v>1</v>
      </c>
    </row>
    <row r="10" spans="1:16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SUMIF(Erfassung7!AU:AU,L10,Erfassung7!BJ:BJ)</f>
        <v>0</v>
      </c>
      <c r="N10" s="91">
        <f>SUMIF(Erfassung7!AU:AU,L10,Erfassung7!AX:AX)</f>
        <v>0</v>
      </c>
      <c r="O10" s="91">
        <f t="shared" si="0"/>
        <v>0</v>
      </c>
      <c r="P10" s="91">
        <f t="shared" si="1"/>
        <v>1</v>
      </c>
    </row>
    <row r="11" spans="1:16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SUMIF(Erfassung7!AU:AU,L11,Erfassung7!BJ:BJ)</f>
        <v>0</v>
      </c>
      <c r="N11" s="91">
        <f>SUMIF(Erfassung7!AU:AU,L11,Erfassung7!AX:AX)</f>
        <v>0</v>
      </c>
      <c r="O11" s="91">
        <f t="shared" si="0"/>
        <v>0</v>
      </c>
      <c r="P11" s="91">
        <f t="shared" si="1"/>
        <v>1</v>
      </c>
    </row>
    <row r="12" spans="1:16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SUMIF(Erfassung7!AU:AU,L12,Erfassung7!BJ:BJ)</f>
        <v>0</v>
      </c>
      <c r="N12" s="91">
        <f>SUMIF(Erfassung7!AU:AU,L12,Erfassung7!AX:AX)</f>
        <v>0</v>
      </c>
      <c r="O12" s="91">
        <f t="shared" si="0"/>
        <v>0</v>
      </c>
      <c r="P12" s="91">
        <f t="shared" si="1"/>
        <v>1</v>
      </c>
    </row>
    <row r="13" spans="1:16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SUMIF(Erfassung7!AU:AU,L13,Erfassung7!BJ:BJ)</f>
        <v>0</v>
      </c>
      <c r="N13" s="91">
        <f>SUMIF(Erfassung7!AU:AU,L13,Erfassung7!AX:AX)</f>
        <v>0</v>
      </c>
      <c r="O13" s="91">
        <f t="shared" si="0"/>
        <v>0</v>
      </c>
      <c r="P13" s="91">
        <f t="shared" si="1"/>
        <v>1</v>
      </c>
    </row>
    <row r="14" spans="1:16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SUMIF(Erfassung7!AU:AU,L14,Erfassung7!BJ:BJ)</f>
        <v>0</v>
      </c>
      <c r="N14" s="91">
        <f>SUMIF(Erfassung7!AU:AU,L14,Erfassung7!AX:AX)</f>
        <v>0</v>
      </c>
      <c r="O14" s="91">
        <f t="shared" si="0"/>
        <v>0</v>
      </c>
      <c r="P14" s="91">
        <f t="shared" si="1"/>
        <v>1</v>
      </c>
    </row>
    <row r="15" spans="1:16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SUMIF(Erfassung7!AU:AU,L15,Erfassung7!BJ:BJ)</f>
        <v>0</v>
      </c>
      <c r="N15" s="91">
        <f>SUMIF(Erfassung7!AU:AU,L15,Erfassung7!AX:AX)</f>
        <v>0</v>
      </c>
      <c r="O15" s="91">
        <f t="shared" si="0"/>
        <v>0</v>
      </c>
      <c r="P15" s="91">
        <f t="shared" si="1"/>
        <v>1</v>
      </c>
    </row>
    <row r="16" spans="1:16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SUMIF(Erfassung7!AU:AU,L16,Erfassung7!BJ:BJ)</f>
        <v>0</v>
      </c>
      <c r="N16" s="91">
        <f>SUMIF(Erfassung7!AU:AU,L16,Erfassung7!AX:AX)</f>
        <v>0</v>
      </c>
      <c r="O16" s="91">
        <f t="shared" si="0"/>
        <v>0</v>
      </c>
      <c r="P16" s="91">
        <f t="shared" si="1"/>
        <v>1</v>
      </c>
    </row>
    <row r="17" spans="1:16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SUMIF(Erfassung7!AU:AU,L17,Erfassung7!BJ:BJ)</f>
        <v>0</v>
      </c>
      <c r="N17" s="91">
        <f>SUMIF(Erfassung7!AU:AU,L17,Erfassung7!AX:AX)</f>
        <v>0</v>
      </c>
      <c r="O17" s="91">
        <f t="shared" si="0"/>
        <v>0</v>
      </c>
      <c r="P17" s="91">
        <f t="shared" si="1"/>
        <v>1</v>
      </c>
    </row>
    <row r="18" spans="1:16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SUMIF(Erfassung7!AU:AU,L18,Erfassung7!BJ:BJ)</f>
        <v>0</v>
      </c>
      <c r="N18" s="91">
        <f>SUMIF(Erfassung7!AU:AU,L18,Erfassung7!AX:AX)</f>
        <v>0</v>
      </c>
      <c r="O18" s="91">
        <f t="shared" si="0"/>
        <v>0</v>
      </c>
      <c r="P18" s="91">
        <f t="shared" si="1"/>
        <v>1</v>
      </c>
    </row>
    <row r="19" spans="1:16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SUMIF(Erfassung7!AU:AU,L19,Erfassung7!BJ:BJ)</f>
        <v>0</v>
      </c>
      <c r="N19" s="91">
        <f>SUMIF(Erfassung7!AU:AU,L19,Erfassung7!AX:AX)</f>
        <v>0</v>
      </c>
      <c r="O19" s="91">
        <f t="shared" si="0"/>
        <v>0</v>
      </c>
      <c r="P19" s="91">
        <f t="shared" si="1"/>
        <v>1</v>
      </c>
    </row>
    <row r="20" spans="1:16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SUMIF(Erfassung7!AU:AU,L20,Erfassung7!BJ:BJ)</f>
        <v>0</v>
      </c>
      <c r="N20" s="91">
        <f>SUMIF(Erfassung7!AU:AU,L20,Erfassung7!AX:AX)</f>
        <v>0</v>
      </c>
      <c r="O20" s="91">
        <f t="shared" si="0"/>
        <v>0</v>
      </c>
      <c r="P20" s="91">
        <f t="shared" si="1"/>
        <v>1</v>
      </c>
    </row>
    <row r="21" spans="1:16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SUMIF(Erfassung7!AU:AU,L21,Erfassung7!BJ:BJ)</f>
        <v>0</v>
      </c>
      <c r="N21" s="91">
        <f>SUMIF(Erfassung7!AU:AU,L21,Erfassung7!AX:AX)</f>
        <v>0</v>
      </c>
      <c r="O21" s="91">
        <f t="shared" si="0"/>
        <v>0</v>
      </c>
      <c r="P21" s="91">
        <f t="shared" si="1"/>
        <v>1</v>
      </c>
    </row>
    <row r="22" spans="1:16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SUMIF(Erfassung7!AU:AU,L22,Erfassung7!BJ:BJ)</f>
        <v>0</v>
      </c>
      <c r="N22" s="91">
        <f>SUMIF(Erfassung7!AU:AU,L22,Erfassung7!AX:AX)</f>
        <v>0</v>
      </c>
      <c r="O22" s="91">
        <f t="shared" si="0"/>
        <v>0</v>
      </c>
      <c r="P22" s="91">
        <f t="shared" si="1"/>
        <v>1</v>
      </c>
    </row>
    <row r="23" spans="1:16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SUMIF(Erfassung7!AU:AU,L23,Erfassung7!BJ:BJ)</f>
        <v>0</v>
      </c>
      <c r="N23" s="91">
        <f>SUMIF(Erfassung7!AU:AU,L23,Erfassung7!AX:AX)</f>
        <v>0</v>
      </c>
      <c r="O23" s="91">
        <f t="shared" si="0"/>
        <v>0</v>
      </c>
      <c r="P23" s="91">
        <f t="shared" si="1"/>
        <v>1</v>
      </c>
    </row>
    <row r="24" spans="1:16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SUMIF(Erfassung7!AU:AU,L24,Erfassung7!BJ:BJ)</f>
        <v>0</v>
      </c>
      <c r="N24" s="91">
        <f>SUMIF(Erfassung7!AU:AU,L24,Erfassung7!AX:AX)</f>
        <v>0</v>
      </c>
      <c r="O24" s="91">
        <f t="shared" si="0"/>
        <v>0</v>
      </c>
      <c r="P24" s="91">
        <f t="shared" si="1"/>
        <v>1</v>
      </c>
    </row>
    <row r="25" spans="1:16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SUMIF(Erfassung7!AU:AU,L25,Erfassung7!BJ:BJ)</f>
        <v>0</v>
      </c>
      <c r="N25" s="91">
        <f>SUMIF(Erfassung7!AU:AU,L25,Erfassung7!AX:AX)</f>
        <v>0</v>
      </c>
      <c r="O25" s="91">
        <f t="shared" si="0"/>
        <v>0</v>
      </c>
      <c r="P25" s="91">
        <f t="shared" si="1"/>
        <v>1</v>
      </c>
    </row>
    <row r="26" spans="1:16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SUMIF(Erfassung7!AU:AU,L26,Erfassung7!BJ:BJ)</f>
        <v>0</v>
      </c>
      <c r="N26" s="91">
        <f>SUMIF(Erfassung7!AU:AU,L26,Erfassung7!AX:AX)</f>
        <v>0</v>
      </c>
      <c r="O26" s="91">
        <f t="shared" si="0"/>
        <v>0</v>
      </c>
      <c r="P26" s="91">
        <f t="shared" si="1"/>
        <v>1</v>
      </c>
    </row>
    <row r="27" spans="1:16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SUMIF(Erfassung7!AU:AU,L27,Erfassung7!BJ:BJ)</f>
        <v>0</v>
      </c>
      <c r="N27" s="91">
        <f>SUMIF(Erfassung7!AU:AU,L27,Erfassung7!AX:AX)</f>
        <v>0</v>
      </c>
      <c r="O27" s="91">
        <f t="shared" si="0"/>
        <v>0</v>
      </c>
      <c r="P27" s="91">
        <f t="shared" si="1"/>
        <v>1</v>
      </c>
    </row>
    <row r="28" spans="1:16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SUMIF(Erfassung7!AU:AU,L28,Erfassung7!BJ:BJ)</f>
        <v>0</v>
      </c>
      <c r="N28" s="91">
        <f>SUMIF(Erfassung7!AU:AU,L28,Erfassung7!AX:AX)</f>
        <v>0</v>
      </c>
      <c r="O28" s="91">
        <f t="shared" si="0"/>
        <v>0</v>
      </c>
      <c r="P28" s="91">
        <f t="shared" si="1"/>
        <v>1</v>
      </c>
    </row>
    <row r="29" spans="1:16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SUMIF(Erfassung7!AU:AU,L29,Erfassung7!BJ:BJ)</f>
        <v>0</v>
      </c>
      <c r="N29" s="91">
        <f>SUMIF(Erfassung7!AU:AU,L29,Erfassung7!AX:AX)</f>
        <v>0</v>
      </c>
      <c r="O29" s="91">
        <f t="shared" si="0"/>
        <v>0</v>
      </c>
      <c r="P29" s="91">
        <f t="shared" si="1"/>
        <v>1</v>
      </c>
    </row>
    <row r="30" spans="1:16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SUMIF(Erfassung7!AU:AU,L30,Erfassung7!BJ:BJ)</f>
        <v>0</v>
      </c>
      <c r="N30" s="91">
        <f>SUMIF(Erfassung7!AU:AU,L30,Erfassung7!AX:AX)</f>
        <v>0</v>
      </c>
      <c r="O30" s="91">
        <f t="shared" si="0"/>
        <v>0</v>
      </c>
      <c r="P30" s="91">
        <f t="shared" si="1"/>
        <v>1</v>
      </c>
    </row>
    <row r="31" spans="1:16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SUMIF(Erfassung7!AU:AU,L31,Erfassung7!BJ:BJ)</f>
        <v>0</v>
      </c>
      <c r="N31" s="91">
        <f>SUMIF(Erfassung7!AU:AU,L31,Erfassung7!AX:AX)</f>
        <v>0</v>
      </c>
      <c r="O31" s="91">
        <f t="shared" si="0"/>
        <v>0</v>
      </c>
      <c r="P31" s="91">
        <f t="shared" si="1"/>
        <v>1</v>
      </c>
    </row>
    <row r="32" spans="1:16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SUMIF(Erfassung7!AU:AU,L32,Erfassung7!BJ:BJ)</f>
        <v>0</v>
      </c>
      <c r="N32" s="91">
        <f>SUMIF(Erfassung7!AU:AU,L32,Erfassung7!AX:AX)</f>
        <v>0</v>
      </c>
      <c r="O32" s="91">
        <f t="shared" si="0"/>
        <v>0</v>
      </c>
      <c r="P32" s="91">
        <f t="shared" si="1"/>
        <v>1</v>
      </c>
    </row>
    <row r="33" spans="1:16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SUMIF(Erfassung7!AU:AU,L33,Erfassung7!BJ:BJ)</f>
        <v>0</v>
      </c>
      <c r="N33" s="91">
        <f>SUMIF(Erfassung7!AU:AU,L33,Erfassung7!AX:AX)</f>
        <v>0</v>
      </c>
      <c r="O33" s="91">
        <f t="shared" si="0"/>
        <v>0</v>
      </c>
      <c r="P33" s="91">
        <f t="shared" si="1"/>
        <v>1</v>
      </c>
    </row>
    <row r="34" spans="1:16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SUMIF(Erfassung7!AU:AU,L34,Erfassung7!BJ:BJ)</f>
        <v>0</v>
      </c>
      <c r="N34" s="91">
        <f>SUMIF(Erfassung7!AU:AU,L34,Erfassung7!AX:AX)</f>
        <v>0</v>
      </c>
      <c r="O34" s="91">
        <f t="shared" si="0"/>
        <v>0</v>
      </c>
      <c r="P34" s="91">
        <f t="shared" si="1"/>
        <v>1</v>
      </c>
    </row>
    <row r="35" spans="1:16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SUMIF(Erfassung7!AU:AU,L35,Erfassung7!BJ:BJ)</f>
        <v>0</v>
      </c>
      <c r="N35" s="91">
        <f>SUMIF(Erfassung7!AU:AU,L35,Erfassung7!AX:AX)</f>
        <v>0</v>
      </c>
      <c r="O35" s="91">
        <f t="shared" si="0"/>
        <v>0</v>
      </c>
      <c r="P35" s="91">
        <f t="shared" si="1"/>
        <v>1</v>
      </c>
    </row>
    <row r="36" spans="1:16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SUMIF(Erfassung7!AU:AU,L36,Erfassung7!BJ:BJ)</f>
        <v>0</v>
      </c>
      <c r="N36" s="91">
        <f>SUMIF(Erfassung7!AU:AU,L36,Erfassung7!AX:AX)</f>
        <v>0</v>
      </c>
      <c r="O36" s="91">
        <f t="shared" si="0"/>
        <v>0</v>
      </c>
      <c r="P36" s="91">
        <f t="shared" si="1"/>
        <v>1</v>
      </c>
    </row>
    <row r="37" spans="1:16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SUMIF(Erfassung7!AU:AU,L37,Erfassung7!BJ:BJ)</f>
        <v>0</v>
      </c>
      <c r="N37" s="91">
        <f>SUMIF(Erfassung7!AU:AU,L37,Erfassung7!AX:AX)</f>
        <v>0</v>
      </c>
      <c r="O37" s="91">
        <f t="shared" si="0"/>
        <v>0</v>
      </c>
      <c r="P37" s="91">
        <f t="shared" si="1"/>
        <v>1</v>
      </c>
    </row>
    <row r="38" spans="1:16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SUMIF(Erfassung7!AU:AU,L38,Erfassung7!BJ:BJ)</f>
        <v>0</v>
      </c>
      <c r="N38" s="91">
        <f>SUMIF(Erfassung7!AU:AU,L38,Erfassung7!AX:AX)</f>
        <v>0</v>
      </c>
      <c r="O38" s="91">
        <f t="shared" si="0"/>
        <v>0</v>
      </c>
      <c r="P38" s="91">
        <f t="shared" si="1"/>
        <v>1</v>
      </c>
    </row>
    <row r="39" spans="1:16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SUMIF(Erfassung7!AU:AU,L39,Erfassung7!BJ:BJ)</f>
        <v>0</v>
      </c>
      <c r="N39" s="91">
        <f>SUMIF(Erfassung7!AU:AU,L39,Erfassung7!AX:AX)</f>
        <v>0</v>
      </c>
      <c r="O39" s="91">
        <f t="shared" si="0"/>
        <v>0</v>
      </c>
      <c r="P39" s="91">
        <f t="shared" si="1"/>
        <v>1</v>
      </c>
    </row>
    <row r="40" spans="1:16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SUMIF(Erfassung7!AU:AU,L40,Erfassung7!BJ:BJ)</f>
        <v>0</v>
      </c>
      <c r="N40" s="91">
        <f>SUMIF(Erfassung7!AU:AU,L40,Erfassung7!AX:AX)</f>
        <v>0</v>
      </c>
      <c r="O40" s="91">
        <f t="shared" si="0"/>
        <v>0</v>
      </c>
      <c r="P40" s="91">
        <f t="shared" si="1"/>
        <v>1</v>
      </c>
    </row>
    <row r="41" spans="1:16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SUMIF(Erfassung7!AU:AU,L41,Erfassung7!BJ:BJ)</f>
        <v>0</v>
      </c>
      <c r="N41" s="91">
        <f>SUMIF(Erfassung7!AU:AU,L41,Erfassung7!AX:AX)</f>
        <v>0</v>
      </c>
      <c r="O41" s="91">
        <f t="shared" si="0"/>
        <v>0</v>
      </c>
      <c r="P41" s="91">
        <f t="shared" si="1"/>
        <v>1</v>
      </c>
    </row>
    <row r="42" spans="1:16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SUMIF(Erfassung7!AU:AU,L42,Erfassung7!BJ:BJ)</f>
        <v>0</v>
      </c>
      <c r="N42" s="91">
        <f>SUMIF(Erfassung7!AU:AU,L42,Erfassung7!AX:AX)</f>
        <v>0</v>
      </c>
      <c r="O42" s="91">
        <f t="shared" si="0"/>
        <v>0</v>
      </c>
      <c r="P42" s="91">
        <f t="shared" si="1"/>
        <v>1</v>
      </c>
    </row>
    <row r="43" spans="1:16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SUMIF(Erfassung7!AU:AU,L43,Erfassung7!BJ:BJ)</f>
        <v>0</v>
      </c>
      <c r="N43" s="91">
        <f>SUMIF(Erfassung7!AU:AU,L43,Erfassung7!AX:AX)</f>
        <v>0</v>
      </c>
      <c r="O43" s="91">
        <f t="shared" si="0"/>
        <v>0</v>
      </c>
      <c r="P43" s="91">
        <f t="shared" si="1"/>
        <v>1</v>
      </c>
    </row>
    <row r="44" spans="1:16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SUMIF(Erfassung7!AU:AU,L44,Erfassung7!BJ:BJ)</f>
        <v>0</v>
      </c>
      <c r="N44" s="91">
        <f>SUMIF(Erfassung7!AU:AU,L44,Erfassung7!AX:AX)</f>
        <v>0</v>
      </c>
      <c r="O44" s="91">
        <f t="shared" si="0"/>
        <v>0</v>
      </c>
      <c r="P44" s="91">
        <f t="shared" si="1"/>
        <v>1</v>
      </c>
    </row>
    <row r="45" spans="1:16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SUMIF(Erfassung7!AU:AU,L45,Erfassung7!BJ:BJ)</f>
        <v>0</v>
      </c>
      <c r="N45" s="91">
        <f>SUMIF(Erfassung7!AU:AU,L45,Erfassung7!AX:AX)</f>
        <v>0</v>
      </c>
      <c r="O45" s="91">
        <f t="shared" si="0"/>
        <v>0</v>
      </c>
      <c r="P45" s="91">
        <f t="shared" si="1"/>
        <v>1</v>
      </c>
    </row>
    <row r="46" spans="1:16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SUMIF(Erfassung7!AU:AU,L46,Erfassung7!BJ:BJ)</f>
        <v>0</v>
      </c>
      <c r="N46" s="91">
        <f>SUMIF(Erfassung7!AU:AU,L46,Erfassung7!AX:AX)</f>
        <v>0</v>
      </c>
      <c r="O46" s="91">
        <f t="shared" si="0"/>
        <v>0</v>
      </c>
      <c r="P46" s="91">
        <f t="shared" si="1"/>
        <v>1</v>
      </c>
    </row>
    <row r="47" spans="1:16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SUMIF(Erfassung7!AU:AU,L47,Erfassung7!BJ:BJ)</f>
        <v>0</v>
      </c>
      <c r="N47" s="91">
        <f>SUMIF(Erfassung7!AU:AU,L47,Erfassung7!AX:AX)</f>
        <v>0</v>
      </c>
      <c r="O47" s="91">
        <f t="shared" si="0"/>
        <v>0</v>
      </c>
      <c r="P47" s="91">
        <f t="shared" si="1"/>
        <v>1</v>
      </c>
    </row>
    <row r="48" spans="1:16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SUMIF(Erfassung7!AU:AU,L48,Erfassung7!BJ:BJ)</f>
        <v>0</v>
      </c>
      <c r="N48" s="91">
        <f>SUMIF(Erfassung7!AU:AU,L48,Erfassung7!AX:AX)</f>
        <v>0</v>
      </c>
      <c r="O48" s="91">
        <f t="shared" si="0"/>
        <v>0</v>
      </c>
      <c r="P48" s="91">
        <f t="shared" si="1"/>
        <v>1</v>
      </c>
    </row>
    <row r="49" spans="1:16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SUMIF(Erfassung7!AU:AU,L49,Erfassung7!BJ:BJ)</f>
        <v>0</v>
      </c>
      <c r="N49" s="91">
        <f>SUMIF(Erfassung7!AU:AU,L49,Erfassung7!AX:AX)</f>
        <v>0</v>
      </c>
      <c r="O49" s="91">
        <f t="shared" si="0"/>
        <v>0</v>
      </c>
      <c r="P49" s="91">
        <f t="shared" si="1"/>
        <v>1</v>
      </c>
    </row>
    <row r="50" spans="1:16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SUMIF(Erfassung7!AU:AU,L50,Erfassung7!BJ:BJ)</f>
        <v>0</v>
      </c>
      <c r="N50" s="91">
        <f>SUMIF(Erfassung7!AU:AU,L50,Erfassung7!AX:AX)</f>
        <v>0</v>
      </c>
      <c r="O50" s="91">
        <f t="shared" si="0"/>
        <v>0</v>
      </c>
      <c r="P50" s="91">
        <f t="shared" si="1"/>
        <v>1</v>
      </c>
    </row>
    <row r="51" spans="1:16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SUMIF(Erfassung7!AU:AU,L51,Erfassung7!BJ:BJ)</f>
        <v>0</v>
      </c>
      <c r="N51" s="91">
        <f>SUMIF(Erfassung7!AU:AU,L51,Erfassung7!AX:AX)</f>
        <v>0</v>
      </c>
      <c r="O51" s="91">
        <f t="shared" si="0"/>
        <v>0</v>
      </c>
      <c r="P51" s="91">
        <f t="shared" si="1"/>
        <v>1</v>
      </c>
    </row>
    <row r="52" spans="1:16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SUMIF(Erfassung7!AU:AU,L52,Erfassung7!BJ:BJ)</f>
        <v>0</v>
      </c>
      <c r="N52" s="91">
        <f>SUMIF(Erfassung7!AU:AU,L52,Erfassung7!AX:AX)</f>
        <v>0</v>
      </c>
      <c r="O52" s="91">
        <f t="shared" si="0"/>
        <v>0</v>
      </c>
      <c r="P52" s="91">
        <f t="shared" si="1"/>
        <v>1</v>
      </c>
    </row>
    <row r="53" spans="1:16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SUMIF(Erfassung7!AU:AU,L53,Erfassung7!BJ:BJ)</f>
        <v>0</v>
      </c>
      <c r="N53" s="91">
        <f>SUMIF(Erfassung7!AU:AU,L53,Erfassung7!AX:AX)</f>
        <v>0</v>
      </c>
      <c r="O53" s="91">
        <f t="shared" si="0"/>
        <v>0</v>
      </c>
      <c r="P53" s="91">
        <f t="shared" si="1"/>
        <v>1</v>
      </c>
    </row>
    <row r="54" spans="1:16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SUMIF(Erfassung7!AU:AU,L54,Erfassung7!BJ:BJ)</f>
        <v>0</v>
      </c>
      <c r="N54" s="91">
        <f>SUMIF(Erfassung7!AU:AU,L54,Erfassung7!AX:AX)</f>
        <v>0</v>
      </c>
      <c r="O54" s="91">
        <f t="shared" si="0"/>
        <v>0</v>
      </c>
      <c r="P54" s="91">
        <f t="shared" si="1"/>
        <v>1</v>
      </c>
    </row>
    <row r="55" spans="1:16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SUMIF(Erfassung7!AU:AU,L55,Erfassung7!BJ:BJ)</f>
        <v>0</v>
      </c>
      <c r="N55" s="91">
        <f>SUMIF(Erfassung7!AU:AU,L55,Erfassung7!AX:AX)</f>
        <v>0</v>
      </c>
      <c r="O55" s="91">
        <f t="shared" si="0"/>
        <v>0</v>
      </c>
      <c r="P55" s="91">
        <f t="shared" si="1"/>
        <v>1</v>
      </c>
    </row>
    <row r="56" spans="1:16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SUMIF(Erfassung7!AU:AU,L56,Erfassung7!BJ:BJ)</f>
        <v>0</v>
      </c>
      <c r="N56" s="91">
        <f>SUMIF(Erfassung7!AU:AU,L56,Erfassung7!AX:AX)</f>
        <v>0</v>
      </c>
      <c r="O56" s="91">
        <f t="shared" si="0"/>
        <v>0</v>
      </c>
      <c r="P56" s="91">
        <f t="shared" si="1"/>
        <v>1</v>
      </c>
    </row>
    <row r="57" spans="1:16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SUMIF(Erfassung7!AU:AU,L57,Erfassung7!BJ:BJ)</f>
        <v>0</v>
      </c>
      <c r="N57" s="91">
        <f>SUMIF(Erfassung7!AU:AU,L57,Erfassung7!AX:AX)</f>
        <v>0</v>
      </c>
      <c r="O57" s="91">
        <f t="shared" si="0"/>
        <v>0</v>
      </c>
      <c r="P57" s="91">
        <f t="shared" si="1"/>
        <v>1</v>
      </c>
    </row>
    <row r="58" spans="1:16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SUMIF(Erfassung7!AU:AU,L58,Erfassung7!BJ:BJ)</f>
        <v>0</v>
      </c>
      <c r="N58" s="91">
        <f>SUMIF(Erfassung7!AU:AU,L58,Erfassung7!AX:AX)</f>
        <v>0</v>
      </c>
      <c r="O58" s="91">
        <f t="shared" si="0"/>
        <v>0</v>
      </c>
      <c r="P58" s="91">
        <f t="shared" si="1"/>
        <v>1</v>
      </c>
    </row>
    <row r="59" spans="1:16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SUMIF(Erfassung7!AU:AU,L59,Erfassung7!BJ:BJ)</f>
        <v>0</v>
      </c>
      <c r="N59" s="91">
        <f>SUMIF(Erfassung7!AU:AU,L59,Erfassung7!AX:AX)</f>
        <v>0</v>
      </c>
      <c r="O59" s="91">
        <f t="shared" si="0"/>
        <v>0</v>
      </c>
      <c r="P59" s="91">
        <f t="shared" si="1"/>
        <v>1</v>
      </c>
    </row>
    <row r="60" spans="1:16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SUMIF(Erfassung7!AU:AU,L60,Erfassung7!BJ:BJ)</f>
        <v>0</v>
      </c>
      <c r="N60" s="91">
        <f>SUMIF(Erfassung7!AU:AU,L60,Erfassung7!AX:AX)</f>
        <v>0</v>
      </c>
      <c r="O60" s="91">
        <f t="shared" si="0"/>
        <v>0</v>
      </c>
      <c r="P60" s="91">
        <f t="shared" si="1"/>
        <v>1</v>
      </c>
    </row>
    <row r="61" spans="1:16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SUMIF(Erfassung7!AU:AU,L61,Erfassung7!BJ:BJ)</f>
        <v>0</v>
      </c>
      <c r="N61" s="91">
        <f>SUMIF(Erfassung7!AU:AU,L61,Erfassung7!AX:AX)</f>
        <v>0</v>
      </c>
      <c r="O61" s="91">
        <f t="shared" si="0"/>
        <v>0</v>
      </c>
      <c r="P61" s="91">
        <f t="shared" si="1"/>
        <v>1</v>
      </c>
    </row>
    <row r="62" spans="1:16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SUMIF(Erfassung7!AU:AU,L62,Erfassung7!BJ:BJ)</f>
        <v>0</v>
      </c>
      <c r="N62" s="91">
        <f>SUMIF(Erfassung7!AU:AU,L62,Erfassung7!AX:AX)</f>
        <v>0</v>
      </c>
      <c r="O62" s="91">
        <f t="shared" si="0"/>
        <v>0</v>
      </c>
      <c r="P62" s="91">
        <f t="shared" si="1"/>
        <v>1</v>
      </c>
    </row>
    <row r="63" spans="1:16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SUMIF(Erfassung7!AU:AU,L63,Erfassung7!BJ:BJ)</f>
        <v>0</v>
      </c>
      <c r="N63" s="91">
        <f>SUMIF(Erfassung7!AU:AU,L63,Erfassung7!AX:AX)</f>
        <v>0</v>
      </c>
      <c r="O63" s="91">
        <f t="shared" si="0"/>
        <v>0</v>
      </c>
      <c r="P63" s="91">
        <f t="shared" si="1"/>
        <v>1</v>
      </c>
    </row>
    <row r="64" spans="1:16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SUMIF(Erfassung7!AU:AU,L64,Erfassung7!BJ:BJ)</f>
        <v>0</v>
      </c>
      <c r="N64" s="91">
        <f>SUMIF(Erfassung7!AU:AU,L64,Erfassung7!AX:AX)</f>
        <v>0</v>
      </c>
      <c r="O64" s="91">
        <f t="shared" si="0"/>
        <v>0</v>
      </c>
      <c r="P64" s="91">
        <f t="shared" si="1"/>
        <v>1</v>
      </c>
    </row>
    <row r="65" spans="1:16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SUMIF(Erfassung7!AU:AU,L65,Erfassung7!BJ:BJ)</f>
        <v>0</v>
      </c>
      <c r="N65" s="91">
        <f>SUMIF(Erfassung7!AU:AU,L65,Erfassung7!AX:AX)</f>
        <v>0</v>
      </c>
      <c r="O65" s="91">
        <f t="shared" si="0"/>
        <v>0</v>
      </c>
      <c r="P65" s="91">
        <f t="shared" si="1"/>
        <v>1</v>
      </c>
    </row>
    <row r="66" spans="1:16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SUMIF(Erfassung7!AU:AU,L66,Erfassung7!BJ:BJ)</f>
        <v>0</v>
      </c>
      <c r="N66" s="91">
        <f>SUMIF(Erfassung7!AU:AU,L66,Erfassung7!AX:AX)</f>
        <v>0</v>
      </c>
      <c r="O66" s="91">
        <f t="shared" ref="O66:O104" si="7">IF(N66=0,0,M66/N66-ROW()/1000000000)</f>
        <v>0</v>
      </c>
      <c r="P66" s="91">
        <f t="shared" ref="P66:P104" si="8">RANK(O66,O:O)</f>
        <v>1</v>
      </c>
    </row>
    <row r="67" spans="1:16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SUMIF(Erfassung7!AU:AU,L67,Erfassung7!BJ:BJ)</f>
        <v>0</v>
      </c>
      <c r="N67" s="91">
        <f>SUMIF(Erfassung7!AU:AU,L67,Erfassung7!AX:AX)</f>
        <v>0</v>
      </c>
      <c r="O67" s="91">
        <f t="shared" si="7"/>
        <v>0</v>
      </c>
      <c r="P67" s="91">
        <f t="shared" si="8"/>
        <v>1</v>
      </c>
    </row>
    <row r="68" spans="1:16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SUMIF(Erfassung7!AU:AU,L68,Erfassung7!BJ:BJ)</f>
        <v>0</v>
      </c>
      <c r="N68" s="91">
        <f>SUMIF(Erfassung7!AU:AU,L68,Erfassung7!AX:AX)</f>
        <v>0</v>
      </c>
      <c r="O68" s="91">
        <f t="shared" si="7"/>
        <v>0</v>
      </c>
      <c r="P68" s="91">
        <f t="shared" si="8"/>
        <v>1</v>
      </c>
    </row>
    <row r="69" spans="1:16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SUMIF(Erfassung7!AU:AU,L69,Erfassung7!BJ:BJ)</f>
        <v>0</v>
      </c>
      <c r="N69" s="91">
        <f>SUMIF(Erfassung7!AU:AU,L69,Erfassung7!AX:AX)</f>
        <v>0</v>
      </c>
      <c r="O69" s="91">
        <f t="shared" si="7"/>
        <v>0</v>
      </c>
      <c r="P69" s="91">
        <f t="shared" si="8"/>
        <v>1</v>
      </c>
    </row>
    <row r="70" spans="1:16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SUMIF(Erfassung7!AU:AU,L70,Erfassung7!BJ:BJ)</f>
        <v>0</v>
      </c>
      <c r="N70" s="91">
        <f>SUMIF(Erfassung7!AU:AU,L70,Erfassung7!AX:AX)</f>
        <v>0</v>
      </c>
      <c r="O70" s="91">
        <f t="shared" si="7"/>
        <v>0</v>
      </c>
      <c r="P70" s="91">
        <f t="shared" si="8"/>
        <v>1</v>
      </c>
    </row>
    <row r="71" spans="1:16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SUMIF(Erfassung7!AU:AU,L71,Erfassung7!BJ:BJ)</f>
        <v>0</v>
      </c>
      <c r="N71" s="91">
        <f>SUMIF(Erfassung7!AU:AU,L71,Erfassung7!AX:AX)</f>
        <v>0</v>
      </c>
      <c r="O71" s="91">
        <f t="shared" si="7"/>
        <v>0</v>
      </c>
      <c r="P71" s="91">
        <f t="shared" si="8"/>
        <v>1</v>
      </c>
    </row>
    <row r="72" spans="1:16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SUMIF(Erfassung7!AU:AU,L72,Erfassung7!BJ:BJ)</f>
        <v>0</v>
      </c>
      <c r="N72" s="91">
        <f>SUMIF(Erfassung7!AU:AU,L72,Erfassung7!AX:AX)</f>
        <v>0</v>
      </c>
      <c r="O72" s="91">
        <f t="shared" si="7"/>
        <v>0</v>
      </c>
      <c r="P72" s="91">
        <f t="shared" si="8"/>
        <v>1</v>
      </c>
    </row>
    <row r="73" spans="1:16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SUMIF(Erfassung7!AU:AU,L73,Erfassung7!BJ:BJ)</f>
        <v>0</v>
      </c>
      <c r="N73" s="91">
        <f>SUMIF(Erfassung7!AU:AU,L73,Erfassung7!AX:AX)</f>
        <v>0</v>
      </c>
      <c r="O73" s="91">
        <f t="shared" si="7"/>
        <v>0</v>
      </c>
      <c r="P73" s="91">
        <f t="shared" si="8"/>
        <v>1</v>
      </c>
    </row>
    <row r="74" spans="1:16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SUMIF(Erfassung7!AU:AU,L74,Erfassung7!BJ:BJ)</f>
        <v>0</v>
      </c>
      <c r="N74" s="91">
        <f>SUMIF(Erfassung7!AU:AU,L74,Erfassung7!AX:AX)</f>
        <v>0</v>
      </c>
      <c r="O74" s="91">
        <f t="shared" si="7"/>
        <v>0</v>
      </c>
      <c r="P74" s="91">
        <f t="shared" si="8"/>
        <v>1</v>
      </c>
    </row>
    <row r="75" spans="1:16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SUMIF(Erfassung7!AU:AU,L75,Erfassung7!BJ:BJ)</f>
        <v>0</v>
      </c>
      <c r="N75" s="91">
        <f>SUMIF(Erfassung7!AU:AU,L75,Erfassung7!AX:AX)</f>
        <v>0</v>
      </c>
      <c r="O75" s="91">
        <f t="shared" si="7"/>
        <v>0</v>
      </c>
      <c r="P75" s="91">
        <f t="shared" si="8"/>
        <v>1</v>
      </c>
    </row>
    <row r="76" spans="1:16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SUMIF(Erfassung7!AU:AU,L76,Erfassung7!BJ:BJ)</f>
        <v>0</v>
      </c>
      <c r="N76" s="91">
        <f>SUMIF(Erfassung7!AU:AU,L76,Erfassung7!AX:AX)</f>
        <v>0</v>
      </c>
      <c r="O76" s="91">
        <f t="shared" si="7"/>
        <v>0</v>
      </c>
      <c r="P76" s="91">
        <f t="shared" si="8"/>
        <v>1</v>
      </c>
    </row>
    <row r="77" spans="1:16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SUMIF(Erfassung7!AU:AU,L77,Erfassung7!BJ:BJ)</f>
        <v>0</v>
      </c>
      <c r="N77" s="91">
        <f>SUMIF(Erfassung7!AU:AU,L77,Erfassung7!AX:AX)</f>
        <v>0</v>
      </c>
      <c r="O77" s="91">
        <f t="shared" si="7"/>
        <v>0</v>
      </c>
      <c r="P77" s="91">
        <f t="shared" si="8"/>
        <v>1</v>
      </c>
    </row>
    <row r="78" spans="1:16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SUMIF(Erfassung7!AU:AU,L78,Erfassung7!BJ:BJ)</f>
        <v>0</v>
      </c>
      <c r="N78" s="91">
        <f>SUMIF(Erfassung7!AU:AU,L78,Erfassung7!AX:AX)</f>
        <v>0</v>
      </c>
      <c r="O78" s="91">
        <f t="shared" si="7"/>
        <v>0</v>
      </c>
      <c r="P78" s="91">
        <f t="shared" si="8"/>
        <v>1</v>
      </c>
    </row>
    <row r="79" spans="1:16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SUMIF(Erfassung7!AU:AU,L79,Erfassung7!BJ:BJ)</f>
        <v>0</v>
      </c>
      <c r="N79" s="91">
        <f>SUMIF(Erfassung7!AU:AU,L79,Erfassung7!AX:AX)</f>
        <v>0</v>
      </c>
      <c r="O79" s="91">
        <f t="shared" si="7"/>
        <v>0</v>
      </c>
      <c r="P79" s="91">
        <f t="shared" si="8"/>
        <v>1</v>
      </c>
    </row>
    <row r="80" spans="1:16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SUMIF(Erfassung7!AU:AU,L80,Erfassung7!BJ:BJ)</f>
        <v>0</v>
      </c>
      <c r="N80" s="91">
        <f>SUMIF(Erfassung7!AU:AU,L80,Erfassung7!AX:AX)</f>
        <v>0</v>
      </c>
      <c r="O80" s="91">
        <f t="shared" si="7"/>
        <v>0</v>
      </c>
      <c r="P80" s="91">
        <f t="shared" si="8"/>
        <v>1</v>
      </c>
    </row>
    <row r="81" spans="1:16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SUMIF(Erfassung7!AU:AU,L81,Erfassung7!BJ:BJ)</f>
        <v>0</v>
      </c>
      <c r="N81" s="91">
        <f>SUMIF(Erfassung7!AU:AU,L81,Erfassung7!AX:AX)</f>
        <v>0</v>
      </c>
      <c r="O81" s="91">
        <f t="shared" si="7"/>
        <v>0</v>
      </c>
      <c r="P81" s="91">
        <f t="shared" si="8"/>
        <v>1</v>
      </c>
    </row>
    <row r="82" spans="1:16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SUMIF(Erfassung7!AU:AU,L82,Erfassung7!BJ:BJ)</f>
        <v>0</v>
      </c>
      <c r="N82" s="91">
        <f>SUMIF(Erfassung7!AU:AU,L82,Erfassung7!AX:AX)</f>
        <v>0</v>
      </c>
      <c r="O82" s="91">
        <f t="shared" si="7"/>
        <v>0</v>
      </c>
      <c r="P82" s="91">
        <f t="shared" si="8"/>
        <v>1</v>
      </c>
    </row>
    <row r="83" spans="1:16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SUMIF(Erfassung7!AU:AU,L83,Erfassung7!BJ:BJ)</f>
        <v>0</v>
      </c>
      <c r="N83" s="91">
        <f>SUMIF(Erfassung7!AU:AU,L83,Erfassung7!AX:AX)</f>
        <v>0</v>
      </c>
      <c r="O83" s="91">
        <f t="shared" si="7"/>
        <v>0</v>
      </c>
      <c r="P83" s="91">
        <f t="shared" si="8"/>
        <v>1</v>
      </c>
    </row>
    <row r="84" spans="1:16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SUMIF(Erfassung7!AU:AU,L84,Erfassung7!BJ:BJ)</f>
        <v>0</v>
      </c>
      <c r="N84" s="91">
        <f>SUMIF(Erfassung7!AU:AU,L84,Erfassung7!AX:AX)</f>
        <v>0</v>
      </c>
      <c r="O84" s="91">
        <f t="shared" si="7"/>
        <v>0</v>
      </c>
      <c r="P84" s="91">
        <f t="shared" si="8"/>
        <v>1</v>
      </c>
    </row>
    <row r="85" spans="1:16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SUMIF(Erfassung7!AU:AU,L85,Erfassung7!BJ:BJ)</f>
        <v>0</v>
      </c>
      <c r="N85" s="91">
        <f>SUMIF(Erfassung7!AU:AU,L85,Erfassung7!AX:AX)</f>
        <v>0</v>
      </c>
      <c r="O85" s="91">
        <f t="shared" si="7"/>
        <v>0</v>
      </c>
      <c r="P85" s="91">
        <f t="shared" si="8"/>
        <v>1</v>
      </c>
    </row>
    <row r="86" spans="1:16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SUMIF(Erfassung7!AU:AU,L86,Erfassung7!BJ:BJ)</f>
        <v>0</v>
      </c>
      <c r="N86" s="91">
        <f>SUMIF(Erfassung7!AU:AU,L86,Erfassung7!AX:AX)</f>
        <v>0</v>
      </c>
      <c r="O86" s="91">
        <f t="shared" si="7"/>
        <v>0</v>
      </c>
      <c r="P86" s="91">
        <f t="shared" si="8"/>
        <v>1</v>
      </c>
    </row>
    <row r="87" spans="1:16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SUMIF(Erfassung7!AU:AU,L87,Erfassung7!BJ:BJ)</f>
        <v>0</v>
      </c>
      <c r="N87" s="91">
        <f>SUMIF(Erfassung7!AU:AU,L87,Erfassung7!AX:AX)</f>
        <v>0</v>
      </c>
      <c r="O87" s="91">
        <f t="shared" si="7"/>
        <v>0</v>
      </c>
      <c r="P87" s="91">
        <f t="shared" si="8"/>
        <v>1</v>
      </c>
    </row>
    <row r="88" spans="1:16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SUMIF(Erfassung7!AU:AU,L88,Erfassung7!BJ:BJ)</f>
        <v>0</v>
      </c>
      <c r="N88" s="91">
        <f>SUMIF(Erfassung7!AU:AU,L88,Erfassung7!AX:AX)</f>
        <v>0</v>
      </c>
      <c r="O88" s="91">
        <f t="shared" si="7"/>
        <v>0</v>
      </c>
      <c r="P88" s="91">
        <f t="shared" si="8"/>
        <v>1</v>
      </c>
    </row>
    <row r="89" spans="1:16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SUMIF(Erfassung7!AU:AU,L89,Erfassung7!BJ:BJ)</f>
        <v>0</v>
      </c>
      <c r="N89" s="91">
        <f>SUMIF(Erfassung7!AU:AU,L89,Erfassung7!AX:AX)</f>
        <v>0</v>
      </c>
      <c r="O89" s="91">
        <f t="shared" si="7"/>
        <v>0</v>
      </c>
      <c r="P89" s="91">
        <f t="shared" si="8"/>
        <v>1</v>
      </c>
    </row>
    <row r="90" spans="1:16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SUMIF(Erfassung7!AU:AU,L90,Erfassung7!BJ:BJ)</f>
        <v>0</v>
      </c>
      <c r="N90" s="91">
        <f>SUMIF(Erfassung7!AU:AU,L90,Erfassung7!AX:AX)</f>
        <v>0</v>
      </c>
      <c r="O90" s="91">
        <f t="shared" si="7"/>
        <v>0</v>
      </c>
      <c r="P90" s="91">
        <f t="shared" si="8"/>
        <v>1</v>
      </c>
    </row>
    <row r="91" spans="1:16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SUMIF(Erfassung7!AU:AU,L91,Erfassung7!BJ:BJ)</f>
        <v>0</v>
      </c>
      <c r="N91" s="91">
        <f>SUMIF(Erfassung7!AU:AU,L91,Erfassung7!AX:AX)</f>
        <v>0</v>
      </c>
      <c r="O91" s="91">
        <f t="shared" si="7"/>
        <v>0</v>
      </c>
      <c r="P91" s="91">
        <f t="shared" si="8"/>
        <v>1</v>
      </c>
    </row>
    <row r="92" spans="1:16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SUMIF(Erfassung7!AU:AU,L92,Erfassung7!BJ:BJ)</f>
        <v>0</v>
      </c>
      <c r="N92" s="91">
        <f>SUMIF(Erfassung7!AU:AU,L92,Erfassung7!AX:AX)</f>
        <v>0</v>
      </c>
      <c r="O92" s="91">
        <f t="shared" si="7"/>
        <v>0</v>
      </c>
      <c r="P92" s="91">
        <f t="shared" si="8"/>
        <v>1</v>
      </c>
    </row>
    <row r="93" spans="1:16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SUMIF(Erfassung7!AU:AU,L93,Erfassung7!BJ:BJ)</f>
        <v>0</v>
      </c>
      <c r="N93" s="91">
        <f>SUMIF(Erfassung7!AU:AU,L93,Erfassung7!AX:AX)</f>
        <v>0</v>
      </c>
      <c r="O93" s="91">
        <f t="shared" si="7"/>
        <v>0</v>
      </c>
      <c r="P93" s="91">
        <f t="shared" si="8"/>
        <v>1</v>
      </c>
    </row>
    <row r="94" spans="1:16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SUMIF(Erfassung7!AU:AU,L94,Erfassung7!BJ:BJ)</f>
        <v>0</v>
      </c>
      <c r="N94" s="91">
        <f>SUMIF(Erfassung7!AU:AU,L94,Erfassung7!AX:AX)</f>
        <v>0</v>
      </c>
      <c r="O94" s="91">
        <f t="shared" si="7"/>
        <v>0</v>
      </c>
      <c r="P94" s="91">
        <f t="shared" si="8"/>
        <v>1</v>
      </c>
    </row>
    <row r="95" spans="1:16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SUMIF(Erfassung7!AU:AU,L95,Erfassung7!BJ:BJ)</f>
        <v>0</v>
      </c>
      <c r="N95" s="91">
        <f>SUMIF(Erfassung7!AU:AU,L95,Erfassung7!AX:AX)</f>
        <v>0</v>
      </c>
      <c r="O95" s="91">
        <f t="shared" si="7"/>
        <v>0</v>
      </c>
      <c r="P95" s="91">
        <f t="shared" si="8"/>
        <v>1</v>
      </c>
    </row>
    <row r="96" spans="1:16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SUMIF(Erfassung7!AU:AU,L96,Erfassung7!BJ:BJ)</f>
        <v>0</v>
      </c>
      <c r="N96" s="91">
        <f>SUMIF(Erfassung7!AU:AU,L96,Erfassung7!AX:AX)</f>
        <v>0</v>
      </c>
      <c r="O96" s="91">
        <f t="shared" si="7"/>
        <v>0</v>
      </c>
      <c r="P96" s="91">
        <f t="shared" si="8"/>
        <v>1</v>
      </c>
    </row>
    <row r="97" spans="1:16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SUMIF(Erfassung7!AU:AU,L97,Erfassung7!BJ:BJ)</f>
        <v>0</v>
      </c>
      <c r="N97" s="91">
        <f>SUMIF(Erfassung7!AU:AU,L97,Erfassung7!AX:AX)</f>
        <v>0</v>
      </c>
      <c r="O97" s="91">
        <f t="shared" si="7"/>
        <v>0</v>
      </c>
      <c r="P97" s="91">
        <f t="shared" si="8"/>
        <v>1</v>
      </c>
    </row>
    <row r="98" spans="1:16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SUMIF(Erfassung7!AU:AU,L98,Erfassung7!BJ:BJ)</f>
        <v>0</v>
      </c>
      <c r="N98" s="91">
        <f>SUMIF(Erfassung7!AU:AU,L98,Erfassung7!AX:AX)</f>
        <v>0</v>
      </c>
      <c r="O98" s="91">
        <f t="shared" si="7"/>
        <v>0</v>
      </c>
      <c r="P98" s="91">
        <f t="shared" si="8"/>
        <v>1</v>
      </c>
    </row>
    <row r="99" spans="1:16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SUMIF(Erfassung7!AU:AU,L99,Erfassung7!BJ:BJ)</f>
        <v>0</v>
      </c>
      <c r="N99" s="91">
        <f>SUMIF(Erfassung7!AU:AU,L99,Erfassung7!AX:AX)</f>
        <v>0</v>
      </c>
      <c r="O99" s="91">
        <f t="shared" si="7"/>
        <v>0</v>
      </c>
      <c r="P99" s="91">
        <f t="shared" si="8"/>
        <v>1</v>
      </c>
    </row>
    <row r="100" spans="1:16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SUMIF(Erfassung7!AU:AU,L100,Erfassung7!BJ:BJ)</f>
        <v>0</v>
      </c>
      <c r="N100" s="91">
        <f>SUMIF(Erfassung7!AU:AU,L100,Erfassung7!AX:AX)</f>
        <v>0</v>
      </c>
      <c r="O100" s="91">
        <f t="shared" si="7"/>
        <v>0</v>
      </c>
      <c r="P100" s="91">
        <f t="shared" si="8"/>
        <v>1</v>
      </c>
    </row>
    <row r="101" spans="1:16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SUMIF(Erfassung7!AU:AU,L101,Erfassung7!BJ:BJ)</f>
        <v>0</v>
      </c>
      <c r="N101" s="91">
        <f>SUMIF(Erfassung7!AU:AU,L101,Erfassung7!AX:AX)</f>
        <v>0</v>
      </c>
      <c r="O101" s="91">
        <f t="shared" si="7"/>
        <v>0</v>
      </c>
      <c r="P101" s="91">
        <f t="shared" si="8"/>
        <v>1</v>
      </c>
    </row>
    <row r="102" spans="1:16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SUMIF(Erfassung7!AU:AU,L102,Erfassung7!BJ:BJ)</f>
        <v>0</v>
      </c>
      <c r="N102" s="91">
        <f>SUMIF(Erfassung7!AU:AU,L102,Erfassung7!AX:AX)</f>
        <v>0</v>
      </c>
      <c r="O102" s="91">
        <f t="shared" si="7"/>
        <v>0</v>
      </c>
      <c r="P102" s="91">
        <f t="shared" si="8"/>
        <v>1</v>
      </c>
    </row>
    <row r="103" spans="1:16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SUMIF(Erfassung7!AU:AU,L103,Erfassung7!BJ:BJ)</f>
        <v>0</v>
      </c>
      <c r="N103" s="91">
        <f>SUMIF(Erfassung7!AU:AU,L103,Erfassung7!AX:AX)</f>
        <v>0</v>
      </c>
      <c r="O103" s="91">
        <f t="shared" si="7"/>
        <v>0</v>
      </c>
      <c r="P103" s="91">
        <f t="shared" si="8"/>
        <v>1</v>
      </c>
    </row>
    <row r="104" spans="1:16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SUMIF(Erfassung7!AU:AU,L104,Erfassung7!BJ:BJ)</f>
        <v>0</v>
      </c>
      <c r="N104" s="91">
        <f>SUMIF(Erfassung7!AU:AU,L104,Erfassung7!AX:AX)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objects="1" scenarios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8" sqref="E7:J9"/>
    </sheetView>
  </sheetViews>
  <sheetFormatPr baseColWidth="10" defaultColWidth="11.44140625" defaultRowHeight="13.2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44140625" customWidth="1"/>
    <col min="12" max="12" width="11.44140625" style="91" hidden="1" customWidth="1"/>
    <col min="13" max="16" width="11.44140625" hidden="1" customWidth="1"/>
    <col min="17" max="20" width="11.44140625" customWidth="1"/>
  </cols>
  <sheetData>
    <row r="1" spans="1:16" ht="28.5" customHeight="1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>
      <c r="A2" s="154" t="s">
        <v>1785</v>
      </c>
      <c r="C2" s="33">
        <v>7</v>
      </c>
      <c r="D2" s="33" t="s">
        <v>1864</v>
      </c>
      <c r="E2" s="155"/>
      <c r="F2" s="156"/>
      <c r="L2" s="91">
        <f>INDEX(Starter!A:A,ROW()-1)</f>
        <v>38890</v>
      </c>
      <c r="M2">
        <f>INDEX(SchnittGes6!M:M,MATCH(L2,SchnittGes6!L:L,0))+INDEX(Schnitt7!M:M,MATCH(L2,Schnitt7!L:L,0))</f>
        <v>1855</v>
      </c>
      <c r="N2">
        <f>INDEX(SchnittGes6!N:N,MATCH(L2,SchnittGes6!L:L,0))+INDEX(Schnitt7!N:N,MATCH(L2,Schnitt7!L:L,0))</f>
        <v>19</v>
      </c>
      <c r="O2">
        <f t="shared" ref="O2:O65" si="0">IF(N2=0,0,M2/N2-ROW()/1000000000)</f>
        <v>97.631578945368432</v>
      </c>
      <c r="P2">
        <f t="shared" ref="P2:P65" si="1">RANK(O2,O:O)</f>
        <v>37</v>
      </c>
    </row>
    <row r="3" spans="1:16">
      <c r="L3" s="91">
        <f>INDEX(Starter!A:A,ROW()-1)</f>
        <v>38785</v>
      </c>
      <c r="M3">
        <f>INDEX(SchnittGes6!M:M,MATCH(L3,SchnittGes6!L:L,0))+INDEX(Schnitt7!M:M,MATCH(L3,Schnitt7!L:L,0))</f>
        <v>896</v>
      </c>
      <c r="N3">
        <f>INDEX(SchnittGes6!N:N,MATCH(L3,SchnittGes6!L:L,0))+INDEX(Schnitt7!N:N,MATCH(L3,Schnitt7!L:L,0))</f>
        <v>8</v>
      </c>
      <c r="O3">
        <f t="shared" si="0"/>
        <v>111.999999997</v>
      </c>
      <c r="P3">
        <f t="shared" si="1"/>
        <v>34</v>
      </c>
    </row>
    <row r="4" spans="1:16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INDEX(SchnittGes6!M:M,MATCH(L4,SchnittGes6!L:L,0))+INDEX(Schnitt7!M:M,MATCH(L4,Schnitt7!L:L,0))</f>
        <v>2004</v>
      </c>
      <c r="N4">
        <f>INDEX(SchnittGes6!N:N,MATCH(L4,SchnittGes6!L:L,0))+INDEX(Schnitt7!N:N,MATCH(L4,Schnitt7!L:L,0))</f>
        <v>13</v>
      </c>
      <c r="O4">
        <f t="shared" si="0"/>
        <v>154.15384614984617</v>
      </c>
      <c r="P4">
        <f t="shared" si="1"/>
        <v>11</v>
      </c>
    </row>
    <row r="5" spans="1:16">
      <c r="A5">
        <v>1</v>
      </c>
      <c r="B5">
        <f t="shared" ref="B5:B68" si="2">IFERROR(INDEX(L:L,MATCH(A5,P:P,0)),"")</f>
        <v>38708</v>
      </c>
      <c r="C5" t="str">
        <f>IFERROR(INDEX(Starter!B:B,MATCH(B5,Starter!A:A,0)),"")</f>
        <v>Gründl, Alexander</v>
      </c>
      <c r="D5" t="str">
        <f>IFERROR(INDEX(Starter!C:C,MATCH(B5,Starter!A:A,0)),"")</f>
        <v>BK München</v>
      </c>
      <c r="E5" s="78">
        <f t="shared" ref="E5:E68" si="3">IFERROR(INDEX(M:M,MATCH(A5,P:P,0)),"")</f>
        <v>4938</v>
      </c>
      <c r="F5">
        <f t="shared" ref="F5:F68" si="4">IFERROR(INDEX(N:N,MATCH(A5,P:P,0)),"")</f>
        <v>25</v>
      </c>
      <c r="G5" s="153">
        <f t="shared" ref="G5:G68" si="5">IFERROR(INDEX(O:O,MATCH(A5,P:P,0)),"")</f>
        <v>197.51999996500001</v>
      </c>
      <c r="L5" s="91">
        <f>INDEX(Starter!A:A,ROW()-1)</f>
        <v>38904</v>
      </c>
      <c r="M5">
        <f>INDEX(SchnittGes6!M:M,MATCH(L5,SchnittGes6!L:L,0))+INDEX(Schnitt7!M:M,MATCH(L5,Schnitt7!L:L,0))</f>
        <v>2447</v>
      </c>
      <c r="N5">
        <f>INDEX(SchnittGes6!N:N,MATCH(L5,SchnittGes6!L:L,0))+INDEX(Schnitt7!N:N,MATCH(L5,Schnitt7!L:L,0))</f>
        <v>20</v>
      </c>
      <c r="O5">
        <f t="shared" si="0"/>
        <v>122.34999999499999</v>
      </c>
      <c r="P5">
        <f t="shared" si="1"/>
        <v>25</v>
      </c>
    </row>
    <row r="6" spans="1:16">
      <c r="A6">
        <f t="shared" ref="A6:A69" si="6">IFERROR(IF(A5+1&gt;MAX(P:P)-1,"",A5+1),"")</f>
        <v>2</v>
      </c>
      <c r="B6">
        <f t="shared" si="2"/>
        <v>38327</v>
      </c>
      <c r="C6" t="str">
        <f>IFERROR(INDEX(Starter!B:B,MATCH(B6,Starter!A:A,0)),"")</f>
        <v>Jakobi, Moritz</v>
      </c>
      <c r="D6" t="str">
        <f>IFERROR(INDEX(Starter!C:C,MATCH(B6,Starter!A:A,0)),"")</f>
        <v>BK München</v>
      </c>
      <c r="E6" s="78">
        <f t="shared" si="3"/>
        <v>3929</v>
      </c>
      <c r="F6">
        <f t="shared" si="4"/>
        <v>20</v>
      </c>
      <c r="G6" s="153">
        <f t="shared" si="5"/>
        <v>196.449999964</v>
      </c>
      <c r="L6" s="91">
        <f>INDEX(Starter!A:A,ROW()-1)</f>
        <v>38910</v>
      </c>
      <c r="M6">
        <f>INDEX(SchnittGes6!M:M,MATCH(L6,SchnittGes6!L:L,0))+INDEX(Schnitt7!M:M,MATCH(L6,Schnitt7!L:L,0))</f>
        <v>1816</v>
      </c>
      <c r="N6">
        <f>INDEX(SchnittGes6!N:N,MATCH(L6,SchnittGes6!L:L,0))+INDEX(Schnitt7!N:N,MATCH(L6,Schnitt7!L:L,0))</f>
        <v>15</v>
      </c>
      <c r="O6">
        <f t="shared" si="0"/>
        <v>121.06666666066667</v>
      </c>
      <c r="P6">
        <f t="shared" si="1"/>
        <v>27</v>
      </c>
    </row>
    <row r="7" spans="1:16">
      <c r="A7">
        <f t="shared" si="6"/>
        <v>3</v>
      </c>
      <c r="B7">
        <f t="shared" si="2"/>
        <v>38655</v>
      </c>
      <c r="C7" t="str">
        <f>IFERROR(INDEX(Starter!B:B,MATCH(B7,Starter!A:A,0)),"")</f>
        <v>Wheeldon, Vincent</v>
      </c>
      <c r="D7" t="str">
        <f>IFERROR(INDEX(Starter!C:C,MATCH(B7,Starter!A:A,0)),"")</f>
        <v>BK München</v>
      </c>
      <c r="E7" s="78">
        <f t="shared" si="3"/>
        <v>1940</v>
      </c>
      <c r="F7">
        <f t="shared" si="4"/>
        <v>10</v>
      </c>
      <c r="G7" s="153">
        <f t="shared" si="5"/>
        <v>193.99999996599999</v>
      </c>
      <c r="L7" s="91">
        <f>INDEX(Starter!A:A,ROW()-1)</f>
        <v>38861</v>
      </c>
      <c r="M7">
        <f>INDEX(SchnittGes6!M:M,MATCH(L7,SchnittGes6!L:L,0))+INDEX(Schnitt7!M:M,MATCH(L7,Schnitt7!L:L,0))</f>
        <v>0</v>
      </c>
      <c r="N7">
        <f>INDEX(SchnittGes6!N:N,MATCH(L7,SchnittGes6!L:L,0))+INDEX(Schnitt7!N:N,MATCH(L7,Schnitt7!L:L,0))</f>
        <v>0</v>
      </c>
      <c r="O7">
        <f t="shared" si="0"/>
        <v>0</v>
      </c>
      <c r="P7">
        <f t="shared" si="1"/>
        <v>43</v>
      </c>
    </row>
    <row r="8" spans="1:16">
      <c r="A8">
        <f t="shared" si="6"/>
        <v>4</v>
      </c>
      <c r="B8">
        <f t="shared" si="2"/>
        <v>38334</v>
      </c>
      <c r="C8" t="str">
        <f>IFERROR(INDEX(Starter!B:B,MATCH(B8,Starter!A:A,0)),"")</f>
        <v>Lauchner, Julian</v>
      </c>
      <c r="D8" t="str">
        <f>IFERROR(INDEX(Starter!C:C,MATCH(B8,Starter!A:A,0)),"")</f>
        <v>BK München</v>
      </c>
      <c r="E8" s="78">
        <f t="shared" si="3"/>
        <v>2849</v>
      </c>
      <c r="F8">
        <f t="shared" si="4"/>
        <v>15</v>
      </c>
      <c r="G8" s="153">
        <f t="shared" si="5"/>
        <v>189.93333328833333</v>
      </c>
      <c r="L8" s="91">
        <f>INDEX(Starter!A:A,ROW()-1)</f>
        <v>38845</v>
      </c>
      <c r="M8">
        <f>INDEX(SchnittGes6!M:M,MATCH(L8,SchnittGes6!L:L,0))+INDEX(Schnitt7!M:M,MATCH(L8,Schnitt7!L:L,0))</f>
        <v>3751</v>
      </c>
      <c r="N8">
        <f>INDEX(SchnittGes6!N:N,MATCH(L8,SchnittGes6!L:L,0))+INDEX(Schnitt7!N:N,MATCH(L8,Schnitt7!L:L,0))</f>
        <v>20</v>
      </c>
      <c r="O8">
        <f t="shared" si="0"/>
        <v>187.54999999200001</v>
      </c>
      <c r="P8">
        <f t="shared" si="1"/>
        <v>5</v>
      </c>
    </row>
    <row r="9" spans="1:16">
      <c r="A9">
        <f t="shared" si="6"/>
        <v>5</v>
      </c>
      <c r="B9">
        <f t="shared" si="2"/>
        <v>38845</v>
      </c>
      <c r="C9" t="str">
        <f>IFERROR(INDEX(Starter!B:B,MATCH(B9,Starter!A:A,0)),"")</f>
        <v>Kugler, Laurin</v>
      </c>
      <c r="D9" t="str">
        <f>IFERROR(INDEX(Starter!C:C,MATCH(B9,Starter!A:A,0)),"")</f>
        <v>Absolut-Sports.com</v>
      </c>
      <c r="E9" s="78">
        <f t="shared" si="3"/>
        <v>3751</v>
      </c>
      <c r="F9">
        <f t="shared" si="4"/>
        <v>20</v>
      </c>
      <c r="G9" s="153">
        <f t="shared" si="5"/>
        <v>187.54999999200001</v>
      </c>
      <c r="L9" s="91">
        <f>INDEX(Starter!A:A,ROW()-1)</f>
        <v>38843</v>
      </c>
      <c r="M9">
        <f>INDEX(SchnittGes6!M:M,MATCH(L9,SchnittGes6!L:L,0))+INDEX(Schnitt7!M:M,MATCH(L9,Schnitt7!L:L,0))</f>
        <v>783</v>
      </c>
      <c r="N9">
        <f>INDEX(SchnittGes6!N:N,MATCH(L9,SchnittGes6!L:L,0))+INDEX(Schnitt7!N:N,MATCH(L9,Schnitt7!L:L,0))</f>
        <v>6</v>
      </c>
      <c r="O9">
        <f t="shared" si="0"/>
        <v>130.49999999100001</v>
      </c>
      <c r="P9">
        <f t="shared" si="1"/>
        <v>22</v>
      </c>
    </row>
    <row r="10" spans="1:16">
      <c r="A10">
        <f t="shared" si="6"/>
        <v>6</v>
      </c>
      <c r="B10">
        <f t="shared" si="2"/>
        <v>38844</v>
      </c>
      <c r="C10" t="str">
        <f>IFERROR(INDEX(Starter!B:B,MATCH(B10,Starter!A:A,0)),"")</f>
        <v>Mathe, Maximilian</v>
      </c>
      <c r="D10" t="str">
        <f>IFERROR(INDEX(Starter!C:C,MATCH(B10,Starter!A:A,0)),"")</f>
        <v>Absolut-Sports.com</v>
      </c>
      <c r="E10" s="78">
        <f t="shared" si="3"/>
        <v>1763</v>
      </c>
      <c r="F10">
        <f t="shared" si="4"/>
        <v>10</v>
      </c>
      <c r="G10" s="153">
        <f t="shared" si="5"/>
        <v>176.29999999</v>
      </c>
      <c r="L10" s="91">
        <f>INDEX(Starter!A:A,ROW()-1)</f>
        <v>38844</v>
      </c>
      <c r="M10">
        <f>INDEX(SchnittGes6!M:M,MATCH(L10,SchnittGes6!L:L,0))+INDEX(Schnitt7!M:M,MATCH(L10,Schnitt7!L:L,0))</f>
        <v>1763</v>
      </c>
      <c r="N10">
        <f>INDEX(SchnittGes6!N:N,MATCH(L10,SchnittGes6!L:L,0))+INDEX(Schnitt7!N:N,MATCH(L10,Schnitt7!L:L,0))</f>
        <v>10</v>
      </c>
      <c r="O10">
        <f t="shared" si="0"/>
        <v>176.29999999</v>
      </c>
      <c r="P10">
        <f t="shared" si="1"/>
        <v>6</v>
      </c>
    </row>
    <row r="11" spans="1:16">
      <c r="A11">
        <f t="shared" si="6"/>
        <v>7</v>
      </c>
      <c r="B11">
        <f t="shared" si="2"/>
        <v>38626</v>
      </c>
      <c r="C11" t="str">
        <f>IFERROR(INDEX(Starter!B:B,MATCH(B11,Starter!A:A,0)),"")</f>
        <v>Wolf, Alexander</v>
      </c>
      <c r="D11" t="str">
        <f>IFERROR(INDEX(Starter!C:C,MATCH(B11,Starter!A:A,0)),"")</f>
        <v>BK München</v>
      </c>
      <c r="E11" s="78">
        <f t="shared" si="3"/>
        <v>794</v>
      </c>
      <c r="F11">
        <f t="shared" si="4"/>
        <v>5</v>
      </c>
      <c r="G11" s="153">
        <f t="shared" si="5"/>
        <v>158.79999995300003</v>
      </c>
      <c r="L11" s="91">
        <f>INDEX(Starter!A:A,ROW()-1)</f>
        <v>38772</v>
      </c>
      <c r="M11">
        <f>INDEX(SchnittGes6!M:M,MATCH(L11,SchnittGes6!L:L,0))+INDEX(Schnitt7!M:M,MATCH(L11,Schnitt7!L:L,0))</f>
        <v>2076</v>
      </c>
      <c r="N11">
        <f>INDEX(SchnittGes6!N:N,MATCH(L11,SchnittGes6!L:L,0))+INDEX(Schnitt7!N:N,MATCH(L11,Schnitt7!L:L,0))</f>
        <v>15</v>
      </c>
      <c r="O11">
        <f t="shared" si="0"/>
        <v>138.39999998900001</v>
      </c>
      <c r="P11">
        <f t="shared" si="1"/>
        <v>19</v>
      </c>
    </row>
    <row r="12" spans="1:16">
      <c r="A12">
        <f t="shared" si="6"/>
        <v>8</v>
      </c>
      <c r="B12">
        <f t="shared" si="2"/>
        <v>38809</v>
      </c>
      <c r="C12" t="str">
        <f>IFERROR(INDEX(Starter!B:B,MATCH(B12,Starter!A:A,0)),"")</f>
        <v>Elze, Julian</v>
      </c>
      <c r="D12" t="str">
        <f>IFERROR(INDEX(Starter!C:C,MATCH(B12,Starter!A:A,0)),"")</f>
        <v>BSC Highroller Rosenheim</v>
      </c>
      <c r="E12" s="78">
        <f t="shared" si="3"/>
        <v>939</v>
      </c>
      <c r="F12">
        <f t="shared" si="4"/>
        <v>6</v>
      </c>
      <c r="G12" s="153">
        <f t="shared" si="5"/>
        <v>156.49999998300001</v>
      </c>
      <c r="L12" s="91">
        <f>INDEX(Starter!A:A,ROW()-1)</f>
        <v>38893</v>
      </c>
      <c r="M12">
        <f>INDEX(SchnittGes6!M:M,MATCH(L12,SchnittGes6!L:L,0))+INDEX(Schnitt7!M:M,MATCH(L12,Schnitt7!L:L,0))</f>
        <v>1199</v>
      </c>
      <c r="N12">
        <f>INDEX(SchnittGes6!N:N,MATCH(L12,SchnittGes6!L:L,0))+INDEX(Schnitt7!N:N,MATCH(L12,Schnitt7!L:L,0))</f>
        <v>13</v>
      </c>
      <c r="O12">
        <f t="shared" si="0"/>
        <v>92.230769218769225</v>
      </c>
      <c r="P12">
        <f t="shared" si="1"/>
        <v>40</v>
      </c>
    </row>
    <row r="13" spans="1:16">
      <c r="A13">
        <f t="shared" si="6"/>
        <v>9</v>
      </c>
      <c r="B13">
        <f t="shared" si="2"/>
        <v>38759</v>
      </c>
      <c r="C13" t="str">
        <f>IFERROR(INDEX(Starter!B:B,MATCH(B13,Starter!A:A,0)),"")</f>
        <v>Stölzel, Celia</v>
      </c>
      <c r="D13" t="str">
        <f>IFERROR(INDEX(Starter!C:C,MATCH(B13,Starter!A:A,0)),"")</f>
        <v>BSC Highroller Rosenheim</v>
      </c>
      <c r="E13" s="78">
        <f t="shared" si="3"/>
        <v>3593</v>
      </c>
      <c r="F13">
        <f t="shared" si="4"/>
        <v>23</v>
      </c>
      <c r="G13" s="153">
        <f t="shared" si="5"/>
        <v>156.21739129034782</v>
      </c>
      <c r="L13" s="91">
        <f>INDEX(Starter!A:A,ROW()-1)</f>
        <v>38760</v>
      </c>
      <c r="M13">
        <f>INDEX(SchnittGes6!M:M,MATCH(L13,SchnittGes6!L:L,0))+INDEX(Schnitt7!M:M,MATCH(L13,Schnitt7!L:L,0))</f>
        <v>3288</v>
      </c>
      <c r="N13">
        <f>INDEX(SchnittGes6!N:N,MATCH(L13,SchnittGes6!L:L,0))+INDEX(Schnitt7!N:N,MATCH(L13,Schnitt7!L:L,0))</f>
        <v>23</v>
      </c>
      <c r="O13">
        <f t="shared" si="0"/>
        <v>142.95652172613043</v>
      </c>
      <c r="P13">
        <f t="shared" si="1"/>
        <v>17</v>
      </c>
    </row>
    <row r="14" spans="1:16">
      <c r="A14">
        <f t="shared" si="6"/>
        <v>10</v>
      </c>
      <c r="B14">
        <f t="shared" si="2"/>
        <v>38795</v>
      </c>
      <c r="C14" t="str">
        <f>IFERROR(INDEX(Starter!B:B,MATCH(B14,Starter!A:A,0)),"")</f>
        <v>Catalano, Leandro</v>
      </c>
      <c r="D14" t="str">
        <f>IFERROR(INDEX(Starter!C:C,MATCH(B14,Starter!A:A,0)),"")</f>
        <v>Bowling Jugend Bayern</v>
      </c>
      <c r="E14" s="78">
        <f t="shared" si="3"/>
        <v>778</v>
      </c>
      <c r="F14">
        <f t="shared" si="4"/>
        <v>5</v>
      </c>
      <c r="G14" s="153">
        <f t="shared" si="5"/>
        <v>155.599999962</v>
      </c>
      <c r="L14" s="91">
        <f>INDEX(Starter!A:A,ROW()-1)</f>
        <v>38759</v>
      </c>
      <c r="M14">
        <f>INDEX(SchnittGes6!M:M,MATCH(L14,SchnittGes6!L:L,0))+INDEX(Schnitt7!M:M,MATCH(L14,Schnitt7!L:L,0))</f>
        <v>3593</v>
      </c>
      <c r="N14">
        <f>INDEX(SchnittGes6!N:N,MATCH(L14,SchnittGes6!L:L,0))+INDEX(Schnitt7!N:N,MATCH(L14,Schnitt7!L:L,0))</f>
        <v>23</v>
      </c>
      <c r="O14">
        <f t="shared" si="0"/>
        <v>156.21739129034782</v>
      </c>
      <c r="P14">
        <f t="shared" si="1"/>
        <v>9</v>
      </c>
    </row>
    <row r="15" spans="1:16">
      <c r="A15">
        <f t="shared" si="6"/>
        <v>11</v>
      </c>
      <c r="B15">
        <f t="shared" si="2"/>
        <v>38706</v>
      </c>
      <c r="C15" t="str">
        <f>IFERROR(INDEX(Starter!B:B,MATCH(B15,Starter!A:A,0)),"")</f>
        <v>Böhm, Eric-Pascal</v>
      </c>
      <c r="D15" t="str">
        <f>IFERROR(INDEX(Starter!C:C,MATCH(B15,Starter!A:A,0)),"")</f>
        <v>BC EMAX</v>
      </c>
      <c r="E15" s="78">
        <f t="shared" si="3"/>
        <v>2004</v>
      </c>
      <c r="F15">
        <f t="shared" si="4"/>
        <v>13</v>
      </c>
      <c r="G15" s="153">
        <f t="shared" si="5"/>
        <v>154.15384614984617</v>
      </c>
      <c r="L15" s="91">
        <f>INDEX(Starter!A:A,ROW()-1)</f>
        <v>38831</v>
      </c>
      <c r="M15">
        <f>INDEX(SchnittGes6!M:M,MATCH(L15,SchnittGes6!L:L,0))+INDEX(Schnitt7!M:M,MATCH(L15,Schnitt7!L:L,0))</f>
        <v>589</v>
      </c>
      <c r="N15">
        <f>INDEX(SchnittGes6!N:N,MATCH(L15,SchnittGes6!L:L,0))+INDEX(Schnitt7!N:N,MATCH(L15,Schnitt7!L:L,0))</f>
        <v>6</v>
      </c>
      <c r="O15">
        <f t="shared" si="0"/>
        <v>98.166666651666674</v>
      </c>
      <c r="P15">
        <f t="shared" si="1"/>
        <v>36</v>
      </c>
    </row>
    <row r="16" spans="1:16">
      <c r="A16">
        <f t="shared" si="6"/>
        <v>12</v>
      </c>
      <c r="B16">
        <f t="shared" si="2"/>
        <v>38942</v>
      </c>
      <c r="C16" t="str">
        <f>IFERROR(INDEX(Starter!B:B,MATCH(B16,Starter!A:A,0)),"")</f>
        <v>Klettenheimer, Julius</v>
      </c>
      <c r="D16" t="str">
        <f>IFERROR(INDEX(Starter!C:C,MATCH(B16,Starter!A:A,0)),"")</f>
        <v>Bowling Jugend Bayern</v>
      </c>
      <c r="E16" s="78">
        <f t="shared" si="3"/>
        <v>2300</v>
      </c>
      <c r="F16">
        <f t="shared" si="4"/>
        <v>15</v>
      </c>
      <c r="G16" s="153">
        <f t="shared" si="5"/>
        <v>153.33333328933335</v>
      </c>
      <c r="L16" s="91">
        <f>INDEX(Starter!A:A,ROW()-1)</f>
        <v>38773</v>
      </c>
      <c r="M16">
        <f>INDEX(SchnittGes6!M:M,MATCH(L16,SchnittGes6!L:L,0))+INDEX(Schnitt7!M:M,MATCH(L16,Schnitt7!L:L,0))</f>
        <v>3330</v>
      </c>
      <c r="N16">
        <f>INDEX(SchnittGes6!N:N,MATCH(L16,SchnittGes6!L:L,0))+INDEX(Schnitt7!N:N,MATCH(L16,Schnitt7!L:L,0))</f>
        <v>23</v>
      </c>
      <c r="O16">
        <f t="shared" si="0"/>
        <v>144.78260867965218</v>
      </c>
      <c r="P16">
        <f t="shared" si="1"/>
        <v>15</v>
      </c>
    </row>
    <row r="17" spans="1:16">
      <c r="A17">
        <f t="shared" si="6"/>
        <v>13</v>
      </c>
      <c r="B17">
        <f t="shared" si="2"/>
        <v>38714</v>
      </c>
      <c r="C17" t="str">
        <f>IFERROR(INDEX(Starter!B:B,MATCH(B17,Starter!A:A,0)),"")</f>
        <v>Wieser, Lukas</v>
      </c>
      <c r="D17" t="str">
        <f>IFERROR(INDEX(Starter!C:C,MATCH(B17,Starter!A:A,0)),"")</f>
        <v>BC Berchtesgaden</v>
      </c>
      <c r="E17" s="78">
        <f t="shared" si="3"/>
        <v>2594</v>
      </c>
      <c r="F17">
        <f t="shared" si="4"/>
        <v>17</v>
      </c>
      <c r="G17" s="153">
        <f t="shared" si="5"/>
        <v>152.58823526511765</v>
      </c>
      <c r="L17" s="91">
        <f>INDEX(Starter!A:A,ROW()-1)</f>
        <v>38809</v>
      </c>
      <c r="M17">
        <f>INDEX(SchnittGes6!M:M,MATCH(L17,SchnittGes6!L:L,0))+INDEX(Schnitt7!M:M,MATCH(L17,Schnitt7!L:L,0))</f>
        <v>939</v>
      </c>
      <c r="N17">
        <f>INDEX(SchnittGes6!N:N,MATCH(L17,SchnittGes6!L:L,0))+INDEX(Schnitt7!N:N,MATCH(L17,Schnitt7!L:L,0))</f>
        <v>6</v>
      </c>
      <c r="O17">
        <f t="shared" si="0"/>
        <v>156.49999998300001</v>
      </c>
      <c r="P17">
        <f t="shared" si="1"/>
        <v>8</v>
      </c>
    </row>
    <row r="18" spans="1:16">
      <c r="A18">
        <f t="shared" si="6"/>
        <v>14</v>
      </c>
      <c r="B18">
        <f t="shared" si="2"/>
        <v>38781</v>
      </c>
      <c r="C18" t="str">
        <f>IFERROR(INDEX(Starter!B:B,MATCH(B18,Starter!A:A,0)),"")</f>
        <v>Reichenauer, Leon</v>
      </c>
      <c r="D18" t="str">
        <f>IFERROR(INDEX(Starter!C:C,MATCH(B18,Starter!A:A,0)),"")</f>
        <v>Bowling Jugend Bayern</v>
      </c>
      <c r="E18" s="78">
        <f t="shared" si="3"/>
        <v>2242</v>
      </c>
      <c r="F18">
        <f t="shared" si="4"/>
        <v>15</v>
      </c>
      <c r="G18" s="153">
        <f t="shared" si="5"/>
        <v>149.46666662466666</v>
      </c>
      <c r="L18" s="91">
        <f>INDEX(Starter!A:A,ROW()-1)</f>
        <v>38923</v>
      </c>
      <c r="M18">
        <f>INDEX(SchnittGes6!M:M,MATCH(L18,SchnittGes6!L:L,0))+INDEX(Schnitt7!M:M,MATCH(L18,Schnitt7!L:L,0))</f>
        <v>1583</v>
      </c>
      <c r="N18">
        <f>INDEX(SchnittGes6!N:N,MATCH(L18,SchnittGes6!L:L,0))+INDEX(Schnitt7!N:N,MATCH(L18,Schnitt7!L:L,0))</f>
        <v>14</v>
      </c>
      <c r="O18">
        <f t="shared" si="0"/>
        <v>113.07142855342858</v>
      </c>
      <c r="P18">
        <f t="shared" si="1"/>
        <v>33</v>
      </c>
    </row>
    <row r="19" spans="1:16">
      <c r="A19">
        <f t="shared" si="6"/>
        <v>15</v>
      </c>
      <c r="B19">
        <f t="shared" si="2"/>
        <v>38773</v>
      </c>
      <c r="C19" t="str">
        <f>IFERROR(INDEX(Starter!B:B,MATCH(B19,Starter!A:A,0)),"")</f>
        <v>Weiss, Luisa Samira</v>
      </c>
      <c r="D19" t="str">
        <f>IFERROR(INDEX(Starter!C:C,MATCH(B19,Starter!A:A,0)),"")</f>
        <v>BSC Highroller Rosenheim</v>
      </c>
      <c r="E19" s="78">
        <f t="shared" si="3"/>
        <v>3330</v>
      </c>
      <c r="F19">
        <f t="shared" si="4"/>
        <v>23</v>
      </c>
      <c r="G19" s="153">
        <f t="shared" si="5"/>
        <v>144.78260867965218</v>
      </c>
      <c r="L19" s="91">
        <f>INDEX(Starter!A:A,ROW()-1)</f>
        <v>38920</v>
      </c>
      <c r="M19">
        <f>INDEX(SchnittGes6!M:M,MATCH(L19,SchnittGes6!L:L,0))+INDEX(Schnitt7!M:M,MATCH(L19,Schnitt7!L:L,0))</f>
        <v>1897</v>
      </c>
      <c r="N19">
        <f>INDEX(SchnittGes6!N:N,MATCH(L19,SchnittGes6!L:L,0))+INDEX(Schnitt7!N:N,MATCH(L19,Schnitt7!L:L,0))</f>
        <v>19</v>
      </c>
      <c r="O19">
        <f t="shared" si="0"/>
        <v>99.842105244157892</v>
      </c>
      <c r="P19">
        <f t="shared" si="1"/>
        <v>35</v>
      </c>
    </row>
    <row r="20" spans="1:16">
      <c r="A20">
        <f t="shared" si="6"/>
        <v>16</v>
      </c>
      <c r="B20">
        <f t="shared" si="2"/>
        <v>38674</v>
      </c>
      <c r="C20" t="str">
        <f>IFERROR(INDEX(Starter!B:B,MATCH(B20,Starter!A:A,0)),"")</f>
        <v>Mäurer, Odin</v>
      </c>
      <c r="D20" t="str">
        <f>IFERROR(INDEX(Starter!C:C,MATCH(B20,Starter!A:A,0)),"")</f>
        <v>Bowling Jugend Bayern</v>
      </c>
      <c r="E20" s="78">
        <f t="shared" si="3"/>
        <v>717</v>
      </c>
      <c r="F20">
        <f t="shared" si="4"/>
        <v>5</v>
      </c>
      <c r="G20" s="153">
        <f t="shared" si="5"/>
        <v>143.39999996099999</v>
      </c>
      <c r="L20" s="91">
        <f>INDEX(Starter!A:A,ROW()-1)</f>
        <v>38921</v>
      </c>
      <c r="M20">
        <f>INDEX(SchnittGes6!M:M,MATCH(L20,SchnittGes6!L:L,0))+INDEX(Schnitt7!M:M,MATCH(L20,Schnitt7!L:L,0))</f>
        <v>1368</v>
      </c>
      <c r="N20">
        <f>INDEX(SchnittGes6!N:N,MATCH(L20,SchnittGes6!L:L,0))+INDEX(Schnitt7!N:N,MATCH(L20,Schnitt7!L:L,0))</f>
        <v>18</v>
      </c>
      <c r="O20">
        <f t="shared" si="0"/>
        <v>75.999999979999998</v>
      </c>
      <c r="P20">
        <f t="shared" si="1"/>
        <v>41</v>
      </c>
    </row>
    <row r="21" spans="1:16">
      <c r="A21">
        <f t="shared" si="6"/>
        <v>17</v>
      </c>
      <c r="B21">
        <f t="shared" si="2"/>
        <v>38760</v>
      </c>
      <c r="C21" t="str">
        <f>IFERROR(INDEX(Starter!B:B,MATCH(B21,Starter!A:A,0)),"")</f>
        <v>Achhammer, Klara</v>
      </c>
      <c r="D21" t="str">
        <f>IFERROR(INDEX(Starter!C:C,MATCH(B21,Starter!A:A,0)),"")</f>
        <v>BSC Highroller Rosenheim</v>
      </c>
      <c r="E21" s="78">
        <f t="shared" si="3"/>
        <v>3288</v>
      </c>
      <c r="F21">
        <f t="shared" si="4"/>
        <v>23</v>
      </c>
      <c r="G21" s="153">
        <f t="shared" si="5"/>
        <v>142.95652172613043</v>
      </c>
      <c r="L21" s="91">
        <f>INDEX(Starter!A:A,ROW()-1)</f>
        <v>38922</v>
      </c>
      <c r="M21">
        <f>INDEX(SchnittGes6!M:M,MATCH(L21,SchnittGes6!L:L,0))+INDEX(Schnitt7!M:M,MATCH(L21,Schnitt7!L:L,0))</f>
        <v>1730</v>
      </c>
      <c r="N21">
        <f>INDEX(SchnittGes6!N:N,MATCH(L21,SchnittGes6!L:L,0))+INDEX(Schnitt7!N:N,MATCH(L21,Schnitt7!L:L,0))</f>
        <v>18</v>
      </c>
      <c r="O21">
        <f t="shared" si="0"/>
        <v>96.111111090111109</v>
      </c>
      <c r="P21">
        <f t="shared" si="1"/>
        <v>39</v>
      </c>
    </row>
    <row r="22" spans="1:16">
      <c r="A22">
        <f t="shared" si="6"/>
        <v>18</v>
      </c>
      <c r="B22">
        <f t="shared" si="2"/>
        <v>38894</v>
      </c>
      <c r="C22" t="str">
        <f>IFERROR(INDEX(Starter!B:B,MATCH(B22,Starter!A:A,0)),"")</f>
        <v>Prieß, Marc</v>
      </c>
      <c r="D22" t="str">
        <f>IFERROR(INDEX(Starter!C:C,MATCH(B22,Starter!A:A,0)),"")</f>
        <v>Bowling Jugend Bayern</v>
      </c>
      <c r="E22" s="78">
        <f t="shared" si="3"/>
        <v>713</v>
      </c>
      <c r="F22">
        <f t="shared" si="4"/>
        <v>5</v>
      </c>
      <c r="G22" s="153">
        <f t="shared" si="5"/>
        <v>142.59999995999999</v>
      </c>
      <c r="L22" s="91">
        <f>INDEX(Starter!A:A,ROW()-1)</f>
        <v>38808</v>
      </c>
      <c r="M22">
        <f>INDEX(SchnittGes6!M:M,MATCH(L22,SchnittGes6!L:L,0))+INDEX(Schnitt7!M:M,MATCH(L22,Schnitt7!L:L,0))</f>
        <v>2213</v>
      </c>
      <c r="N22">
        <f>INDEX(SchnittGes6!N:N,MATCH(L22,SchnittGes6!L:L,0))+INDEX(Schnitt7!N:N,MATCH(L22,Schnitt7!L:L,0))</f>
        <v>18</v>
      </c>
      <c r="O22">
        <f t="shared" si="0"/>
        <v>122.94444442244445</v>
      </c>
      <c r="P22">
        <f t="shared" si="1"/>
        <v>24</v>
      </c>
    </row>
    <row r="23" spans="1:16">
      <c r="A23">
        <f t="shared" si="6"/>
        <v>19</v>
      </c>
      <c r="B23">
        <f t="shared" si="2"/>
        <v>38772</v>
      </c>
      <c r="C23" t="str">
        <f>IFERROR(INDEX(Starter!B:B,MATCH(B23,Starter!A:A,0)),"")</f>
        <v>Sturm, Sebastian</v>
      </c>
      <c r="D23" t="str">
        <f>IFERROR(INDEX(Starter!C:C,MATCH(B23,Starter!A:A,0)),"")</f>
        <v>Absolut-Sports.com</v>
      </c>
      <c r="E23" s="78">
        <f t="shared" si="3"/>
        <v>2076</v>
      </c>
      <c r="F23">
        <f t="shared" si="4"/>
        <v>15</v>
      </c>
      <c r="G23" s="153">
        <f t="shared" si="5"/>
        <v>138.39999998900001</v>
      </c>
      <c r="L23" s="91">
        <f>INDEX(Starter!A:A,ROW()-1)</f>
        <v>38810</v>
      </c>
      <c r="M23">
        <f>INDEX(SchnittGes6!M:M,MATCH(L23,SchnittGes6!L:L,0))+INDEX(Schnitt7!M:M,MATCH(L23,Schnitt7!L:L,0))</f>
        <v>1823</v>
      </c>
      <c r="N23">
        <f>INDEX(SchnittGes6!N:N,MATCH(L23,SchnittGes6!L:L,0))+INDEX(Schnitt7!N:N,MATCH(L23,Schnitt7!L:L,0))</f>
        <v>16</v>
      </c>
      <c r="O23">
        <f t="shared" si="0"/>
        <v>113.937499977</v>
      </c>
      <c r="P23">
        <f t="shared" si="1"/>
        <v>31</v>
      </c>
    </row>
    <row r="24" spans="1:16">
      <c r="A24">
        <f t="shared" si="6"/>
        <v>20</v>
      </c>
      <c r="B24">
        <f t="shared" si="2"/>
        <v>38937</v>
      </c>
      <c r="C24" t="str">
        <f>IFERROR(INDEX(Starter!B:B,MATCH(B24,Starter!A:A,0)),"")</f>
        <v>Ruppert, Raja</v>
      </c>
      <c r="D24" t="str">
        <f>IFERROR(INDEX(Starter!C:C,MATCH(B24,Starter!A:A,0)),"")</f>
        <v>LA Bowling</v>
      </c>
      <c r="E24" s="78">
        <f t="shared" si="3"/>
        <v>1602</v>
      </c>
      <c r="F24">
        <f t="shared" si="4"/>
        <v>12</v>
      </c>
      <c r="G24" s="153">
        <f t="shared" si="5"/>
        <v>133.49999996700001</v>
      </c>
      <c r="L24" s="91">
        <f>INDEX(Starter!A:A,ROW()-1)</f>
        <v>38848</v>
      </c>
      <c r="M24">
        <f>INDEX(SchnittGes6!M:M,MATCH(L24,SchnittGes6!L:L,0))+INDEX(Schnitt7!M:M,MATCH(L24,Schnitt7!L:L,0))</f>
        <v>2439</v>
      </c>
      <c r="N24">
        <f>INDEX(SchnittGes6!N:N,MATCH(L24,SchnittGes6!L:L,0))+INDEX(Schnitt7!N:N,MATCH(L24,Schnitt7!L:L,0))</f>
        <v>20</v>
      </c>
      <c r="O24">
        <f t="shared" si="0"/>
        <v>121.949999976</v>
      </c>
      <c r="P24">
        <f t="shared" si="1"/>
        <v>26</v>
      </c>
    </row>
    <row r="25" spans="1:16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2092</v>
      </c>
      <c r="F25">
        <f t="shared" si="4"/>
        <v>16</v>
      </c>
      <c r="G25" s="153">
        <f t="shared" si="5"/>
        <v>130.74999997</v>
      </c>
      <c r="L25" s="91">
        <f>INDEX(Starter!A:A,ROW()-1)</f>
        <v>38849</v>
      </c>
      <c r="M25">
        <f>INDEX(SchnittGes6!M:M,MATCH(L25,SchnittGes6!L:L,0))+INDEX(Schnitt7!M:M,MATCH(L25,Schnitt7!L:L,0))</f>
        <v>2377</v>
      </c>
      <c r="N25">
        <f>INDEX(SchnittGes6!N:N,MATCH(L25,SchnittGes6!L:L,0))+INDEX(Schnitt7!N:N,MATCH(L25,Schnitt7!L:L,0))</f>
        <v>21</v>
      </c>
      <c r="O25">
        <f t="shared" si="0"/>
        <v>113.19047616547618</v>
      </c>
      <c r="P25">
        <f t="shared" si="1"/>
        <v>32</v>
      </c>
    </row>
    <row r="26" spans="1:16">
      <c r="A26">
        <f t="shared" si="6"/>
        <v>22</v>
      </c>
      <c r="B26">
        <f t="shared" si="2"/>
        <v>38843</v>
      </c>
      <c r="C26" t="str">
        <f>IFERROR(INDEX(Starter!B:B,MATCH(B26,Starter!A:A,0)),"")</f>
        <v>Lintner, Lena</v>
      </c>
      <c r="D26" t="str">
        <f>IFERROR(INDEX(Starter!C:C,MATCH(B26,Starter!A:A,0)),"")</f>
        <v>Absolut-Sports.com</v>
      </c>
      <c r="E26" s="78">
        <f t="shared" si="3"/>
        <v>783</v>
      </c>
      <c r="F26">
        <f t="shared" si="4"/>
        <v>6</v>
      </c>
      <c r="G26" s="153">
        <f t="shared" si="5"/>
        <v>130.49999999100001</v>
      </c>
      <c r="L26" s="91">
        <f>INDEX(Starter!A:A,ROW()-1)</f>
        <v>38925</v>
      </c>
      <c r="M26">
        <f>INDEX(SchnittGes6!M:M,MATCH(L26,SchnittGes6!L:L,0))+INDEX(Schnitt7!M:M,MATCH(L26,Schnitt7!L:L,0))</f>
        <v>0</v>
      </c>
      <c r="N26">
        <f>INDEX(SchnittGes6!N:N,MATCH(L26,SchnittGes6!L:L,0))+INDEX(Schnitt7!N:N,MATCH(L26,Schnitt7!L:L,0))</f>
        <v>0</v>
      </c>
      <c r="O26">
        <f t="shared" si="0"/>
        <v>0</v>
      </c>
      <c r="P26">
        <f t="shared" si="1"/>
        <v>43</v>
      </c>
    </row>
    <row r="27" spans="1:16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742</v>
      </c>
      <c r="F27">
        <f t="shared" si="4"/>
        <v>6</v>
      </c>
      <c r="G27" s="153">
        <f t="shared" si="5"/>
        <v>123.66666662366667</v>
      </c>
      <c r="L27" s="91">
        <f>INDEX(Starter!A:A,ROW()-1)</f>
        <v>38924</v>
      </c>
      <c r="M27">
        <f>INDEX(SchnittGes6!M:M,MATCH(L27,SchnittGes6!L:L,0))+INDEX(Schnitt7!M:M,MATCH(L27,Schnitt7!L:L,0))</f>
        <v>0</v>
      </c>
      <c r="N27">
        <f>INDEX(SchnittGes6!N:N,MATCH(L27,SchnittGes6!L:L,0))+INDEX(Schnitt7!N:N,MATCH(L27,Schnitt7!L:L,0))</f>
        <v>0</v>
      </c>
      <c r="O27">
        <f t="shared" si="0"/>
        <v>0</v>
      </c>
      <c r="P27">
        <f t="shared" si="1"/>
        <v>43</v>
      </c>
    </row>
    <row r="28" spans="1:16">
      <c r="A28">
        <f t="shared" si="6"/>
        <v>24</v>
      </c>
      <c r="B28">
        <f t="shared" si="2"/>
        <v>38808</v>
      </c>
      <c r="C28" t="str">
        <f>IFERROR(INDEX(Starter!B:B,MATCH(B28,Starter!A:A,0)),"")</f>
        <v>Reinhold, Moritz</v>
      </c>
      <c r="D28" t="str">
        <f>IFERROR(INDEX(Starter!C:C,MATCH(B28,Starter!A:A,0)),"")</f>
        <v>BSC Highroller Rosenheim</v>
      </c>
      <c r="E28" s="78">
        <f t="shared" si="3"/>
        <v>2213</v>
      </c>
      <c r="F28">
        <f t="shared" si="4"/>
        <v>18</v>
      </c>
      <c r="G28" s="153">
        <f t="shared" si="5"/>
        <v>122.94444442244445</v>
      </c>
      <c r="L28" s="91">
        <f>INDEX(Starter!A:A,ROW()-1)</f>
        <v>38865</v>
      </c>
      <c r="M28">
        <f>INDEX(SchnittGes6!M:M,MATCH(L28,SchnittGes6!L:L,0))+INDEX(Schnitt7!M:M,MATCH(L28,Schnitt7!L:L,0))</f>
        <v>2048</v>
      </c>
      <c r="N28">
        <f>INDEX(SchnittGes6!N:N,MATCH(L28,SchnittGes6!L:L,0))+INDEX(Schnitt7!N:N,MATCH(L28,Schnitt7!L:L,0))</f>
        <v>17</v>
      </c>
      <c r="O28">
        <f t="shared" si="0"/>
        <v>120.47058820729411</v>
      </c>
      <c r="P28">
        <f t="shared" si="1"/>
        <v>28</v>
      </c>
    </row>
    <row r="29" spans="1:16">
      <c r="A29">
        <f t="shared" si="6"/>
        <v>25</v>
      </c>
      <c r="B29">
        <f t="shared" si="2"/>
        <v>38904</v>
      </c>
      <c r="C29" t="str">
        <f>IFERROR(INDEX(Starter!B:B,MATCH(B29,Starter!A:A,0)),"")</f>
        <v>Vogt, Leonard</v>
      </c>
      <c r="D29" t="str">
        <f>IFERROR(INDEX(Starter!C:C,MATCH(B29,Starter!A:A,0)),"")</f>
        <v>BC EMAX</v>
      </c>
      <c r="E29" s="78">
        <f t="shared" si="3"/>
        <v>2447</v>
      </c>
      <c r="F29">
        <f t="shared" si="4"/>
        <v>20</v>
      </c>
      <c r="G29" s="153">
        <f t="shared" si="5"/>
        <v>122.34999999499999</v>
      </c>
      <c r="L29" s="91">
        <f>INDEX(Starter!A:A,ROW()-1)</f>
        <v>38714</v>
      </c>
      <c r="M29">
        <f>INDEX(SchnittGes6!M:M,MATCH(L29,SchnittGes6!L:L,0))+INDEX(Schnitt7!M:M,MATCH(L29,Schnitt7!L:L,0))</f>
        <v>2594</v>
      </c>
      <c r="N29">
        <f>INDEX(SchnittGes6!N:N,MATCH(L29,SchnittGes6!L:L,0))+INDEX(Schnitt7!N:N,MATCH(L29,Schnitt7!L:L,0))</f>
        <v>17</v>
      </c>
      <c r="O29">
        <f t="shared" si="0"/>
        <v>152.58823526511765</v>
      </c>
      <c r="P29">
        <f t="shared" si="1"/>
        <v>13</v>
      </c>
    </row>
    <row r="30" spans="1:16">
      <c r="A30">
        <f t="shared" si="6"/>
        <v>26</v>
      </c>
      <c r="B30">
        <f t="shared" si="2"/>
        <v>38848</v>
      </c>
      <c r="C30" t="str">
        <f>IFERROR(INDEX(Starter!B:B,MATCH(B30,Starter!A:A,0)),"")</f>
        <v>Marker, Anna</v>
      </c>
      <c r="D30" t="str">
        <f>IFERROR(INDEX(Starter!C:C,MATCH(B30,Starter!A:A,0)),"")</f>
        <v>BSC Highroller Rosenheim</v>
      </c>
      <c r="E30" s="78">
        <f t="shared" si="3"/>
        <v>2439</v>
      </c>
      <c r="F30">
        <f t="shared" si="4"/>
        <v>20</v>
      </c>
      <c r="G30" s="153">
        <f t="shared" si="5"/>
        <v>121.949999976</v>
      </c>
      <c r="L30" s="91">
        <f>INDEX(Starter!A:A,ROW()-1)</f>
        <v>38819</v>
      </c>
      <c r="M30">
        <f>INDEX(SchnittGes6!M:M,MATCH(L30,SchnittGes6!L:L,0))+INDEX(Schnitt7!M:M,MATCH(L30,Schnitt7!L:L,0))</f>
        <v>2092</v>
      </c>
      <c r="N30">
        <f>INDEX(SchnittGes6!N:N,MATCH(L30,SchnittGes6!L:L,0))+INDEX(Schnitt7!N:N,MATCH(L30,Schnitt7!L:L,0))</f>
        <v>16</v>
      </c>
      <c r="O30">
        <f t="shared" si="0"/>
        <v>130.74999997</v>
      </c>
      <c r="P30">
        <f t="shared" si="1"/>
        <v>21</v>
      </c>
    </row>
    <row r="31" spans="1:16">
      <c r="A31">
        <f t="shared" si="6"/>
        <v>27</v>
      </c>
      <c r="B31">
        <f t="shared" si="2"/>
        <v>38910</v>
      </c>
      <c r="C31" t="str">
        <f>IFERROR(INDEX(Starter!B:B,MATCH(B31,Starter!A:A,0)),"")</f>
        <v>Heiming, Thalea</v>
      </c>
      <c r="D31" t="str">
        <f>IFERROR(INDEX(Starter!C:C,MATCH(B31,Starter!A:A,0)),"")</f>
        <v>BC EMAX</v>
      </c>
      <c r="E31" s="78">
        <f t="shared" si="3"/>
        <v>1816</v>
      </c>
      <c r="F31">
        <f t="shared" si="4"/>
        <v>15</v>
      </c>
      <c r="G31" s="153">
        <f t="shared" si="5"/>
        <v>121.06666666066667</v>
      </c>
      <c r="L31" s="91">
        <f>INDEX(Starter!A:A,ROW()-1)</f>
        <v>38817</v>
      </c>
      <c r="M31">
        <f>INDEX(SchnittGes6!M:M,MATCH(L31,SchnittGes6!L:L,0))+INDEX(Schnitt7!M:M,MATCH(L31,Schnitt7!L:L,0))</f>
        <v>0</v>
      </c>
      <c r="N31">
        <f>INDEX(SchnittGes6!N:N,MATCH(L31,SchnittGes6!L:L,0))+INDEX(Schnitt7!N:N,MATCH(L31,Schnitt7!L:L,0))</f>
        <v>0</v>
      </c>
      <c r="O31">
        <f t="shared" si="0"/>
        <v>0</v>
      </c>
      <c r="P31">
        <f t="shared" si="1"/>
        <v>43</v>
      </c>
    </row>
    <row r="32" spans="1:16">
      <c r="A32">
        <f t="shared" si="6"/>
        <v>28</v>
      </c>
      <c r="B32">
        <f t="shared" si="2"/>
        <v>38865</v>
      </c>
      <c r="C32" t="str">
        <f>IFERROR(INDEX(Starter!B:B,MATCH(B32,Starter!A:A,0)),"")</f>
        <v>Labs, Leon</v>
      </c>
      <c r="D32" t="str">
        <f>IFERROR(INDEX(Starter!C:C,MATCH(B32,Starter!A:A,0)),"")</f>
        <v>BC Berchtesgaden</v>
      </c>
      <c r="E32" s="78">
        <f t="shared" si="3"/>
        <v>2048</v>
      </c>
      <c r="F32">
        <f t="shared" si="4"/>
        <v>17</v>
      </c>
      <c r="G32" s="153">
        <f t="shared" si="5"/>
        <v>120.47058820729411</v>
      </c>
      <c r="L32" s="91">
        <f>INDEX(Starter!A:A,ROW()-1)</f>
        <v>38905</v>
      </c>
      <c r="M32">
        <f>INDEX(SchnittGes6!M:M,MATCH(L32,SchnittGes6!L:L,0))+INDEX(Schnitt7!M:M,MATCH(L32,Schnitt7!L:L,0))</f>
        <v>971</v>
      </c>
      <c r="N32">
        <f>INDEX(SchnittGes6!N:N,MATCH(L32,SchnittGes6!L:L,0))+INDEX(Schnitt7!N:N,MATCH(L32,Schnitt7!L:L,0))</f>
        <v>13</v>
      </c>
      <c r="O32">
        <f t="shared" si="0"/>
        <v>74.692307660307691</v>
      </c>
      <c r="P32">
        <f t="shared" si="1"/>
        <v>42</v>
      </c>
    </row>
    <row r="33" spans="1:16">
      <c r="A33">
        <f t="shared" si="6"/>
        <v>29</v>
      </c>
      <c r="B33">
        <f t="shared" si="2"/>
        <v>38915</v>
      </c>
      <c r="C33" t="str">
        <f>IFERROR(INDEX(Starter!B:B,MATCH(B33,Starter!A:A,0)),"")</f>
        <v>Raj, Milan</v>
      </c>
      <c r="D33" t="str">
        <f>IFERROR(INDEX(Starter!C:C,MATCH(B33,Starter!A:A,0)),"")</f>
        <v>Bowling Jugend Bayern</v>
      </c>
      <c r="E33" s="78">
        <f t="shared" si="3"/>
        <v>827</v>
      </c>
      <c r="F33">
        <f t="shared" si="4"/>
        <v>7</v>
      </c>
      <c r="G33" s="153">
        <f t="shared" si="5"/>
        <v>118.14285710185713</v>
      </c>
      <c r="L33" s="91">
        <f>INDEX(Starter!A:A,ROW()-1)</f>
        <v>38937</v>
      </c>
      <c r="M33">
        <f>INDEX(SchnittGes6!M:M,MATCH(L33,SchnittGes6!L:L,0))+INDEX(Schnitt7!M:M,MATCH(L33,Schnitt7!L:L,0))</f>
        <v>1602</v>
      </c>
      <c r="N33">
        <f>INDEX(SchnittGes6!N:N,MATCH(L33,SchnittGes6!L:L,0))+INDEX(Schnitt7!N:N,MATCH(L33,Schnitt7!L:L,0))</f>
        <v>12</v>
      </c>
      <c r="O33">
        <f t="shared" si="0"/>
        <v>133.49999996700001</v>
      </c>
      <c r="P33">
        <f t="shared" si="1"/>
        <v>20</v>
      </c>
    </row>
    <row r="34" spans="1:16">
      <c r="A34">
        <f t="shared" si="6"/>
        <v>30</v>
      </c>
      <c r="B34">
        <f t="shared" si="2"/>
        <v>38927</v>
      </c>
      <c r="C34" t="str">
        <f>IFERROR(INDEX(Starter!B:B,MATCH(B34,Starter!A:A,0)),"")</f>
        <v>Bonnaire, Ben</v>
      </c>
      <c r="D34" t="str">
        <f>IFERROR(INDEX(Starter!C:C,MATCH(B34,Starter!A:A,0)),"")</f>
        <v>Bowling Jugend Bayern</v>
      </c>
      <c r="E34" s="78">
        <f t="shared" si="3"/>
        <v>1963</v>
      </c>
      <c r="F34">
        <f t="shared" si="4"/>
        <v>17</v>
      </c>
      <c r="G34" s="153">
        <f t="shared" si="5"/>
        <v>115.47058819829411</v>
      </c>
      <c r="L34" s="91">
        <f>INDEX(Starter!A:A,ROW()-1)</f>
        <v>38655</v>
      </c>
      <c r="M34">
        <f>INDEX(SchnittGes6!M:M,MATCH(L34,SchnittGes6!L:L,0))+INDEX(Schnitt7!M:M,MATCH(L34,Schnitt7!L:L,0))</f>
        <v>1940</v>
      </c>
      <c r="N34">
        <f>INDEX(SchnittGes6!N:N,MATCH(L34,SchnittGes6!L:L,0))+INDEX(Schnitt7!N:N,MATCH(L34,Schnitt7!L:L,0))</f>
        <v>10</v>
      </c>
      <c r="O34">
        <f t="shared" si="0"/>
        <v>193.99999996599999</v>
      </c>
      <c r="P34">
        <f t="shared" si="1"/>
        <v>3</v>
      </c>
    </row>
    <row r="35" spans="1:16">
      <c r="A35">
        <f t="shared" si="6"/>
        <v>31</v>
      </c>
      <c r="B35">
        <f t="shared" si="2"/>
        <v>38810</v>
      </c>
      <c r="C35" t="str">
        <f>IFERROR(INDEX(Starter!B:B,MATCH(B35,Starter!A:A,0)),"")</f>
        <v>Vokshi, Finn</v>
      </c>
      <c r="D35" t="str">
        <f>IFERROR(INDEX(Starter!C:C,MATCH(B35,Starter!A:A,0)),"")</f>
        <v>BSC Highroller Rosenheim</v>
      </c>
      <c r="E35" s="78">
        <f t="shared" si="3"/>
        <v>1823</v>
      </c>
      <c r="F35">
        <f t="shared" si="4"/>
        <v>16</v>
      </c>
      <c r="G35" s="153">
        <f t="shared" si="5"/>
        <v>113.937499977</v>
      </c>
      <c r="L35" s="91">
        <f>INDEX(Starter!A:A,ROW()-1)</f>
        <v>38708</v>
      </c>
      <c r="M35">
        <f>INDEX(SchnittGes6!M:M,MATCH(L35,SchnittGes6!L:L,0))+INDEX(Schnitt7!M:M,MATCH(L35,Schnitt7!L:L,0))</f>
        <v>4938</v>
      </c>
      <c r="N35">
        <f>INDEX(SchnittGes6!N:N,MATCH(L35,SchnittGes6!L:L,0))+INDEX(Schnitt7!N:N,MATCH(L35,Schnitt7!L:L,0))</f>
        <v>25</v>
      </c>
      <c r="O35">
        <f t="shared" si="0"/>
        <v>197.51999996500001</v>
      </c>
      <c r="P35">
        <f t="shared" si="1"/>
        <v>1</v>
      </c>
    </row>
    <row r="36" spans="1:16">
      <c r="A36">
        <f t="shared" si="6"/>
        <v>32</v>
      </c>
      <c r="B36">
        <f t="shared" si="2"/>
        <v>38849</v>
      </c>
      <c r="C36" t="str">
        <f>IFERROR(INDEX(Starter!B:B,MATCH(B36,Starter!A:A,0)),"")</f>
        <v>Marker, Lena</v>
      </c>
      <c r="D36" t="str">
        <f>IFERROR(INDEX(Starter!C:C,MATCH(B36,Starter!A:A,0)),"")</f>
        <v>BSC Highroller Rosenheim</v>
      </c>
      <c r="E36" s="78">
        <f t="shared" si="3"/>
        <v>2377</v>
      </c>
      <c r="F36">
        <f t="shared" si="4"/>
        <v>21</v>
      </c>
      <c r="G36" s="153">
        <f t="shared" si="5"/>
        <v>113.19047616547618</v>
      </c>
      <c r="L36" s="91">
        <f>INDEX(Starter!A:A,ROW()-1)</f>
        <v>38327</v>
      </c>
      <c r="M36">
        <f>INDEX(SchnittGes6!M:M,MATCH(L36,SchnittGes6!L:L,0))+INDEX(Schnitt7!M:M,MATCH(L36,Schnitt7!L:L,0))</f>
        <v>3929</v>
      </c>
      <c r="N36">
        <f>INDEX(SchnittGes6!N:N,MATCH(L36,SchnittGes6!L:L,0))+INDEX(Schnitt7!N:N,MATCH(L36,Schnitt7!L:L,0))</f>
        <v>20</v>
      </c>
      <c r="O36">
        <f t="shared" si="0"/>
        <v>196.449999964</v>
      </c>
      <c r="P36">
        <f t="shared" si="1"/>
        <v>2</v>
      </c>
    </row>
    <row r="37" spans="1:16">
      <c r="A37">
        <f t="shared" si="6"/>
        <v>33</v>
      </c>
      <c r="B37">
        <f t="shared" si="2"/>
        <v>38923</v>
      </c>
      <c r="C37" t="str">
        <f>IFERROR(INDEX(Starter!B:B,MATCH(B37,Starter!A:A,0)),"")</f>
        <v>Weinrich, Lena</v>
      </c>
      <c r="D37" t="str">
        <f>IFERROR(INDEX(Starter!C:C,MATCH(B37,Starter!A:A,0)),"")</f>
        <v>BSC Highroller Rosenheim</v>
      </c>
      <c r="E37" s="78">
        <f t="shared" si="3"/>
        <v>1583</v>
      </c>
      <c r="F37">
        <f t="shared" si="4"/>
        <v>14</v>
      </c>
      <c r="G37" s="153">
        <f t="shared" si="5"/>
        <v>113.07142855342858</v>
      </c>
      <c r="L37" s="91">
        <f>INDEX(Starter!A:A,ROW()-1)</f>
        <v>38927</v>
      </c>
      <c r="M37">
        <f>INDEX(SchnittGes6!M:M,MATCH(L37,SchnittGes6!L:L,0))+INDEX(Schnitt7!M:M,MATCH(L37,Schnitt7!L:L,0))</f>
        <v>1963</v>
      </c>
      <c r="N37">
        <f>INDEX(SchnittGes6!N:N,MATCH(L37,SchnittGes6!L:L,0))+INDEX(Schnitt7!N:N,MATCH(L37,Schnitt7!L:L,0))</f>
        <v>17</v>
      </c>
      <c r="O37">
        <f t="shared" si="0"/>
        <v>115.47058819829411</v>
      </c>
      <c r="P37">
        <f t="shared" si="1"/>
        <v>30</v>
      </c>
    </row>
    <row r="38" spans="1:16">
      <c r="A38">
        <f t="shared" si="6"/>
        <v>34</v>
      </c>
      <c r="B38">
        <f t="shared" si="2"/>
        <v>38785</v>
      </c>
      <c r="C38" t="str">
        <f>IFERROR(INDEX(Starter!B:B,MATCH(B38,Starter!A:A,0)),"")</f>
        <v>Mrosek, Laura Maria</v>
      </c>
      <c r="D38" t="str">
        <f>IFERROR(INDEX(Starter!C:C,MATCH(B38,Starter!A:A,0)),"")</f>
        <v>BC EMAX</v>
      </c>
      <c r="E38" s="78">
        <f t="shared" si="3"/>
        <v>896</v>
      </c>
      <c r="F38">
        <f t="shared" si="4"/>
        <v>8</v>
      </c>
      <c r="G38" s="153">
        <f t="shared" si="5"/>
        <v>111.999999997</v>
      </c>
      <c r="L38" s="91">
        <f>INDEX(Starter!A:A,ROW()-1)</f>
        <v>38795</v>
      </c>
      <c r="M38">
        <f>INDEX(SchnittGes6!M:M,MATCH(L38,SchnittGes6!L:L,0))+INDEX(Schnitt7!M:M,MATCH(L38,Schnitt7!L:L,0))</f>
        <v>778</v>
      </c>
      <c r="N38">
        <f>INDEX(SchnittGes6!N:N,MATCH(L38,SchnittGes6!L:L,0))+INDEX(Schnitt7!N:N,MATCH(L38,Schnitt7!L:L,0))</f>
        <v>5</v>
      </c>
      <c r="O38">
        <f t="shared" si="0"/>
        <v>155.599999962</v>
      </c>
      <c r="P38">
        <f t="shared" si="1"/>
        <v>10</v>
      </c>
    </row>
    <row r="39" spans="1:16">
      <c r="A39">
        <f t="shared" si="6"/>
        <v>35</v>
      </c>
      <c r="B39">
        <f t="shared" si="2"/>
        <v>38920</v>
      </c>
      <c r="C39" t="str">
        <f>IFERROR(INDEX(Starter!B:B,MATCH(B39,Starter!A:A,0)),"")</f>
        <v>Schwarzfischer, Leon</v>
      </c>
      <c r="D39" t="str">
        <f>IFERROR(INDEX(Starter!C:C,MATCH(B39,Starter!A:A,0)),"")</f>
        <v>BSC Highroller Rosenheim</v>
      </c>
      <c r="E39" s="78">
        <f t="shared" si="3"/>
        <v>1897</v>
      </c>
      <c r="F39">
        <f t="shared" si="4"/>
        <v>19</v>
      </c>
      <c r="G39" s="153">
        <f t="shared" si="5"/>
        <v>99.842105244157892</v>
      </c>
      <c r="L39" s="91">
        <f>INDEX(Starter!A:A,ROW()-1)</f>
        <v>38674</v>
      </c>
      <c r="M39">
        <f>INDEX(SchnittGes6!M:M,MATCH(L39,SchnittGes6!L:L,0))+INDEX(Schnitt7!M:M,MATCH(L39,Schnitt7!L:L,0))</f>
        <v>717</v>
      </c>
      <c r="N39">
        <f>INDEX(SchnittGes6!N:N,MATCH(L39,SchnittGes6!L:L,0))+INDEX(Schnitt7!N:N,MATCH(L39,Schnitt7!L:L,0))</f>
        <v>5</v>
      </c>
      <c r="O39">
        <f t="shared" si="0"/>
        <v>143.39999996099999</v>
      </c>
      <c r="P39">
        <f t="shared" si="1"/>
        <v>16</v>
      </c>
    </row>
    <row r="40" spans="1:16">
      <c r="A40">
        <f t="shared" si="6"/>
        <v>36</v>
      </c>
      <c r="B40">
        <f t="shared" si="2"/>
        <v>38831</v>
      </c>
      <c r="C40" t="str">
        <f>IFERROR(INDEX(Starter!B:B,MATCH(B40,Starter!A:A,0)),"")</f>
        <v>Thiele, Isabelle</v>
      </c>
      <c r="D40" t="str">
        <f>IFERROR(INDEX(Starter!C:C,MATCH(B40,Starter!A:A,0)),"")</f>
        <v>BSC Highroller Rosenheim</v>
      </c>
      <c r="E40" s="78">
        <f t="shared" si="3"/>
        <v>589</v>
      </c>
      <c r="F40">
        <f t="shared" si="4"/>
        <v>6</v>
      </c>
      <c r="G40" s="153">
        <f t="shared" si="5"/>
        <v>98.166666651666674</v>
      </c>
      <c r="L40" s="91">
        <f>INDEX(Starter!A:A,ROW()-1)</f>
        <v>38894</v>
      </c>
      <c r="M40">
        <f>INDEX(SchnittGes6!M:M,MATCH(L40,SchnittGes6!L:L,0))+INDEX(Schnitt7!M:M,MATCH(L40,Schnitt7!L:L,0))</f>
        <v>713</v>
      </c>
      <c r="N40">
        <f>INDEX(SchnittGes6!N:N,MATCH(L40,SchnittGes6!L:L,0))+INDEX(Schnitt7!N:N,MATCH(L40,Schnitt7!L:L,0))</f>
        <v>5</v>
      </c>
      <c r="O40">
        <f t="shared" si="0"/>
        <v>142.59999995999999</v>
      </c>
      <c r="P40">
        <f t="shared" si="1"/>
        <v>18</v>
      </c>
    </row>
    <row r="41" spans="1:16">
      <c r="A41">
        <f t="shared" si="6"/>
        <v>37</v>
      </c>
      <c r="B41">
        <f t="shared" si="2"/>
        <v>38890</v>
      </c>
      <c r="C41" t="str">
        <f>IFERROR(INDEX(Starter!B:B,MATCH(B41,Starter!A:A,0)),"")</f>
        <v>Hofer, Anja</v>
      </c>
      <c r="D41" t="str">
        <f>IFERROR(INDEX(Starter!C:C,MATCH(B41,Starter!A:A,0)),"")</f>
        <v>BC EMAX</v>
      </c>
      <c r="E41" s="78">
        <f t="shared" si="3"/>
        <v>1855</v>
      </c>
      <c r="F41">
        <f t="shared" si="4"/>
        <v>19</v>
      </c>
      <c r="G41" s="153">
        <f t="shared" si="5"/>
        <v>97.631578945368432</v>
      </c>
      <c r="L41" s="91">
        <f>INDEX(Starter!A:A,ROW()-1)</f>
        <v>38915</v>
      </c>
      <c r="M41">
        <f>INDEX(SchnittGes6!M:M,MATCH(L41,SchnittGes6!L:L,0))+INDEX(Schnitt7!M:M,MATCH(L41,Schnitt7!L:L,0))</f>
        <v>827</v>
      </c>
      <c r="N41">
        <f>INDEX(SchnittGes6!N:N,MATCH(L41,SchnittGes6!L:L,0))+INDEX(Schnitt7!N:N,MATCH(L41,Schnitt7!L:L,0))</f>
        <v>7</v>
      </c>
      <c r="O41">
        <f t="shared" si="0"/>
        <v>118.14285710185713</v>
      </c>
      <c r="P41">
        <f t="shared" si="1"/>
        <v>29</v>
      </c>
    </row>
    <row r="42" spans="1:16">
      <c r="A42">
        <f t="shared" si="6"/>
        <v>38</v>
      </c>
      <c r="B42">
        <f t="shared" si="2"/>
        <v>38941</v>
      </c>
      <c r="C42" t="str">
        <f>IFERROR(INDEX(Starter!B:B,MATCH(B42,Starter!A:A,0)),"")</f>
        <v>Calik, Ilay</v>
      </c>
      <c r="D42" t="str">
        <f>IFERROR(INDEX(Starter!C:C,MATCH(B42,Starter!A:A,0)),"")</f>
        <v>Bowling Jugend Bayern</v>
      </c>
      <c r="E42" s="78">
        <f t="shared" si="3"/>
        <v>580</v>
      </c>
      <c r="F42">
        <f t="shared" si="4"/>
        <v>6</v>
      </c>
      <c r="G42" s="153">
        <f t="shared" si="5"/>
        <v>96.666666620666675</v>
      </c>
      <c r="L42" s="91">
        <f>INDEX(Starter!A:A,ROW()-1)</f>
        <v>38781</v>
      </c>
      <c r="M42">
        <f>INDEX(SchnittGes6!M:M,MATCH(L42,SchnittGes6!L:L,0))+INDEX(Schnitt7!M:M,MATCH(L42,Schnitt7!L:L,0))</f>
        <v>2242</v>
      </c>
      <c r="N42">
        <f>INDEX(SchnittGes6!N:N,MATCH(L42,SchnittGes6!L:L,0))+INDEX(Schnitt7!N:N,MATCH(L42,Schnitt7!L:L,0))</f>
        <v>15</v>
      </c>
      <c r="O42">
        <f t="shared" si="0"/>
        <v>149.46666662466666</v>
      </c>
      <c r="P42">
        <f t="shared" si="1"/>
        <v>14</v>
      </c>
    </row>
    <row r="43" spans="1:16">
      <c r="A43">
        <f t="shared" si="6"/>
        <v>39</v>
      </c>
      <c r="B43">
        <f t="shared" si="2"/>
        <v>38922</v>
      </c>
      <c r="C43" t="str">
        <f>IFERROR(INDEX(Starter!B:B,MATCH(B43,Starter!A:A,0)),"")</f>
        <v>Schimanski, Theodor</v>
      </c>
      <c r="D43" t="str">
        <f>IFERROR(INDEX(Starter!C:C,MATCH(B43,Starter!A:A,0)),"")</f>
        <v>BSC Highroller Rosenheim</v>
      </c>
      <c r="E43" s="78">
        <f t="shared" si="3"/>
        <v>1730</v>
      </c>
      <c r="F43">
        <f t="shared" si="4"/>
        <v>18</v>
      </c>
      <c r="G43" s="153">
        <f t="shared" si="5"/>
        <v>96.111111090111109</v>
      </c>
      <c r="L43" s="91">
        <f>INDEX(Starter!A:A,ROW()-1)</f>
        <v>38940</v>
      </c>
      <c r="M43">
        <f>INDEX(SchnittGes6!M:M,MATCH(L43,SchnittGes6!L:L,0))+INDEX(Schnitt7!M:M,MATCH(L43,Schnitt7!L:L,0))</f>
        <v>742</v>
      </c>
      <c r="N43">
        <f>INDEX(SchnittGes6!N:N,MATCH(L43,SchnittGes6!L:L,0))+INDEX(Schnitt7!N:N,MATCH(L43,Schnitt7!L:L,0))</f>
        <v>6</v>
      </c>
      <c r="O43">
        <f t="shared" si="0"/>
        <v>123.66666662366667</v>
      </c>
      <c r="P43">
        <f t="shared" si="1"/>
        <v>23</v>
      </c>
    </row>
    <row r="44" spans="1:16">
      <c r="A44">
        <f t="shared" si="6"/>
        <v>40</v>
      </c>
      <c r="B44">
        <f t="shared" si="2"/>
        <v>38893</v>
      </c>
      <c r="C44" t="str">
        <f>IFERROR(INDEX(Starter!B:B,MATCH(B44,Starter!A:A,0)),"")</f>
        <v>Rothemund, Louis</v>
      </c>
      <c r="D44" t="str">
        <f>IFERROR(INDEX(Starter!C:C,MATCH(B44,Starter!A:A,0)),"")</f>
        <v>Absolut-Sports.com</v>
      </c>
      <c r="E44" s="78">
        <f t="shared" si="3"/>
        <v>1199</v>
      </c>
      <c r="F44">
        <f t="shared" si="4"/>
        <v>13</v>
      </c>
      <c r="G44" s="153">
        <f t="shared" si="5"/>
        <v>92.230769218769225</v>
      </c>
      <c r="L44" s="91">
        <f>INDEX(Starter!A:A,ROW()-1)</f>
        <v>38942</v>
      </c>
      <c r="M44">
        <f>INDEX(SchnittGes6!M:M,MATCH(L44,SchnittGes6!L:L,0))+INDEX(Schnitt7!M:M,MATCH(L44,Schnitt7!L:L,0))</f>
        <v>2300</v>
      </c>
      <c r="N44">
        <f>INDEX(SchnittGes6!N:N,MATCH(L44,SchnittGes6!L:L,0))+INDEX(Schnitt7!N:N,MATCH(L44,Schnitt7!L:L,0))</f>
        <v>15</v>
      </c>
      <c r="O44">
        <f t="shared" si="0"/>
        <v>153.33333328933335</v>
      </c>
      <c r="P44">
        <f t="shared" si="1"/>
        <v>12</v>
      </c>
    </row>
    <row r="45" spans="1:16">
      <c r="A45">
        <f t="shared" si="6"/>
        <v>41</v>
      </c>
      <c r="B45">
        <f t="shared" si="2"/>
        <v>38921</v>
      </c>
      <c r="C45" t="str">
        <f>IFERROR(INDEX(Starter!B:B,MATCH(B45,Starter!A:A,0)),"")</f>
        <v>Schimanski, Johanna</v>
      </c>
      <c r="D45" t="str">
        <f>IFERROR(INDEX(Starter!C:C,MATCH(B45,Starter!A:A,0)),"")</f>
        <v>BSC Highroller Rosenheim</v>
      </c>
      <c r="E45" s="78">
        <f t="shared" si="3"/>
        <v>1368</v>
      </c>
      <c r="F45">
        <f t="shared" si="4"/>
        <v>18</v>
      </c>
      <c r="G45" s="153">
        <f t="shared" si="5"/>
        <v>75.999999979999998</v>
      </c>
      <c r="L45" s="91">
        <f>INDEX(Starter!A:A,ROW()-1)</f>
        <v>38334</v>
      </c>
      <c r="M45">
        <f>INDEX(SchnittGes6!M:M,MATCH(L45,SchnittGes6!L:L,0))+INDEX(Schnitt7!M:M,MATCH(L45,Schnitt7!L:L,0))</f>
        <v>2849</v>
      </c>
      <c r="N45">
        <f>INDEX(SchnittGes6!N:N,MATCH(L45,SchnittGes6!L:L,0))+INDEX(Schnitt7!N:N,MATCH(L45,Schnitt7!L:L,0))</f>
        <v>15</v>
      </c>
      <c r="O45">
        <f t="shared" si="0"/>
        <v>189.93333328833333</v>
      </c>
      <c r="P45">
        <f t="shared" si="1"/>
        <v>4</v>
      </c>
    </row>
    <row r="46" spans="1:16">
      <c r="A46">
        <f t="shared" si="6"/>
        <v>42</v>
      </c>
      <c r="B46">
        <f t="shared" si="2"/>
        <v>38905</v>
      </c>
      <c r="C46" t="str">
        <f>IFERROR(INDEX(Starter!B:B,MATCH(B46,Starter!A:A,0)),"")</f>
        <v>Laubach, Nina</v>
      </c>
      <c r="D46" t="str">
        <f>IFERROR(INDEX(Starter!C:C,MATCH(B46,Starter!A:A,0)),"")</f>
        <v>BC Berchtesgaden</v>
      </c>
      <c r="E46" s="78">
        <f t="shared" si="3"/>
        <v>971</v>
      </c>
      <c r="F46">
        <f t="shared" si="4"/>
        <v>13</v>
      </c>
      <c r="G46" s="153">
        <f t="shared" si="5"/>
        <v>74.692307660307691</v>
      </c>
      <c r="L46" s="91">
        <f>INDEX(Starter!A:A,ROW()-1)</f>
        <v>38941</v>
      </c>
      <c r="M46">
        <f>INDEX(SchnittGes6!M:M,MATCH(L46,SchnittGes6!L:L,0))+INDEX(Schnitt7!M:M,MATCH(L46,Schnitt7!L:L,0))</f>
        <v>580</v>
      </c>
      <c r="N46">
        <f>INDEX(SchnittGes6!N:N,MATCH(L46,SchnittGes6!L:L,0))+INDEX(Schnitt7!N:N,MATCH(L46,Schnitt7!L:L,0))</f>
        <v>6</v>
      </c>
      <c r="O46">
        <f t="shared" si="0"/>
        <v>96.666666620666675</v>
      </c>
      <c r="P46">
        <f t="shared" si="1"/>
        <v>38</v>
      </c>
    </row>
    <row r="47" spans="1:16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38626</v>
      </c>
      <c r="M47">
        <f>INDEX(SchnittGes6!M:M,MATCH(L47,SchnittGes6!L:L,0))+INDEX(Schnitt7!M:M,MATCH(L47,Schnitt7!L:L,0))</f>
        <v>794</v>
      </c>
      <c r="N47">
        <f>INDEX(SchnittGes6!N:N,MATCH(L47,SchnittGes6!L:L,0))+INDEX(Schnitt7!N:N,MATCH(L47,Schnitt7!L:L,0))</f>
        <v>5</v>
      </c>
      <c r="O47">
        <f t="shared" si="0"/>
        <v>158.79999995300003</v>
      </c>
      <c r="P47">
        <f t="shared" si="1"/>
        <v>7</v>
      </c>
    </row>
    <row r="48" spans="1:16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INDEX(SchnittGes6!M:M,MATCH(L48,SchnittGes6!L:L,0))+INDEX(Schnitt7!M:M,MATCH(L48,Schnitt7!L:L,0))</f>
        <v>0</v>
      </c>
      <c r="N48">
        <f>INDEX(SchnittGes6!N:N,MATCH(L48,SchnittGes6!L:L,0))+INDEX(Schnitt7!N:N,MATCH(L48,Schnitt7!L:L,0))</f>
        <v>0</v>
      </c>
      <c r="O48">
        <f t="shared" si="0"/>
        <v>0</v>
      </c>
      <c r="P48">
        <f t="shared" si="1"/>
        <v>43</v>
      </c>
    </row>
    <row r="49" spans="1:16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INDEX(SchnittGes6!M:M,MATCH(L49,SchnittGes6!L:L,0))+INDEX(Schnitt7!M:M,MATCH(L49,Schnitt7!L:L,0))</f>
        <v>0</v>
      </c>
      <c r="N49">
        <f>INDEX(SchnittGes6!N:N,MATCH(L49,SchnittGes6!L:L,0))+INDEX(Schnitt7!N:N,MATCH(L49,Schnitt7!L:L,0))</f>
        <v>0</v>
      </c>
      <c r="O49">
        <f t="shared" si="0"/>
        <v>0</v>
      </c>
      <c r="P49">
        <f t="shared" si="1"/>
        <v>43</v>
      </c>
    </row>
    <row r="50" spans="1:16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INDEX(SchnittGes6!M:M,MATCH(L50,SchnittGes6!L:L,0))+INDEX(Schnitt7!M:M,MATCH(L50,Schnitt7!L:L,0))</f>
        <v>0</v>
      </c>
      <c r="N50">
        <f>INDEX(SchnittGes6!N:N,MATCH(L50,SchnittGes6!L:L,0))+INDEX(Schnitt7!N:N,MATCH(L50,Schnitt7!L:L,0))</f>
        <v>0</v>
      </c>
      <c r="O50">
        <f t="shared" si="0"/>
        <v>0</v>
      </c>
      <c r="P50">
        <f t="shared" si="1"/>
        <v>43</v>
      </c>
    </row>
    <row r="51" spans="1:16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INDEX(SchnittGes6!M:M,MATCH(L51,SchnittGes6!L:L,0))+INDEX(Schnitt7!M:M,MATCH(L51,Schnitt7!L:L,0))</f>
        <v>0</v>
      </c>
      <c r="N51">
        <f>INDEX(SchnittGes6!N:N,MATCH(L51,SchnittGes6!L:L,0))+INDEX(Schnitt7!N:N,MATCH(L51,Schnitt7!L:L,0))</f>
        <v>0</v>
      </c>
      <c r="O51">
        <f t="shared" si="0"/>
        <v>0</v>
      </c>
      <c r="P51">
        <f t="shared" si="1"/>
        <v>43</v>
      </c>
    </row>
    <row r="52" spans="1:16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INDEX(SchnittGes6!M:M,MATCH(L52,SchnittGes6!L:L,0))+INDEX(Schnitt7!M:M,MATCH(L52,Schnitt7!L:L,0))</f>
        <v>0</v>
      </c>
      <c r="N52">
        <f>INDEX(SchnittGes6!N:N,MATCH(L52,SchnittGes6!L:L,0))+INDEX(Schnitt7!N:N,MATCH(L52,Schnitt7!L:L,0))</f>
        <v>0</v>
      </c>
      <c r="O52">
        <f t="shared" si="0"/>
        <v>0</v>
      </c>
      <c r="P52">
        <f t="shared" si="1"/>
        <v>43</v>
      </c>
    </row>
    <row r="53" spans="1:16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INDEX(SchnittGes6!M:M,MATCH(L53,SchnittGes6!L:L,0))+INDEX(Schnitt7!M:M,MATCH(L53,Schnitt7!L:L,0))</f>
        <v>0</v>
      </c>
      <c r="N53">
        <f>INDEX(SchnittGes6!N:N,MATCH(L53,SchnittGes6!L:L,0))+INDEX(Schnitt7!N:N,MATCH(L53,Schnitt7!L:L,0))</f>
        <v>0</v>
      </c>
      <c r="O53">
        <f t="shared" si="0"/>
        <v>0</v>
      </c>
      <c r="P53">
        <f t="shared" si="1"/>
        <v>43</v>
      </c>
    </row>
    <row r="54" spans="1:16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INDEX(SchnittGes6!M:M,MATCH(L54,SchnittGes6!L:L,0))+INDEX(Schnitt7!M:M,MATCH(L54,Schnitt7!L:L,0))</f>
        <v>0</v>
      </c>
      <c r="N54">
        <f>INDEX(SchnittGes6!N:N,MATCH(L54,SchnittGes6!L:L,0))+INDEX(Schnitt7!N:N,MATCH(L54,Schnitt7!L:L,0))</f>
        <v>0</v>
      </c>
      <c r="O54">
        <f t="shared" si="0"/>
        <v>0</v>
      </c>
      <c r="P54">
        <f t="shared" si="1"/>
        <v>43</v>
      </c>
    </row>
    <row r="55" spans="1:16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INDEX(SchnittGes6!M:M,MATCH(L55,SchnittGes6!L:L,0))+INDEX(Schnitt7!M:M,MATCH(L55,Schnitt7!L:L,0))</f>
        <v>0</v>
      </c>
      <c r="N55">
        <f>INDEX(SchnittGes6!N:N,MATCH(L55,SchnittGes6!L:L,0))+INDEX(Schnitt7!N:N,MATCH(L55,Schnitt7!L:L,0))</f>
        <v>0</v>
      </c>
      <c r="O55">
        <f t="shared" si="0"/>
        <v>0</v>
      </c>
      <c r="P55">
        <f t="shared" si="1"/>
        <v>43</v>
      </c>
    </row>
    <row r="56" spans="1:16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INDEX(SchnittGes6!M:M,MATCH(L56,SchnittGes6!L:L,0))+INDEX(Schnitt7!M:M,MATCH(L56,Schnitt7!L:L,0))</f>
        <v>0</v>
      </c>
      <c r="N56">
        <f>INDEX(SchnittGes6!N:N,MATCH(L56,SchnittGes6!L:L,0))+INDEX(Schnitt7!N:N,MATCH(L56,Schnitt7!L:L,0))</f>
        <v>0</v>
      </c>
      <c r="O56">
        <f t="shared" si="0"/>
        <v>0</v>
      </c>
      <c r="P56">
        <f t="shared" si="1"/>
        <v>43</v>
      </c>
    </row>
    <row r="57" spans="1:16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INDEX(SchnittGes6!M:M,MATCH(L57,SchnittGes6!L:L,0))+INDEX(Schnitt7!M:M,MATCH(L57,Schnitt7!L:L,0))</f>
        <v>0</v>
      </c>
      <c r="N57">
        <f>INDEX(SchnittGes6!N:N,MATCH(L57,SchnittGes6!L:L,0))+INDEX(Schnitt7!N:N,MATCH(L57,Schnitt7!L:L,0))</f>
        <v>0</v>
      </c>
      <c r="O57">
        <f t="shared" si="0"/>
        <v>0</v>
      </c>
      <c r="P57">
        <f t="shared" si="1"/>
        <v>43</v>
      </c>
    </row>
    <row r="58" spans="1:16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INDEX(SchnittGes6!M:M,MATCH(L58,SchnittGes6!L:L,0))+INDEX(Schnitt7!M:M,MATCH(L58,Schnitt7!L:L,0))</f>
        <v>0</v>
      </c>
      <c r="N58">
        <f>INDEX(SchnittGes6!N:N,MATCH(L58,SchnittGes6!L:L,0))+INDEX(Schnitt7!N:N,MATCH(L58,Schnitt7!L:L,0))</f>
        <v>0</v>
      </c>
      <c r="O58">
        <f t="shared" si="0"/>
        <v>0</v>
      </c>
      <c r="P58">
        <f t="shared" si="1"/>
        <v>43</v>
      </c>
    </row>
    <row r="59" spans="1:16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INDEX(SchnittGes6!M:M,MATCH(L59,SchnittGes6!L:L,0))+INDEX(Schnitt7!M:M,MATCH(L59,Schnitt7!L:L,0))</f>
        <v>0</v>
      </c>
      <c r="N59">
        <f>INDEX(SchnittGes6!N:N,MATCH(L59,SchnittGes6!L:L,0))+INDEX(Schnitt7!N:N,MATCH(L59,Schnitt7!L:L,0))</f>
        <v>0</v>
      </c>
      <c r="O59">
        <f t="shared" si="0"/>
        <v>0</v>
      </c>
      <c r="P59">
        <f t="shared" si="1"/>
        <v>43</v>
      </c>
    </row>
    <row r="60" spans="1:16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INDEX(SchnittGes6!M:M,MATCH(L60,SchnittGes6!L:L,0))+INDEX(Schnitt7!M:M,MATCH(L60,Schnitt7!L:L,0))</f>
        <v>0</v>
      </c>
      <c r="N60">
        <f>INDEX(SchnittGes6!N:N,MATCH(L60,SchnittGes6!L:L,0))+INDEX(Schnitt7!N:N,MATCH(L60,Schnitt7!L:L,0))</f>
        <v>0</v>
      </c>
      <c r="O60">
        <f t="shared" si="0"/>
        <v>0</v>
      </c>
      <c r="P60">
        <f t="shared" si="1"/>
        <v>43</v>
      </c>
    </row>
    <row r="61" spans="1:16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INDEX(SchnittGes6!M:M,MATCH(L61,SchnittGes6!L:L,0))+INDEX(Schnitt7!M:M,MATCH(L61,Schnitt7!L:L,0))</f>
        <v>0</v>
      </c>
      <c r="N61">
        <f>INDEX(SchnittGes6!N:N,MATCH(L61,SchnittGes6!L:L,0))+INDEX(Schnitt7!N:N,MATCH(L61,Schnitt7!L:L,0))</f>
        <v>0</v>
      </c>
      <c r="O61">
        <f t="shared" si="0"/>
        <v>0</v>
      </c>
      <c r="P61">
        <f t="shared" si="1"/>
        <v>43</v>
      </c>
    </row>
    <row r="62" spans="1:16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INDEX(SchnittGes6!M:M,MATCH(L62,SchnittGes6!L:L,0))+INDEX(Schnitt7!M:M,MATCH(L62,Schnitt7!L:L,0))</f>
        <v>0</v>
      </c>
      <c r="N62">
        <f>INDEX(SchnittGes6!N:N,MATCH(L62,SchnittGes6!L:L,0))+INDEX(Schnitt7!N:N,MATCH(L62,Schnitt7!L:L,0))</f>
        <v>0</v>
      </c>
      <c r="O62">
        <f t="shared" si="0"/>
        <v>0</v>
      </c>
      <c r="P62">
        <f t="shared" si="1"/>
        <v>43</v>
      </c>
    </row>
    <row r="63" spans="1:16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INDEX(SchnittGes6!M:M,MATCH(L63,SchnittGes6!L:L,0))+INDEX(Schnitt7!M:M,MATCH(L63,Schnitt7!L:L,0))</f>
        <v>0</v>
      </c>
      <c r="N63">
        <f>INDEX(SchnittGes6!N:N,MATCH(L63,SchnittGes6!L:L,0))+INDEX(Schnitt7!N:N,MATCH(L63,Schnitt7!L:L,0))</f>
        <v>0</v>
      </c>
      <c r="O63">
        <f t="shared" si="0"/>
        <v>0</v>
      </c>
      <c r="P63">
        <f t="shared" si="1"/>
        <v>43</v>
      </c>
    </row>
    <row r="64" spans="1:16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INDEX(SchnittGes6!M:M,MATCH(L64,SchnittGes6!L:L,0))+INDEX(Schnitt7!M:M,MATCH(L64,Schnitt7!L:L,0))</f>
        <v>0</v>
      </c>
      <c r="N64">
        <f>INDEX(SchnittGes6!N:N,MATCH(L64,SchnittGes6!L:L,0))+INDEX(Schnitt7!N:N,MATCH(L64,Schnitt7!L:L,0))</f>
        <v>0</v>
      </c>
      <c r="O64">
        <f t="shared" si="0"/>
        <v>0</v>
      </c>
      <c r="P64">
        <f t="shared" si="1"/>
        <v>43</v>
      </c>
    </row>
    <row r="65" spans="1:16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INDEX(SchnittGes6!M:M,MATCH(L65,SchnittGes6!L:L,0))+INDEX(Schnitt7!M:M,MATCH(L65,Schnitt7!L:L,0))</f>
        <v>0</v>
      </c>
      <c r="N65">
        <f>INDEX(SchnittGes6!N:N,MATCH(L65,SchnittGes6!L:L,0))+INDEX(Schnitt7!N:N,MATCH(L65,Schnitt7!L:L,0))</f>
        <v>0</v>
      </c>
      <c r="O65">
        <f t="shared" si="0"/>
        <v>0</v>
      </c>
      <c r="P65">
        <f t="shared" si="1"/>
        <v>43</v>
      </c>
    </row>
    <row r="66" spans="1:16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INDEX(SchnittGes6!M:M,MATCH(L66,SchnittGes6!L:L,0))+INDEX(Schnitt7!M:M,MATCH(L66,Schnitt7!L:L,0))</f>
        <v>0</v>
      </c>
      <c r="N66">
        <f>INDEX(SchnittGes6!N:N,MATCH(L66,SchnittGes6!L:L,0))+INDEX(Schnitt7!N:N,MATCH(L66,Schnitt7!L:L,0))</f>
        <v>0</v>
      </c>
      <c r="O66">
        <f t="shared" ref="O66:O104" si="7">IF(N66=0,0,M66/N66-ROW()/1000000000)</f>
        <v>0</v>
      </c>
      <c r="P66">
        <f t="shared" ref="P66:P104" si="8">RANK(O66,O:O)</f>
        <v>43</v>
      </c>
    </row>
    <row r="67" spans="1:16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INDEX(SchnittGes6!M:M,MATCH(L67,SchnittGes6!L:L,0))+INDEX(Schnitt7!M:M,MATCH(L67,Schnitt7!L:L,0))</f>
        <v>0</v>
      </c>
      <c r="N67">
        <f>INDEX(SchnittGes6!N:N,MATCH(L67,SchnittGes6!L:L,0))+INDEX(Schnitt7!N:N,MATCH(L67,Schnitt7!L:L,0))</f>
        <v>0</v>
      </c>
      <c r="O67">
        <f t="shared" si="7"/>
        <v>0</v>
      </c>
      <c r="P67">
        <f t="shared" si="8"/>
        <v>43</v>
      </c>
    </row>
    <row r="68" spans="1:16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INDEX(SchnittGes6!M:M,MATCH(L68,SchnittGes6!L:L,0))+INDEX(Schnitt7!M:M,MATCH(L68,Schnitt7!L:L,0))</f>
        <v>0</v>
      </c>
      <c r="N68">
        <f>INDEX(SchnittGes6!N:N,MATCH(L68,SchnittGes6!L:L,0))+INDEX(Schnitt7!N:N,MATCH(L68,Schnitt7!L:L,0))</f>
        <v>0</v>
      </c>
      <c r="O68">
        <f t="shared" si="7"/>
        <v>0</v>
      </c>
      <c r="P68">
        <f t="shared" si="8"/>
        <v>43</v>
      </c>
    </row>
    <row r="69" spans="1:16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INDEX(SchnittGes6!M:M,MATCH(L69,SchnittGes6!L:L,0))+INDEX(Schnitt7!M:M,MATCH(L69,Schnitt7!L:L,0))</f>
        <v>0</v>
      </c>
      <c r="N69">
        <f>INDEX(SchnittGes6!N:N,MATCH(L69,SchnittGes6!L:L,0))+INDEX(Schnitt7!N:N,MATCH(L69,Schnitt7!L:L,0))</f>
        <v>0</v>
      </c>
      <c r="O69">
        <f t="shared" si="7"/>
        <v>0</v>
      </c>
      <c r="P69">
        <f t="shared" si="8"/>
        <v>43</v>
      </c>
    </row>
    <row r="70" spans="1:16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INDEX(SchnittGes6!M:M,MATCH(L70,SchnittGes6!L:L,0))+INDEX(Schnitt7!M:M,MATCH(L70,Schnitt7!L:L,0))</f>
        <v>0</v>
      </c>
      <c r="N70">
        <f>INDEX(SchnittGes6!N:N,MATCH(L70,SchnittGes6!L:L,0))+INDEX(Schnitt7!N:N,MATCH(L70,Schnitt7!L:L,0))</f>
        <v>0</v>
      </c>
      <c r="O70">
        <f t="shared" si="7"/>
        <v>0</v>
      </c>
      <c r="P70">
        <f t="shared" si="8"/>
        <v>43</v>
      </c>
    </row>
    <row r="71" spans="1:16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INDEX(SchnittGes6!M:M,MATCH(L71,SchnittGes6!L:L,0))+INDEX(Schnitt7!M:M,MATCH(L71,Schnitt7!L:L,0))</f>
        <v>0</v>
      </c>
      <c r="N71">
        <f>INDEX(SchnittGes6!N:N,MATCH(L71,SchnittGes6!L:L,0))+INDEX(Schnitt7!N:N,MATCH(L71,Schnitt7!L:L,0))</f>
        <v>0</v>
      </c>
      <c r="O71">
        <f t="shared" si="7"/>
        <v>0</v>
      </c>
      <c r="P71">
        <f t="shared" si="8"/>
        <v>43</v>
      </c>
    </row>
    <row r="72" spans="1:16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INDEX(SchnittGes6!M:M,MATCH(L72,SchnittGes6!L:L,0))+INDEX(Schnitt7!M:M,MATCH(L72,Schnitt7!L:L,0))</f>
        <v>0</v>
      </c>
      <c r="N72">
        <f>INDEX(SchnittGes6!N:N,MATCH(L72,SchnittGes6!L:L,0))+INDEX(Schnitt7!N:N,MATCH(L72,Schnitt7!L:L,0))</f>
        <v>0</v>
      </c>
      <c r="O72">
        <f t="shared" si="7"/>
        <v>0</v>
      </c>
      <c r="P72">
        <f t="shared" si="8"/>
        <v>43</v>
      </c>
    </row>
    <row r="73" spans="1:16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INDEX(SchnittGes6!M:M,MATCH(L73,SchnittGes6!L:L,0))+INDEX(Schnitt7!M:M,MATCH(L73,Schnitt7!L:L,0))</f>
        <v>0</v>
      </c>
      <c r="N73">
        <f>INDEX(SchnittGes6!N:N,MATCH(L73,SchnittGes6!L:L,0))+INDEX(Schnitt7!N:N,MATCH(L73,Schnitt7!L:L,0))</f>
        <v>0</v>
      </c>
      <c r="O73">
        <f t="shared" si="7"/>
        <v>0</v>
      </c>
      <c r="P73">
        <f t="shared" si="8"/>
        <v>43</v>
      </c>
    </row>
    <row r="74" spans="1:16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INDEX(SchnittGes6!M:M,MATCH(L74,SchnittGes6!L:L,0))+INDEX(Schnitt7!M:M,MATCH(L74,Schnitt7!L:L,0))</f>
        <v>0</v>
      </c>
      <c r="N74">
        <f>INDEX(SchnittGes6!N:N,MATCH(L74,SchnittGes6!L:L,0))+INDEX(Schnitt7!N:N,MATCH(L74,Schnitt7!L:L,0))</f>
        <v>0</v>
      </c>
      <c r="O74">
        <f t="shared" si="7"/>
        <v>0</v>
      </c>
      <c r="P74">
        <f t="shared" si="8"/>
        <v>43</v>
      </c>
    </row>
    <row r="75" spans="1:16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INDEX(SchnittGes6!M:M,MATCH(L75,SchnittGes6!L:L,0))+INDEX(Schnitt7!M:M,MATCH(L75,Schnitt7!L:L,0))</f>
        <v>0</v>
      </c>
      <c r="N75">
        <f>INDEX(SchnittGes6!N:N,MATCH(L75,SchnittGes6!L:L,0))+INDEX(Schnitt7!N:N,MATCH(L75,Schnitt7!L:L,0))</f>
        <v>0</v>
      </c>
      <c r="O75">
        <f t="shared" si="7"/>
        <v>0</v>
      </c>
      <c r="P75">
        <f t="shared" si="8"/>
        <v>43</v>
      </c>
    </row>
    <row r="76" spans="1:16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INDEX(SchnittGes6!M:M,MATCH(L76,SchnittGes6!L:L,0))+INDEX(Schnitt7!M:M,MATCH(L76,Schnitt7!L:L,0))</f>
        <v>0</v>
      </c>
      <c r="N76">
        <f>INDEX(SchnittGes6!N:N,MATCH(L76,SchnittGes6!L:L,0))+INDEX(Schnitt7!N:N,MATCH(L76,Schnitt7!L:L,0))</f>
        <v>0</v>
      </c>
      <c r="O76">
        <f t="shared" si="7"/>
        <v>0</v>
      </c>
      <c r="P76">
        <f t="shared" si="8"/>
        <v>43</v>
      </c>
    </row>
    <row r="77" spans="1:16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INDEX(SchnittGes6!M:M,MATCH(L77,SchnittGes6!L:L,0))+INDEX(Schnitt7!M:M,MATCH(L77,Schnitt7!L:L,0))</f>
        <v>0</v>
      </c>
      <c r="N77">
        <f>INDEX(SchnittGes6!N:N,MATCH(L77,SchnittGes6!L:L,0))+INDEX(Schnitt7!N:N,MATCH(L77,Schnitt7!L:L,0))</f>
        <v>0</v>
      </c>
      <c r="O77">
        <f t="shared" si="7"/>
        <v>0</v>
      </c>
      <c r="P77">
        <f t="shared" si="8"/>
        <v>43</v>
      </c>
    </row>
    <row r="78" spans="1:16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INDEX(SchnittGes6!M:M,MATCH(L78,SchnittGes6!L:L,0))+INDEX(Schnitt7!M:M,MATCH(L78,Schnitt7!L:L,0))</f>
        <v>0</v>
      </c>
      <c r="N78">
        <f>INDEX(SchnittGes6!N:N,MATCH(L78,SchnittGes6!L:L,0))+INDEX(Schnitt7!N:N,MATCH(L78,Schnitt7!L:L,0))</f>
        <v>0</v>
      </c>
      <c r="O78">
        <f t="shared" si="7"/>
        <v>0</v>
      </c>
      <c r="P78">
        <f t="shared" si="8"/>
        <v>43</v>
      </c>
    </row>
    <row r="79" spans="1:16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INDEX(SchnittGes6!M:M,MATCH(L79,SchnittGes6!L:L,0))+INDEX(Schnitt7!M:M,MATCH(L79,Schnitt7!L:L,0))</f>
        <v>0</v>
      </c>
      <c r="N79">
        <f>INDEX(SchnittGes6!N:N,MATCH(L79,SchnittGes6!L:L,0))+INDEX(Schnitt7!N:N,MATCH(L79,Schnitt7!L:L,0))</f>
        <v>0</v>
      </c>
      <c r="O79">
        <f t="shared" si="7"/>
        <v>0</v>
      </c>
      <c r="P79">
        <f t="shared" si="8"/>
        <v>43</v>
      </c>
    </row>
    <row r="80" spans="1:16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INDEX(SchnittGes6!M:M,MATCH(L80,SchnittGes6!L:L,0))+INDEX(Schnitt7!M:M,MATCH(L80,Schnitt7!L:L,0))</f>
        <v>0</v>
      </c>
      <c r="N80">
        <f>INDEX(SchnittGes6!N:N,MATCH(L80,SchnittGes6!L:L,0))+INDEX(Schnitt7!N:N,MATCH(L80,Schnitt7!L:L,0))</f>
        <v>0</v>
      </c>
      <c r="O80">
        <f t="shared" si="7"/>
        <v>0</v>
      </c>
      <c r="P80">
        <f t="shared" si="8"/>
        <v>43</v>
      </c>
    </row>
    <row r="81" spans="1:16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INDEX(SchnittGes6!M:M,MATCH(L81,SchnittGes6!L:L,0))+INDEX(Schnitt7!M:M,MATCH(L81,Schnitt7!L:L,0))</f>
        <v>0</v>
      </c>
      <c r="N81">
        <f>INDEX(SchnittGes6!N:N,MATCH(L81,SchnittGes6!L:L,0))+INDEX(Schnitt7!N:N,MATCH(L81,Schnitt7!L:L,0))</f>
        <v>0</v>
      </c>
      <c r="O81">
        <f t="shared" si="7"/>
        <v>0</v>
      </c>
      <c r="P81">
        <f t="shared" si="8"/>
        <v>43</v>
      </c>
    </row>
    <row r="82" spans="1:16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INDEX(SchnittGes6!M:M,MATCH(L82,SchnittGes6!L:L,0))+INDEX(Schnitt7!M:M,MATCH(L82,Schnitt7!L:L,0))</f>
        <v>0</v>
      </c>
      <c r="N82">
        <f>INDEX(SchnittGes6!N:N,MATCH(L82,SchnittGes6!L:L,0))+INDEX(Schnitt7!N:N,MATCH(L82,Schnitt7!L:L,0))</f>
        <v>0</v>
      </c>
      <c r="O82">
        <f t="shared" si="7"/>
        <v>0</v>
      </c>
      <c r="P82">
        <f t="shared" si="8"/>
        <v>43</v>
      </c>
    </row>
    <row r="83" spans="1:16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INDEX(SchnittGes6!M:M,MATCH(L83,SchnittGes6!L:L,0))+INDEX(Schnitt7!M:M,MATCH(L83,Schnitt7!L:L,0))</f>
        <v>0</v>
      </c>
      <c r="N83">
        <f>INDEX(SchnittGes6!N:N,MATCH(L83,SchnittGes6!L:L,0))+INDEX(Schnitt7!N:N,MATCH(L83,Schnitt7!L:L,0))</f>
        <v>0</v>
      </c>
      <c r="O83">
        <f t="shared" si="7"/>
        <v>0</v>
      </c>
      <c r="P83">
        <f t="shared" si="8"/>
        <v>43</v>
      </c>
    </row>
    <row r="84" spans="1:16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INDEX(SchnittGes6!M:M,MATCH(L84,SchnittGes6!L:L,0))+INDEX(Schnitt7!M:M,MATCH(L84,Schnitt7!L:L,0))</f>
        <v>0</v>
      </c>
      <c r="N84">
        <f>INDEX(SchnittGes6!N:N,MATCH(L84,SchnittGes6!L:L,0))+INDEX(Schnitt7!N:N,MATCH(L84,Schnitt7!L:L,0))</f>
        <v>0</v>
      </c>
      <c r="O84">
        <f t="shared" si="7"/>
        <v>0</v>
      </c>
      <c r="P84">
        <f t="shared" si="8"/>
        <v>43</v>
      </c>
    </row>
    <row r="85" spans="1:16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INDEX(SchnittGes6!M:M,MATCH(L85,SchnittGes6!L:L,0))+INDEX(Schnitt7!M:M,MATCH(L85,Schnitt7!L:L,0))</f>
        <v>0</v>
      </c>
      <c r="N85">
        <f>INDEX(SchnittGes6!N:N,MATCH(L85,SchnittGes6!L:L,0))+INDEX(Schnitt7!N:N,MATCH(L85,Schnitt7!L:L,0))</f>
        <v>0</v>
      </c>
      <c r="O85">
        <f t="shared" si="7"/>
        <v>0</v>
      </c>
      <c r="P85">
        <f t="shared" si="8"/>
        <v>43</v>
      </c>
    </row>
    <row r="86" spans="1:16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INDEX(SchnittGes6!M:M,MATCH(L86,SchnittGes6!L:L,0))+INDEX(Schnitt7!M:M,MATCH(L86,Schnitt7!L:L,0))</f>
        <v>0</v>
      </c>
      <c r="N86">
        <f>INDEX(SchnittGes6!N:N,MATCH(L86,SchnittGes6!L:L,0))+INDEX(Schnitt7!N:N,MATCH(L86,Schnitt7!L:L,0))</f>
        <v>0</v>
      </c>
      <c r="O86">
        <f t="shared" si="7"/>
        <v>0</v>
      </c>
      <c r="P86">
        <f t="shared" si="8"/>
        <v>43</v>
      </c>
    </row>
    <row r="87" spans="1:16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INDEX(SchnittGes6!M:M,MATCH(L87,SchnittGes6!L:L,0))+INDEX(Schnitt7!M:M,MATCH(L87,Schnitt7!L:L,0))</f>
        <v>0</v>
      </c>
      <c r="N87">
        <f>INDEX(SchnittGes6!N:N,MATCH(L87,SchnittGes6!L:L,0))+INDEX(Schnitt7!N:N,MATCH(L87,Schnitt7!L:L,0))</f>
        <v>0</v>
      </c>
      <c r="O87">
        <f t="shared" si="7"/>
        <v>0</v>
      </c>
      <c r="P87">
        <f t="shared" si="8"/>
        <v>43</v>
      </c>
    </row>
    <row r="88" spans="1:16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INDEX(SchnittGes6!M:M,MATCH(L88,SchnittGes6!L:L,0))+INDEX(Schnitt7!M:M,MATCH(L88,Schnitt7!L:L,0))</f>
        <v>0</v>
      </c>
      <c r="N88">
        <f>INDEX(SchnittGes6!N:N,MATCH(L88,SchnittGes6!L:L,0))+INDEX(Schnitt7!N:N,MATCH(L88,Schnitt7!L:L,0))</f>
        <v>0</v>
      </c>
      <c r="O88">
        <f t="shared" si="7"/>
        <v>0</v>
      </c>
      <c r="P88">
        <f t="shared" si="8"/>
        <v>43</v>
      </c>
    </row>
    <row r="89" spans="1:16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INDEX(SchnittGes6!M:M,MATCH(L89,SchnittGes6!L:L,0))+INDEX(Schnitt7!M:M,MATCH(L89,Schnitt7!L:L,0))</f>
        <v>0</v>
      </c>
      <c r="N89">
        <f>INDEX(SchnittGes6!N:N,MATCH(L89,SchnittGes6!L:L,0))+INDEX(Schnitt7!N:N,MATCH(L89,Schnitt7!L:L,0))</f>
        <v>0</v>
      </c>
      <c r="O89">
        <f t="shared" si="7"/>
        <v>0</v>
      </c>
      <c r="P89">
        <f t="shared" si="8"/>
        <v>43</v>
      </c>
    </row>
    <row r="90" spans="1:16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INDEX(SchnittGes6!M:M,MATCH(L90,SchnittGes6!L:L,0))+INDEX(Schnitt7!M:M,MATCH(L90,Schnitt7!L:L,0))</f>
        <v>0</v>
      </c>
      <c r="N90">
        <f>INDEX(SchnittGes6!N:N,MATCH(L90,SchnittGes6!L:L,0))+INDEX(Schnitt7!N:N,MATCH(L90,Schnitt7!L:L,0))</f>
        <v>0</v>
      </c>
      <c r="O90">
        <f t="shared" si="7"/>
        <v>0</v>
      </c>
      <c r="P90">
        <f t="shared" si="8"/>
        <v>43</v>
      </c>
    </row>
    <row r="91" spans="1:16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INDEX(SchnittGes6!M:M,MATCH(L91,SchnittGes6!L:L,0))+INDEX(Schnitt7!M:M,MATCH(L91,Schnitt7!L:L,0))</f>
        <v>0</v>
      </c>
      <c r="N91">
        <f>INDEX(SchnittGes6!N:N,MATCH(L91,SchnittGes6!L:L,0))+INDEX(Schnitt7!N:N,MATCH(L91,Schnitt7!L:L,0))</f>
        <v>0</v>
      </c>
      <c r="O91">
        <f t="shared" si="7"/>
        <v>0</v>
      </c>
      <c r="P91">
        <f t="shared" si="8"/>
        <v>43</v>
      </c>
    </row>
    <row r="92" spans="1:16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INDEX(SchnittGes6!M:M,MATCH(L92,SchnittGes6!L:L,0))+INDEX(Schnitt7!M:M,MATCH(L92,Schnitt7!L:L,0))</f>
        <v>0</v>
      </c>
      <c r="N92">
        <f>INDEX(SchnittGes6!N:N,MATCH(L92,SchnittGes6!L:L,0))+INDEX(Schnitt7!N:N,MATCH(L92,Schnitt7!L:L,0))</f>
        <v>0</v>
      </c>
      <c r="O92">
        <f t="shared" si="7"/>
        <v>0</v>
      </c>
      <c r="P92">
        <f t="shared" si="8"/>
        <v>43</v>
      </c>
    </row>
    <row r="93" spans="1:16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INDEX(SchnittGes6!M:M,MATCH(L93,SchnittGes6!L:L,0))+INDEX(Schnitt7!M:M,MATCH(L93,Schnitt7!L:L,0))</f>
        <v>0</v>
      </c>
      <c r="N93">
        <f>INDEX(SchnittGes6!N:N,MATCH(L93,SchnittGes6!L:L,0))+INDEX(Schnitt7!N:N,MATCH(L93,Schnitt7!L:L,0))</f>
        <v>0</v>
      </c>
      <c r="O93">
        <f t="shared" si="7"/>
        <v>0</v>
      </c>
      <c r="P93">
        <f t="shared" si="8"/>
        <v>43</v>
      </c>
    </row>
    <row r="94" spans="1:16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INDEX(SchnittGes6!M:M,MATCH(L94,SchnittGes6!L:L,0))+INDEX(Schnitt7!M:M,MATCH(L94,Schnitt7!L:L,0))</f>
        <v>0</v>
      </c>
      <c r="N94">
        <f>INDEX(SchnittGes6!N:N,MATCH(L94,SchnittGes6!L:L,0))+INDEX(Schnitt7!N:N,MATCH(L94,Schnitt7!L:L,0))</f>
        <v>0</v>
      </c>
      <c r="O94">
        <f t="shared" si="7"/>
        <v>0</v>
      </c>
      <c r="P94">
        <f t="shared" si="8"/>
        <v>43</v>
      </c>
    </row>
    <row r="95" spans="1:16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INDEX(SchnittGes6!M:M,MATCH(L95,SchnittGes6!L:L,0))+INDEX(Schnitt7!M:M,MATCH(L95,Schnitt7!L:L,0))</f>
        <v>0</v>
      </c>
      <c r="N95">
        <f>INDEX(SchnittGes6!N:N,MATCH(L95,SchnittGes6!L:L,0))+INDEX(Schnitt7!N:N,MATCH(L95,Schnitt7!L:L,0))</f>
        <v>0</v>
      </c>
      <c r="O95">
        <f t="shared" si="7"/>
        <v>0</v>
      </c>
      <c r="P95">
        <f t="shared" si="8"/>
        <v>43</v>
      </c>
    </row>
    <row r="96" spans="1:16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INDEX(SchnittGes6!M:M,MATCH(L96,SchnittGes6!L:L,0))+INDEX(Schnitt7!M:M,MATCH(L96,Schnitt7!L:L,0))</f>
        <v>0</v>
      </c>
      <c r="N96">
        <f>INDEX(SchnittGes6!N:N,MATCH(L96,SchnittGes6!L:L,0))+INDEX(Schnitt7!N:N,MATCH(L96,Schnitt7!L:L,0))</f>
        <v>0</v>
      </c>
      <c r="O96">
        <f t="shared" si="7"/>
        <v>0</v>
      </c>
      <c r="P96">
        <f t="shared" si="8"/>
        <v>43</v>
      </c>
    </row>
    <row r="97" spans="1:16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INDEX(SchnittGes6!M:M,MATCH(L97,SchnittGes6!L:L,0))+INDEX(Schnitt7!M:M,MATCH(L97,Schnitt7!L:L,0))</f>
        <v>0</v>
      </c>
      <c r="N97">
        <f>INDEX(SchnittGes6!N:N,MATCH(L97,SchnittGes6!L:L,0))+INDEX(Schnitt7!N:N,MATCH(L97,Schnitt7!L:L,0))</f>
        <v>0</v>
      </c>
      <c r="O97">
        <f t="shared" si="7"/>
        <v>0</v>
      </c>
      <c r="P97">
        <f t="shared" si="8"/>
        <v>43</v>
      </c>
    </row>
    <row r="98" spans="1:16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INDEX(SchnittGes6!M:M,MATCH(L98,SchnittGes6!L:L,0))+INDEX(Schnitt7!M:M,MATCH(L98,Schnitt7!L:L,0))</f>
        <v>0</v>
      </c>
      <c r="N98">
        <f>INDEX(SchnittGes6!N:N,MATCH(L98,SchnittGes6!L:L,0))+INDEX(Schnitt7!N:N,MATCH(L98,Schnitt7!L:L,0))</f>
        <v>0</v>
      </c>
      <c r="O98">
        <f t="shared" si="7"/>
        <v>0</v>
      </c>
      <c r="P98">
        <f t="shared" si="8"/>
        <v>43</v>
      </c>
    </row>
    <row r="99" spans="1:16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INDEX(SchnittGes6!M:M,MATCH(L99,SchnittGes6!L:L,0))+INDEX(Schnitt7!M:M,MATCH(L99,Schnitt7!L:L,0))</f>
        <v>0</v>
      </c>
      <c r="N99">
        <f>INDEX(SchnittGes6!N:N,MATCH(L99,SchnittGes6!L:L,0))+INDEX(Schnitt7!N:N,MATCH(L99,Schnitt7!L:L,0))</f>
        <v>0</v>
      </c>
      <c r="O99">
        <f t="shared" si="7"/>
        <v>0</v>
      </c>
      <c r="P99">
        <f t="shared" si="8"/>
        <v>43</v>
      </c>
    </row>
    <row r="100" spans="1:16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INDEX(SchnittGes6!M:M,MATCH(L100,SchnittGes6!L:L,0))+INDEX(Schnitt7!M:M,MATCH(L100,Schnitt7!L:L,0))</f>
        <v>0</v>
      </c>
      <c r="N100">
        <f>INDEX(SchnittGes6!N:N,MATCH(L100,SchnittGes6!L:L,0))+INDEX(Schnitt7!N:N,MATCH(L100,Schnitt7!L:L,0))</f>
        <v>0</v>
      </c>
      <c r="O100">
        <f t="shared" si="7"/>
        <v>0</v>
      </c>
      <c r="P100">
        <f t="shared" si="8"/>
        <v>43</v>
      </c>
    </row>
    <row r="101" spans="1:16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INDEX(SchnittGes6!M:M,MATCH(L101,SchnittGes6!L:L,0))+INDEX(Schnitt7!M:M,MATCH(L101,Schnitt7!L:L,0))</f>
        <v>0</v>
      </c>
      <c r="N101">
        <f>INDEX(SchnittGes6!N:N,MATCH(L101,SchnittGes6!L:L,0))+INDEX(Schnitt7!N:N,MATCH(L101,Schnitt7!L:L,0))</f>
        <v>0</v>
      </c>
      <c r="O101">
        <f t="shared" si="7"/>
        <v>0</v>
      </c>
      <c r="P101">
        <f t="shared" si="8"/>
        <v>43</v>
      </c>
    </row>
    <row r="102" spans="1:16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INDEX(SchnittGes6!M:M,MATCH(L102,SchnittGes6!L:L,0))+INDEX(Schnitt7!M:M,MATCH(L102,Schnitt7!L:L,0))</f>
        <v>0</v>
      </c>
      <c r="N102">
        <f>INDEX(SchnittGes6!N:N,MATCH(L102,SchnittGes6!L:L,0))+INDEX(Schnitt7!N:N,MATCH(L102,Schnitt7!L:L,0))</f>
        <v>0</v>
      </c>
      <c r="O102">
        <f t="shared" si="7"/>
        <v>0</v>
      </c>
      <c r="P102">
        <f t="shared" si="8"/>
        <v>43</v>
      </c>
    </row>
    <row r="103" spans="1:16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INDEX(SchnittGes6!M:M,MATCH(L103,SchnittGes6!L:L,0))+INDEX(Schnitt7!M:M,MATCH(L103,Schnitt7!L:L,0))</f>
        <v>0</v>
      </c>
      <c r="N103">
        <f>INDEX(SchnittGes6!N:N,MATCH(L103,SchnittGes6!L:L,0))+INDEX(Schnitt7!N:N,MATCH(L103,Schnitt7!L:L,0))</f>
        <v>0</v>
      </c>
      <c r="O103">
        <f t="shared" si="7"/>
        <v>0</v>
      </c>
      <c r="P103">
        <f t="shared" si="8"/>
        <v>43</v>
      </c>
    </row>
    <row r="104" spans="1:16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INDEX(SchnittGes6!M:M,MATCH(L104,SchnittGes6!L:L,0))+INDEX(Schnitt7!M:M,MATCH(L104,Schnitt7!L:L,0))</f>
        <v>0</v>
      </c>
      <c r="N104">
        <f>INDEX(SchnittGes6!N:N,MATCH(L104,SchnittGes6!L:L,0))+INDEX(Schnitt7!N:N,MATCH(L104,Schnitt7!L:L,0))</f>
        <v>0</v>
      </c>
      <c r="O104">
        <f t="shared" si="7"/>
        <v>0</v>
      </c>
      <c r="P104">
        <f t="shared" si="8"/>
        <v>43</v>
      </c>
    </row>
  </sheetData>
  <sheetProtection password="D19C" sheet="1" objects="1" scenarios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portrait" r:id="rId1"/>
  <headerFooter>
    <oddHeader>&amp;R&amp;G</oddHeader>
  </headerFooter>
  <legacyDrawingHF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D96"/>
  <sheetViews>
    <sheetView topLeftCell="A19" zoomScale="115" workbookViewId="0">
      <selection activeCell="B24" sqref="B24"/>
    </sheetView>
  </sheetViews>
  <sheetFormatPr baseColWidth="10" defaultColWidth="11.44140625" defaultRowHeight="11.4"/>
  <cols>
    <col min="1" max="1" width="11.44140625" style="190"/>
    <col min="2" max="2" width="23.6640625" style="71" customWidth="1"/>
    <col min="3" max="3" width="23" style="71" customWidth="1"/>
    <col min="4" max="16384" width="11.44140625" style="71"/>
  </cols>
  <sheetData>
    <row r="1" spans="1:4">
      <c r="A1" s="190">
        <v>38890</v>
      </c>
      <c r="B1" s="71" t="str">
        <f>VLOOKUP(A1,member!$A$5:$K$1300,3,FALSE)&amp;", "&amp;VLOOKUP(A1,member!$A$5:$K$1300,4,FALSE)</f>
        <v>Hofer, Anja</v>
      </c>
      <c r="C1" s="71" t="str">
        <f>VLOOKUP(A1,member!$A$5:$K$1300,9,FALSE)</f>
        <v>BC EMAX</v>
      </c>
      <c r="D1" s="71" t="str">
        <f>VLOOKUP(A1,member!$A$5:$K$1300,11,FALSE)</f>
        <v>BVU</v>
      </c>
    </row>
    <row r="2" spans="1:4">
      <c r="A2" s="190">
        <v>38785</v>
      </c>
      <c r="B2" s="71" t="str">
        <f>VLOOKUP(A2,member!$A$5:$K$1300,3,FALSE)&amp;", "&amp;VLOOKUP(A2,member!$A$5:$K$1300,4,FALSE)</f>
        <v>Mrosek, Laura Maria</v>
      </c>
      <c r="C2" s="71" t="str">
        <f>VLOOKUP(A2,member!$A$5:$K$1300,9,FALSE)</f>
        <v>BC EMAX</v>
      </c>
      <c r="D2" s="71" t="str">
        <f>VLOOKUP(A2,member!$A$5:$K$1300,11,FALSE)</f>
        <v>BVU</v>
      </c>
    </row>
    <row r="3" spans="1:4">
      <c r="A3" s="190">
        <v>38706</v>
      </c>
      <c r="B3" s="71" t="str">
        <f>VLOOKUP(A3,member!$A$5:$K$1300,3,FALSE)&amp;", "&amp;VLOOKUP(A3,member!$A$5:$K$1300,4,FALSE)</f>
        <v>Böhm, Eric-Pascal</v>
      </c>
      <c r="C3" s="71" t="str">
        <f>VLOOKUP(A3,member!$A$5:$K$1300,9,FALSE)</f>
        <v>BC EMAX</v>
      </c>
      <c r="D3" s="71" t="str">
        <f>VLOOKUP(A3,member!$A$5:$K$1300,11,FALSE)</f>
        <v>BVU</v>
      </c>
    </row>
    <row r="4" spans="1:4">
      <c r="A4" s="190">
        <v>38904</v>
      </c>
      <c r="B4" s="71" t="str">
        <f>VLOOKUP(A4,member!$A$5:$K$1300,3,FALSE)&amp;", "&amp;VLOOKUP(A4,member!$A$5:$K$1300,4,FALSE)</f>
        <v>Vogt, Leonard</v>
      </c>
      <c r="C4" s="71" t="str">
        <f>VLOOKUP(A4,member!$A$5:$K$1300,9,FALSE)</f>
        <v>BC EMAX</v>
      </c>
      <c r="D4" s="71" t="str">
        <f>VLOOKUP(A4,member!$A$5:$K$1300,11,FALSE)</f>
        <v>BVU</v>
      </c>
    </row>
    <row r="5" spans="1:4">
      <c r="A5" s="190">
        <v>38910</v>
      </c>
      <c r="B5" s="71" t="str">
        <f>VLOOKUP(A5,member!$A$5:$K$1300,3,FALSE)&amp;", "&amp;VLOOKUP(A5,member!$A$5:$K$1300,4,FALSE)</f>
        <v>Heiming, Thalea</v>
      </c>
      <c r="C5" s="71" t="str">
        <f>VLOOKUP(A5,member!$A$5:$K$1300,9,FALSE)</f>
        <v>BC EMAX</v>
      </c>
      <c r="D5" s="71" t="str">
        <f>VLOOKUP(A5,member!$A$5:$K$1300,11,FALSE)</f>
        <v>BVU</v>
      </c>
    </row>
    <row r="6" spans="1:4">
      <c r="A6" s="190">
        <v>38861</v>
      </c>
      <c r="B6" s="71" t="str">
        <f>VLOOKUP(A6,member!$A$5:$K$1300,3,FALSE)&amp;", "&amp;VLOOKUP(A6,member!$A$5:$K$1300,4,FALSE)</f>
        <v>Dichtl, Jonas</v>
      </c>
      <c r="C6" s="71" t="str">
        <f>VLOOKUP(A6,member!$A$5:$K$1300,9,FALSE)</f>
        <v>Absolut-Sports.com</v>
      </c>
      <c r="D6" s="71" t="str">
        <f>VLOOKUP(A6,member!$A$5:$K$1300,11,FALSE)</f>
        <v>TÖL</v>
      </c>
    </row>
    <row r="7" spans="1:4">
      <c r="A7" s="190">
        <v>38845</v>
      </c>
      <c r="B7" s="71" t="str">
        <f>VLOOKUP(A7,member!$A$5:$K$1300,3,FALSE)&amp;", "&amp;VLOOKUP(A7,member!$A$5:$K$1300,4,FALSE)</f>
        <v>Kugler, Laurin</v>
      </c>
      <c r="C7" s="71" t="str">
        <f>VLOOKUP(A7,member!$A$5:$K$1300,9,FALSE)</f>
        <v>Absolut-Sports.com</v>
      </c>
      <c r="D7" s="71" t="str">
        <f>VLOOKUP(A7,member!$A$5:$K$1300,11,FALSE)</f>
        <v>TÖL</v>
      </c>
    </row>
    <row r="8" spans="1:4">
      <c r="A8" s="190">
        <v>38843</v>
      </c>
      <c r="B8" s="71" t="str">
        <f>VLOOKUP(A8,member!$A$5:$K$1300,3,FALSE)&amp;", "&amp;VLOOKUP(A8,member!$A$5:$K$1300,4,FALSE)</f>
        <v>Lintner, Lena</v>
      </c>
      <c r="C8" s="71" t="str">
        <f>VLOOKUP(A8,member!$A$5:$K$1300,9,FALSE)</f>
        <v>Absolut-Sports.com</v>
      </c>
      <c r="D8" s="71" t="str">
        <f>VLOOKUP(A8,member!$A$5:$K$1300,11,FALSE)</f>
        <v>TÖL</v>
      </c>
    </row>
    <row r="9" spans="1:4">
      <c r="A9" s="190">
        <v>38844</v>
      </c>
      <c r="B9" s="71" t="str">
        <f>VLOOKUP(A9,member!$A$5:$K$1300,3,FALSE)&amp;", "&amp;VLOOKUP(A9,member!$A$5:$K$1300,4,FALSE)</f>
        <v>Mathe, Maximilian</v>
      </c>
      <c r="C9" s="71" t="str">
        <f>VLOOKUP(A9,member!$A$5:$K$1300,9,FALSE)</f>
        <v>Absolut-Sports.com</v>
      </c>
      <c r="D9" s="71" t="str">
        <f>VLOOKUP(A9,member!$A$5:$K$1300,11,FALSE)</f>
        <v>TÖL</v>
      </c>
    </row>
    <row r="10" spans="1:4">
      <c r="A10" s="190">
        <v>38772</v>
      </c>
      <c r="B10" s="71" t="str">
        <f>VLOOKUP(A10,member!$A$5:$K$1300,3,FALSE)&amp;", "&amp;VLOOKUP(A10,member!$A$5:$K$1300,4,FALSE)</f>
        <v>Sturm, Sebastian</v>
      </c>
      <c r="C10" s="71" t="str">
        <f>VLOOKUP(A10,member!$A$5:$K$1300,9,FALSE)</f>
        <v>Absolut-Sports.com</v>
      </c>
      <c r="D10" s="71" t="str">
        <f>VLOOKUP(A10,member!$A$5:$K$1300,11,FALSE)</f>
        <v>TÖL</v>
      </c>
    </row>
    <row r="11" spans="1:4">
      <c r="A11" s="190">
        <v>38893</v>
      </c>
      <c r="B11" s="71" t="str">
        <f>VLOOKUP(A11,member!$A$5:$K$1300,3,FALSE)&amp;", "&amp;VLOOKUP(A11,member!$A$5:$K$1300,4,FALSE)</f>
        <v>Rothemund, Louis</v>
      </c>
      <c r="C11" s="71" t="str">
        <f>VLOOKUP(A11,member!$A$5:$K$1300,9,FALSE)</f>
        <v>Absolut-Sports.com</v>
      </c>
      <c r="D11" s="71" t="str">
        <f>VLOOKUP(A11,member!$A$5:$K$1300,11,FALSE)</f>
        <v>TÖL</v>
      </c>
    </row>
    <row r="12" spans="1:4">
      <c r="A12" s="190">
        <v>38760</v>
      </c>
      <c r="B12" s="71" t="str">
        <f>VLOOKUP(A12,member!$A$5:$K$1300,3,FALSE)&amp;", "&amp;VLOOKUP(A12,member!$A$5:$K$1300,4,FALSE)</f>
        <v>Achhammer, Klara</v>
      </c>
      <c r="C12" s="71" t="str">
        <f>VLOOKUP(A12,member!$A$5:$K$1300,9,FALSE)</f>
        <v>BSC Highroller Rosenheim</v>
      </c>
      <c r="D12" s="71" t="str">
        <f>VLOOKUP(A12,member!$A$5:$K$1300,11,FALSE)</f>
        <v>HRR</v>
      </c>
    </row>
    <row r="13" spans="1:4">
      <c r="A13" s="190">
        <v>38759</v>
      </c>
      <c r="B13" s="71" t="str">
        <f>VLOOKUP(A13,member!$A$5:$K$1300,3,FALSE)&amp;", "&amp;VLOOKUP(A13,member!$A$5:$K$1300,4,FALSE)</f>
        <v>Stölzel, Celia</v>
      </c>
      <c r="C13" s="71" t="str">
        <f>VLOOKUP(A13,member!$A$5:$K$1300,9,FALSE)</f>
        <v>BSC Highroller Rosenheim</v>
      </c>
      <c r="D13" s="71" t="str">
        <f>VLOOKUP(A13,member!$A$5:$K$1300,11,FALSE)</f>
        <v>HRR</v>
      </c>
    </row>
    <row r="14" spans="1:4">
      <c r="A14" s="190">
        <v>38831</v>
      </c>
      <c r="B14" s="71" t="str">
        <f>VLOOKUP(A14,member!$A$5:$K$1300,3,FALSE)&amp;", "&amp;VLOOKUP(A14,member!$A$5:$K$1300,4,FALSE)</f>
        <v>Thiele, Isabelle</v>
      </c>
      <c r="C14" s="71" t="str">
        <f>VLOOKUP(A14,member!$A$5:$K$1300,9,FALSE)</f>
        <v>BSC Highroller Rosenheim</v>
      </c>
      <c r="D14" s="71" t="str">
        <f>VLOOKUP(A14,member!$A$5:$K$1300,11,FALSE)</f>
        <v>HRR</v>
      </c>
    </row>
    <row r="15" spans="1:4">
      <c r="A15" s="190">
        <v>38773</v>
      </c>
      <c r="B15" s="71" t="str">
        <f>VLOOKUP(A15,member!$A$5:$K$1300,3,FALSE)&amp;", "&amp;VLOOKUP(A15,member!$A$5:$K$1300,4,FALSE)</f>
        <v>Weiss, Luisa Samira</v>
      </c>
      <c r="C15" s="71" t="str">
        <f>VLOOKUP(A15,member!$A$5:$K$1300,9,FALSE)</f>
        <v>BSC Highroller Rosenheim</v>
      </c>
      <c r="D15" s="71" t="str">
        <f>VLOOKUP(A15,member!$A$5:$K$1300,11,FALSE)</f>
        <v>HRR</v>
      </c>
    </row>
    <row r="16" spans="1:4">
      <c r="A16" s="190">
        <v>38809</v>
      </c>
      <c r="B16" s="71" t="str">
        <f>VLOOKUP(A16,member!$A$5:$K$1300,3,FALSE)&amp;", "&amp;VLOOKUP(A16,member!$A$5:$K$1300,4,FALSE)</f>
        <v>Elze, Julian</v>
      </c>
      <c r="C16" s="71" t="str">
        <f>VLOOKUP(A16,member!$A$5:$K$1300,9,FALSE)</f>
        <v>BSC Highroller Rosenheim</v>
      </c>
      <c r="D16" s="71" t="str">
        <f>VLOOKUP(A16,member!$A$5:$K$1300,11,FALSE)</f>
        <v>HRR</v>
      </c>
    </row>
    <row r="17" spans="1:4">
      <c r="A17" s="190">
        <v>38923</v>
      </c>
      <c r="B17" s="71" t="str">
        <f>VLOOKUP(A17,member!$A$5:$K$1300,3,FALSE)&amp;", "&amp;VLOOKUP(A17,member!$A$5:$K$1300,4,FALSE)</f>
        <v>Weinrich, Lena</v>
      </c>
      <c r="C17" s="71" t="str">
        <f>VLOOKUP(A17,member!$A$5:$K$1300,9,FALSE)</f>
        <v>BSC Highroller Rosenheim</v>
      </c>
      <c r="D17" s="71" t="str">
        <f>VLOOKUP(A17,member!$A$5:$K$1300,11,FALSE)</f>
        <v>HRR</v>
      </c>
    </row>
    <row r="18" spans="1:4">
      <c r="A18" s="190">
        <v>38920</v>
      </c>
      <c r="B18" s="71" t="str">
        <f>VLOOKUP(A18,member!$A$5:$K$1300,3,FALSE)&amp;", "&amp;VLOOKUP(A18,member!$A$5:$K$1300,4,FALSE)</f>
        <v>Schwarzfischer, Leon</v>
      </c>
      <c r="C18" s="71" t="str">
        <f>VLOOKUP(A18,member!$A$5:$K$1300,9,FALSE)</f>
        <v>BSC Highroller Rosenheim</v>
      </c>
      <c r="D18" s="71" t="str">
        <f>VLOOKUP(A18,member!$A$5:$K$1300,11,FALSE)</f>
        <v>HRR</v>
      </c>
    </row>
    <row r="19" spans="1:4">
      <c r="A19" s="190">
        <v>38921</v>
      </c>
      <c r="B19" s="71" t="str">
        <f>VLOOKUP(A19,member!$A$5:$K$1300,3,FALSE)&amp;", "&amp;VLOOKUP(A19,member!$A$5:$K$1300,4,FALSE)</f>
        <v>Schimanski, Johanna</v>
      </c>
      <c r="C19" s="71" t="str">
        <f>VLOOKUP(A19,member!$A$5:$K$1300,9,FALSE)</f>
        <v>BSC Highroller Rosenheim</v>
      </c>
      <c r="D19" s="71" t="str">
        <f>VLOOKUP(A19,member!$A$5:$K$1300,11,FALSE)</f>
        <v>HRR</v>
      </c>
    </row>
    <row r="20" spans="1:4">
      <c r="A20" s="190">
        <v>38922</v>
      </c>
      <c r="B20" s="71" t="str">
        <f>VLOOKUP(A20,member!$A$5:$K$1300,3,FALSE)&amp;", "&amp;VLOOKUP(A20,member!$A$5:$K$1300,4,FALSE)</f>
        <v>Schimanski, Theodor</v>
      </c>
      <c r="C20" s="71" t="str">
        <f>VLOOKUP(A20,member!$A$5:$K$1300,9,FALSE)</f>
        <v>BSC Highroller Rosenheim</v>
      </c>
      <c r="D20" s="71" t="str">
        <f>VLOOKUP(A20,member!$A$5:$K$1300,11,FALSE)</f>
        <v>HRR</v>
      </c>
    </row>
    <row r="21" spans="1:4">
      <c r="A21" s="190">
        <v>38808</v>
      </c>
      <c r="B21" s="71" t="str">
        <f>VLOOKUP(A21,member!$A$5:$K$1300,3,FALSE)&amp;", "&amp;VLOOKUP(A21,member!$A$5:$K$1300,4,FALSE)</f>
        <v>Reinhold, Moritz</v>
      </c>
      <c r="C21" s="71" t="str">
        <f>VLOOKUP(A21,member!$A$5:$K$1300,9,FALSE)</f>
        <v>BSC Highroller Rosenheim</v>
      </c>
      <c r="D21" s="71" t="str">
        <f>VLOOKUP(A21,member!$A$5:$K$1300,11,FALSE)</f>
        <v>HRR</v>
      </c>
    </row>
    <row r="22" spans="1:4">
      <c r="A22" s="190">
        <v>38810</v>
      </c>
      <c r="B22" s="71" t="str">
        <f>VLOOKUP(A22,member!$A$5:$K$1300,3,FALSE)&amp;", "&amp;VLOOKUP(A22,member!$A$5:$K$1300,4,FALSE)</f>
        <v>Vokshi, Finn</v>
      </c>
      <c r="C22" s="71" t="str">
        <f>VLOOKUP(A22,member!$A$5:$K$1300,9,FALSE)</f>
        <v>BSC Highroller Rosenheim</v>
      </c>
      <c r="D22" s="71" t="str">
        <f>VLOOKUP(A22,member!$A$5:$K$1300,11,FALSE)</f>
        <v>HRR</v>
      </c>
    </row>
    <row r="23" spans="1:4">
      <c r="A23" s="190">
        <v>38848</v>
      </c>
      <c r="B23" s="71" t="str">
        <f>VLOOKUP(A23,member!$A$5:$K$1300,3,FALSE)&amp;", "&amp;VLOOKUP(A23,member!$A$5:$K$1300,4,FALSE)</f>
        <v>Marker, Anna</v>
      </c>
      <c r="C23" s="71" t="str">
        <f>VLOOKUP(A23,member!$A$5:$K$1300,9,FALSE)</f>
        <v>BSC Highroller Rosenheim</v>
      </c>
      <c r="D23" s="71" t="str">
        <f>VLOOKUP(A23,member!$A$5:$K$1300,11,FALSE)</f>
        <v>HRR</v>
      </c>
    </row>
    <row r="24" spans="1:4">
      <c r="A24" s="190">
        <v>38849</v>
      </c>
      <c r="B24" s="71" t="str">
        <f>VLOOKUP(A24,member!$A$5:$K$1300,3,FALSE)&amp;", "&amp;VLOOKUP(A24,member!$A$5:$K$1300,4,FALSE)</f>
        <v>Marker, Lena</v>
      </c>
      <c r="C24" s="71" t="str">
        <f>VLOOKUP(A24,member!$A$5:$K$1300,9,FALSE)</f>
        <v>BSC Highroller Rosenheim</v>
      </c>
      <c r="D24" s="71" t="str">
        <f>VLOOKUP(A24,member!$A$5:$K$1300,11,FALSE)</f>
        <v>HRR</v>
      </c>
    </row>
    <row r="25" spans="1:4">
      <c r="A25" s="190">
        <v>38925</v>
      </c>
      <c r="B25" s="71" t="str">
        <f>VLOOKUP(A25,member!$A$5:$K$1300,3,FALSE)&amp;", "&amp;VLOOKUP(A25,member!$A$5:$K$1300,4,FALSE)</f>
        <v>Legler, Jonas</v>
      </c>
      <c r="C25" s="71" t="str">
        <f>VLOOKUP(A25,member!$A$5:$K$1300,9,FALSE)</f>
        <v>BSC Highroller Rosenheim</v>
      </c>
      <c r="D25" s="71" t="str">
        <f>VLOOKUP(A25,member!$A$5:$K$1300,11,FALSE)</f>
        <v>HRR</v>
      </c>
    </row>
    <row r="26" spans="1:4">
      <c r="A26" s="190">
        <v>38924</v>
      </c>
      <c r="B26" s="71" t="str">
        <f>VLOOKUP(A26,member!$A$5:$K$1300,3,FALSE)&amp;", "&amp;VLOOKUP(A26,member!$A$5:$K$1300,4,FALSE)</f>
        <v>Legler, Elias</v>
      </c>
      <c r="C26" s="71" t="str">
        <f>VLOOKUP(A26,member!$A$5:$K$1300,9,FALSE)</f>
        <v>BSC Highroller Rosenheim</v>
      </c>
      <c r="D26" s="71" t="str">
        <f>VLOOKUP(A26,member!$A$5:$K$1300,11,FALSE)</f>
        <v>HRR</v>
      </c>
    </row>
    <row r="27" spans="1:4">
      <c r="A27" s="190">
        <v>38865</v>
      </c>
      <c r="B27" s="71" t="str">
        <f>VLOOKUP(A27,member!$A$5:$K$1300,3,FALSE)&amp;", "&amp;VLOOKUP(A27,member!$A$5:$K$1300,4,FALSE)</f>
        <v>Labs, Leon</v>
      </c>
      <c r="C27" s="71" t="str">
        <f>VLOOKUP(A27,member!$A$5:$K$1300,9,FALSE)</f>
        <v>BC Berchtesgaden</v>
      </c>
      <c r="D27" s="71" t="str">
        <f>VLOOKUP(A27,member!$A$5:$K$1300,11,FALSE)</f>
        <v>BGD</v>
      </c>
    </row>
    <row r="28" spans="1:4">
      <c r="A28" s="190">
        <v>38714</v>
      </c>
      <c r="B28" s="71" t="str">
        <f>VLOOKUP(A28,member!$A$5:$K$1300,3,FALSE)&amp;", "&amp;VLOOKUP(A28,member!$A$5:$K$1300,4,FALSE)</f>
        <v>Wieser, Lukas</v>
      </c>
      <c r="C28" s="71" t="str">
        <f>VLOOKUP(A28,member!$A$5:$K$1300,9,FALSE)</f>
        <v>BC Berchtesgaden</v>
      </c>
      <c r="D28" s="71" t="str">
        <f>VLOOKUP(A28,member!$A$5:$K$1300,11,FALSE)</f>
        <v>BGD</v>
      </c>
    </row>
    <row r="29" spans="1:4">
      <c r="A29" s="190">
        <v>38819</v>
      </c>
      <c r="B29" s="71" t="str">
        <f>VLOOKUP(A29,member!$A$5:$K$1300,3,FALSE)&amp;", "&amp;VLOOKUP(A29,member!$A$5:$K$1300,4,FALSE)</f>
        <v>Pittner, Gregor</v>
      </c>
      <c r="C29" s="71" t="str">
        <f>VLOOKUP(A29,member!$A$5:$K$1300,9,FALSE)</f>
        <v>BC Berchtesgaden</v>
      </c>
      <c r="D29" s="71" t="str">
        <f>VLOOKUP(A29,member!$A$5:$K$1300,11,FALSE)</f>
        <v>BGD</v>
      </c>
    </row>
    <row r="30" spans="1:4">
      <c r="A30" s="190">
        <v>38817</v>
      </c>
      <c r="B30" s="71" t="str">
        <f>VLOOKUP(A30,member!$A$5:$K$1300,3,FALSE)&amp;", "&amp;VLOOKUP(A30,member!$A$5:$K$1300,4,FALSE)</f>
        <v>Eismann, Berenike</v>
      </c>
      <c r="C30" s="71" t="str">
        <f>VLOOKUP(A30,member!$A$5:$K$1300,9,FALSE)</f>
        <v>BC Berchtesgaden</v>
      </c>
      <c r="D30" s="71" t="str">
        <f>VLOOKUP(A30,member!$A$5:$K$1300,11,FALSE)</f>
        <v>BGD</v>
      </c>
    </row>
    <row r="31" spans="1:4">
      <c r="A31" s="190">
        <v>38905</v>
      </c>
      <c r="B31" s="71" t="str">
        <f>VLOOKUP(A31,member!$A$5:$K$1300,3,FALSE)&amp;", "&amp;VLOOKUP(A31,member!$A$5:$K$1300,4,FALSE)</f>
        <v>Laubach, Nina</v>
      </c>
      <c r="C31" s="71" t="str">
        <f>VLOOKUP(A31,member!$A$5:$K$1300,9,FALSE)</f>
        <v>BC Berchtesgaden</v>
      </c>
      <c r="D31" s="71" t="str">
        <f>VLOOKUP(A31,member!$A$5:$K$1300,11,FALSE)</f>
        <v>BGD</v>
      </c>
    </row>
    <row r="32" spans="1:4">
      <c r="A32" s="190">
        <v>38937</v>
      </c>
      <c r="B32" s="71" t="s">
        <v>2596</v>
      </c>
      <c r="C32" s="71" t="s">
        <v>2597</v>
      </c>
      <c r="D32" s="71" t="s">
        <v>1329</v>
      </c>
    </row>
    <row r="33" spans="1:4">
      <c r="A33" s="190">
        <v>38655</v>
      </c>
      <c r="B33" s="71" t="str">
        <f>VLOOKUP(A33,member!$A$5:$K$1300,3,FALSE)&amp;", "&amp;VLOOKUP(A33,member!$A$5:$K$1300,4,FALSE)</f>
        <v>Wheeldon, Vincent</v>
      </c>
      <c r="C33" s="71" t="str">
        <f>VLOOKUP(A33,member!$A$5:$K$1300,9,FALSE)</f>
        <v>BK München</v>
      </c>
      <c r="D33" s="71" t="str">
        <f>VLOOKUP(A33,member!$A$5:$K$1300,11,FALSE)</f>
        <v>MKV</v>
      </c>
    </row>
    <row r="34" spans="1:4">
      <c r="A34" s="190">
        <v>38708</v>
      </c>
      <c r="B34" s="71" t="str">
        <f>VLOOKUP(A34,member!$A$5:$K$1300,3,FALSE)&amp;", "&amp;VLOOKUP(A34,member!$A$5:$K$1300,4,FALSE)</f>
        <v>Gründl, Alexander</v>
      </c>
      <c r="C34" s="71" t="str">
        <f>VLOOKUP(A34,member!$A$5:$K$1300,9,FALSE)</f>
        <v>BK München</v>
      </c>
      <c r="D34" s="71" t="str">
        <f>VLOOKUP(A34,member!$A$5:$K$1300,11,FALSE)</f>
        <v>MKV</v>
      </c>
    </row>
    <row r="35" spans="1:4">
      <c r="A35" s="190">
        <v>38327</v>
      </c>
      <c r="B35" s="71" t="str">
        <f>VLOOKUP(A35,member!$A$5:$K$1300,3,FALSE)&amp;", "&amp;VLOOKUP(A35,member!$A$5:$K$1300,4,FALSE)</f>
        <v>Jakobi, Moritz</v>
      </c>
      <c r="C35" s="71" t="str">
        <f>VLOOKUP(A35,member!$A$5:$K$1300,9,FALSE)</f>
        <v>BK München</v>
      </c>
      <c r="D35" s="71" t="str">
        <f>VLOOKUP(A35,member!$A$5:$K$1300,11,FALSE)</f>
        <v>MKV</v>
      </c>
    </row>
    <row r="36" spans="1:4">
      <c r="A36" s="190">
        <v>38927</v>
      </c>
      <c r="B36" s="71" t="str">
        <f>VLOOKUP(A36,member!$A$5:$K$1300,3,FALSE)&amp;", "&amp;VLOOKUP(A36,member!$A$5:$K$1300,4,FALSE)</f>
        <v>Bonnaire, Ben</v>
      </c>
      <c r="C36" s="71" t="str">
        <f>VLOOKUP(A36,member!$A$5:$K$1300,9,FALSE)</f>
        <v>Bowling Jugend Bayern</v>
      </c>
      <c r="D36" s="71" t="str">
        <f>VLOOKUP(A36,member!$A$5:$K$1300,11,FALSE)</f>
        <v>BJB</v>
      </c>
    </row>
    <row r="37" spans="1:4">
      <c r="A37" s="190">
        <v>38795</v>
      </c>
      <c r="B37" s="71" t="str">
        <f>VLOOKUP(A37,member!$A$5:$K$1300,3,FALSE)&amp;", "&amp;VLOOKUP(A37,member!$A$5:$K$1300,4,FALSE)</f>
        <v>Catalano, Leandro</v>
      </c>
      <c r="C37" s="71" t="str">
        <f>VLOOKUP(A37,member!$A$5:$K$1300,9,FALSE)</f>
        <v>Bowling Jugend Bayern</v>
      </c>
      <c r="D37" s="71" t="str">
        <f>VLOOKUP(A37,member!$A$5:$K$1300,11,FALSE)</f>
        <v>BJB</v>
      </c>
    </row>
    <row r="38" spans="1:4">
      <c r="A38" s="190">
        <v>38674</v>
      </c>
      <c r="B38" s="71" t="str">
        <f>VLOOKUP(A38,member!$A$5:$K$1300,3,FALSE)&amp;", "&amp;VLOOKUP(A38,member!$A$5:$K$1300,4,FALSE)</f>
        <v>Mäurer, Odin</v>
      </c>
      <c r="C38" s="71" t="str">
        <f>VLOOKUP(A38,member!$A$5:$K$1300,9,FALSE)</f>
        <v>Bowling Jugend Bayern</v>
      </c>
      <c r="D38" s="71" t="str">
        <f>VLOOKUP(A38,member!$A$5:$K$1300,11,FALSE)</f>
        <v>BJB</v>
      </c>
    </row>
    <row r="39" spans="1:4">
      <c r="A39" s="190">
        <v>38894</v>
      </c>
      <c r="B39" s="71" t="str">
        <f>VLOOKUP(A39,member!$A$5:$K$1300,3,FALSE)&amp;", "&amp;VLOOKUP(A39,member!$A$5:$K$1300,4,FALSE)</f>
        <v>Prieß, Marc</v>
      </c>
      <c r="C39" s="71" t="str">
        <f>VLOOKUP(A39,member!$A$5:$K$1300,9,FALSE)</f>
        <v>Bowling Jugend Bayern</v>
      </c>
      <c r="D39" s="71" t="str">
        <f>VLOOKUP(A39,member!$A$5:$K$1300,11,FALSE)</f>
        <v>BJB</v>
      </c>
    </row>
    <row r="40" spans="1:4">
      <c r="A40" s="190">
        <v>38915</v>
      </c>
      <c r="B40" s="71" t="str">
        <f>VLOOKUP(A40,member!$A$5:$K$1300,3,FALSE)&amp;", "&amp;VLOOKUP(A40,member!$A$5:$K$1300,4,FALSE)</f>
        <v>Raj, Milan</v>
      </c>
      <c r="C40" s="71" t="str">
        <f>VLOOKUP(A40,member!$A$5:$K$1300,9,FALSE)</f>
        <v>Bowling Jugend Bayern</v>
      </c>
      <c r="D40" s="71" t="str">
        <f>VLOOKUP(A40,member!$A$5:$K$1300,11,FALSE)</f>
        <v>BJB</v>
      </c>
    </row>
    <row r="41" spans="1:4">
      <c r="A41" s="190">
        <v>38781</v>
      </c>
      <c r="B41" s="71" t="str">
        <f>VLOOKUP(A41,member!$A$5:$K$1300,3,FALSE)&amp;", "&amp;VLOOKUP(A41,member!$A$5:$K$1300,4,FALSE)</f>
        <v>Reichenauer, Leon</v>
      </c>
      <c r="C41" s="71" t="str">
        <f>VLOOKUP(A41,member!$A$5:$K$1300,9,FALSE)</f>
        <v>Bowling Jugend Bayern</v>
      </c>
      <c r="D41" s="71" t="str">
        <f>VLOOKUP(A41,member!$A$5:$K$1300,11,FALSE)</f>
        <v>BJB</v>
      </c>
    </row>
    <row r="42" spans="1:4">
      <c r="A42" s="190">
        <v>38940</v>
      </c>
      <c r="B42" s="71" t="s">
        <v>2612</v>
      </c>
      <c r="C42" s="71" t="s">
        <v>82</v>
      </c>
      <c r="D42" s="71" t="s">
        <v>84</v>
      </c>
    </row>
    <row r="43" spans="1:4">
      <c r="A43" s="190">
        <v>38942</v>
      </c>
      <c r="B43" s="71" t="s">
        <v>2613</v>
      </c>
      <c r="C43" s="71" t="s">
        <v>672</v>
      </c>
      <c r="D43" s="71" t="s">
        <v>674</v>
      </c>
    </row>
    <row r="44" spans="1:4">
      <c r="A44" s="190">
        <v>38334</v>
      </c>
      <c r="B44" s="71" t="str">
        <f>VLOOKUP(A44,member!$A$5:$K$1300,3,FALSE)&amp;", "&amp;VLOOKUP(A44,member!$A$5:$K$1300,4,FALSE)</f>
        <v>Lauchner, Julian</v>
      </c>
      <c r="C44" s="71" t="str">
        <f>VLOOKUP(A44,member!$A$5:$K$1300,9,FALSE)</f>
        <v>BK München</v>
      </c>
      <c r="D44" s="71" t="str">
        <f>VLOOKUP(A44,member!$A$5:$K$1300,11,FALSE)</f>
        <v>MKV</v>
      </c>
    </row>
    <row r="45" spans="1:4">
      <c r="A45" s="190">
        <v>38941</v>
      </c>
      <c r="B45" s="71" t="s">
        <v>2614</v>
      </c>
      <c r="C45" s="71" t="s">
        <v>672</v>
      </c>
      <c r="D45" s="71" t="s">
        <v>674</v>
      </c>
    </row>
    <row r="46" spans="1:4">
      <c r="A46" s="190">
        <v>38626</v>
      </c>
      <c r="B46" s="71" t="str">
        <f>VLOOKUP(A46,member!$A$5:$K$1300,3,FALSE)&amp;", "&amp;VLOOKUP(A46,member!$A$5:$K$1300,4,FALSE)</f>
        <v>Wolf, Alexander</v>
      </c>
      <c r="C46" s="71" t="str">
        <f>VLOOKUP(A46,member!$A$5:$K$1300,9,FALSE)</f>
        <v>BK München</v>
      </c>
      <c r="D46" s="71" t="str">
        <f>VLOOKUP(A46,member!$A$5:$K$1300,11,FALSE)</f>
        <v>MKV</v>
      </c>
    </row>
    <row r="47" spans="1:4">
      <c r="B47" s="71" t="e">
        <f>VLOOKUP(A47,member!$A$5:$K$1300,3,FALSE)&amp;", "&amp;VLOOKUP(A47,member!$A$5:$K$1300,4,FALSE)</f>
        <v>#N/A</v>
      </c>
      <c r="C47" s="71" t="e">
        <f>VLOOKUP(A47,member!$A$5:$K$1300,9,FALSE)</f>
        <v>#N/A</v>
      </c>
      <c r="D47" s="71" t="e">
        <f>VLOOKUP(A47,member!$A$5:$K$1300,11,FALSE)</f>
        <v>#N/A</v>
      </c>
    </row>
    <row r="48" spans="1:4">
      <c r="B48" s="71" t="e">
        <f>VLOOKUP(A48,member!$A$5:$K$1300,3,FALSE)&amp;", "&amp;VLOOKUP(A48,member!$A$5:$K$1300,4,FALSE)</f>
        <v>#N/A</v>
      </c>
      <c r="C48" s="71" t="e">
        <f>VLOOKUP(A48,member!$A$5:$K$1300,9,FALSE)</f>
        <v>#N/A</v>
      </c>
      <c r="D48" s="71" t="e">
        <f>VLOOKUP(A48,member!$A$5:$K$1300,11,FALSE)</f>
        <v>#N/A</v>
      </c>
    </row>
    <row r="49" spans="2:4">
      <c r="B49" s="71" t="e">
        <f>VLOOKUP(A49,member!$A$5:$K$1300,3,FALSE)&amp;", "&amp;VLOOKUP(A49,member!$A$5:$K$1300,4,FALSE)</f>
        <v>#N/A</v>
      </c>
      <c r="C49" s="71" t="e">
        <f>VLOOKUP(A49,member!$A$5:$K$1300,9,FALSE)</f>
        <v>#N/A</v>
      </c>
      <c r="D49" s="71" t="e">
        <f>VLOOKUP(A49,member!$A$5:$K$1300,11,FALSE)</f>
        <v>#N/A</v>
      </c>
    </row>
    <row r="50" spans="2:4">
      <c r="B50" s="71" t="e">
        <f>VLOOKUP(A50,member!$A$5:$K$1300,3,FALSE)&amp;", "&amp;VLOOKUP(A50,member!$A$5:$K$1300,4,FALSE)</f>
        <v>#N/A</v>
      </c>
      <c r="C50" s="71" t="e">
        <f>VLOOKUP(A50,member!$A$5:$K$1300,9,FALSE)</f>
        <v>#N/A</v>
      </c>
      <c r="D50" s="71" t="e">
        <f>VLOOKUP(A50,member!$A$5:$K$1300,11,FALSE)</f>
        <v>#N/A</v>
      </c>
    </row>
    <row r="51" spans="2:4">
      <c r="B51" s="71" t="e">
        <f>VLOOKUP(A51,member!$A$5:$K$1300,3,FALSE)&amp;", "&amp;VLOOKUP(A51,member!$A$5:$K$1300,4,FALSE)</f>
        <v>#N/A</v>
      </c>
      <c r="C51" s="71" t="e">
        <f>VLOOKUP(A51,member!$A$5:$K$1300,9,FALSE)</f>
        <v>#N/A</v>
      </c>
      <c r="D51" s="71" t="e">
        <f>VLOOKUP(A51,member!$A$5:$K$1300,11,FALSE)</f>
        <v>#N/A</v>
      </c>
    </row>
    <row r="52" spans="2:4">
      <c r="B52" s="71" t="e">
        <f>VLOOKUP(A52,member!$A$5:$K$1300,3,FALSE)&amp;", "&amp;VLOOKUP(A52,member!$A$5:$K$1300,4,FALSE)</f>
        <v>#N/A</v>
      </c>
      <c r="C52" s="71" t="e">
        <f>VLOOKUP(A52,member!$A$5:$K$1300,9,FALSE)</f>
        <v>#N/A</v>
      </c>
      <c r="D52" s="71" t="e">
        <f>VLOOKUP(A52,member!$A$5:$K$1300,11,FALSE)</f>
        <v>#N/A</v>
      </c>
    </row>
    <row r="53" spans="2:4">
      <c r="B53" s="71" t="e">
        <f>VLOOKUP(A53,member!$A$5:$K$1300,3,FALSE)&amp;", "&amp;VLOOKUP(A53,member!$A$5:$K$1300,4,FALSE)</f>
        <v>#N/A</v>
      </c>
      <c r="C53" s="71" t="e">
        <f>VLOOKUP(A53,member!$A$5:$K$1300,9,FALSE)</f>
        <v>#N/A</v>
      </c>
      <c r="D53" s="71" t="e">
        <f>VLOOKUP(A53,member!$A$5:$K$1300,11,FALSE)</f>
        <v>#N/A</v>
      </c>
    </row>
    <row r="54" spans="2:4">
      <c r="B54" s="71" t="e">
        <f>VLOOKUP(A54,member!$A$5:$K$1300,3,FALSE)&amp;", "&amp;VLOOKUP(A54,member!$A$5:$K$1300,4,FALSE)</f>
        <v>#N/A</v>
      </c>
      <c r="C54" s="71" t="e">
        <f>VLOOKUP(A54,member!$A$5:$K$1300,9,FALSE)</f>
        <v>#N/A</v>
      </c>
      <c r="D54" s="71" t="e">
        <f>VLOOKUP(A54,member!$A$5:$K$1300,11,FALSE)</f>
        <v>#N/A</v>
      </c>
    </row>
    <row r="55" spans="2:4">
      <c r="B55" s="71" t="e">
        <f>VLOOKUP(A55,member!$A$5:$K$1300,3,FALSE)&amp;", "&amp;VLOOKUP(A55,member!$A$5:$K$1300,4,FALSE)</f>
        <v>#N/A</v>
      </c>
      <c r="C55" s="71" t="e">
        <f>VLOOKUP(A55,member!$A$5:$K$1300,9,FALSE)</f>
        <v>#N/A</v>
      </c>
      <c r="D55" s="71" t="e">
        <f>VLOOKUP(A55,member!$A$5:$K$1300,11,FALSE)</f>
        <v>#N/A</v>
      </c>
    </row>
    <row r="56" spans="2:4">
      <c r="B56" s="71" t="e">
        <f>VLOOKUP(A56,member!$A$5:$K$1300,3,FALSE)&amp;", "&amp;VLOOKUP(A56,member!$A$5:$K$1300,4,FALSE)</f>
        <v>#N/A</v>
      </c>
      <c r="C56" s="71" t="e">
        <f>VLOOKUP(A56,member!$A$5:$K$1300,9,FALSE)</f>
        <v>#N/A</v>
      </c>
      <c r="D56" s="71" t="e">
        <f>VLOOKUP(A56,member!$A$5:$K$1300,11,FALSE)</f>
        <v>#N/A</v>
      </c>
    </row>
    <row r="57" spans="2:4">
      <c r="B57" s="71" t="e">
        <f>VLOOKUP(A57,member!$A$5:$K$1300,3,FALSE)&amp;", "&amp;VLOOKUP(A57,member!$A$5:$K$1300,4,FALSE)</f>
        <v>#N/A</v>
      </c>
      <c r="C57" s="71" t="e">
        <f>VLOOKUP(A57,member!$A$5:$K$1300,9,FALSE)</f>
        <v>#N/A</v>
      </c>
      <c r="D57" s="71" t="e">
        <f>VLOOKUP(A57,member!$A$5:$K$1300,11,FALSE)</f>
        <v>#N/A</v>
      </c>
    </row>
    <row r="58" spans="2:4">
      <c r="B58" s="71" t="e">
        <f>VLOOKUP(A58,member!$A$5:$K$1300,3,FALSE)&amp;", "&amp;VLOOKUP(A58,member!$A$5:$K$1300,4,FALSE)</f>
        <v>#N/A</v>
      </c>
      <c r="C58" s="71" t="e">
        <f>VLOOKUP(A58,member!$A$5:$K$1300,9,FALSE)</f>
        <v>#N/A</v>
      </c>
      <c r="D58" s="71" t="e">
        <f>VLOOKUP(A58,member!$A$5:$K$1300,11,FALSE)</f>
        <v>#N/A</v>
      </c>
    </row>
    <row r="59" spans="2:4">
      <c r="B59" s="71" t="e">
        <f>VLOOKUP(A59,member!$A$5:$K$1300,3,FALSE)&amp;", "&amp;VLOOKUP(A59,member!$A$5:$K$1300,4,FALSE)</f>
        <v>#N/A</v>
      </c>
      <c r="C59" s="71" t="e">
        <f>VLOOKUP(A59,member!$A$5:$K$1300,9,FALSE)</f>
        <v>#N/A</v>
      </c>
      <c r="D59" s="71" t="e">
        <f>VLOOKUP(A59,member!$A$5:$K$1300,11,FALSE)</f>
        <v>#N/A</v>
      </c>
    </row>
    <row r="60" spans="2:4">
      <c r="B60" s="71" t="e">
        <f>VLOOKUP(A60,member!$A$5:$K$1300,3,FALSE)&amp;", "&amp;VLOOKUP(A60,member!$A$5:$K$1300,4,FALSE)</f>
        <v>#N/A</v>
      </c>
      <c r="C60" s="71" t="e">
        <f>VLOOKUP(A60,member!$A$5:$K$1300,9,FALSE)</f>
        <v>#N/A</v>
      </c>
      <c r="D60" s="71" t="e">
        <f>VLOOKUP(A60,member!$A$5:$K$1300,11,FALSE)</f>
        <v>#N/A</v>
      </c>
    </row>
    <row r="61" spans="2:4">
      <c r="B61" s="71" t="e">
        <f>VLOOKUP(A61,member!$A$5:$K$1300,3,FALSE)&amp;", "&amp;VLOOKUP(A61,member!$A$5:$K$1300,4,FALSE)</f>
        <v>#N/A</v>
      </c>
      <c r="C61" s="71" t="e">
        <f>VLOOKUP(A61,member!$A$5:$K$1300,9,FALSE)</f>
        <v>#N/A</v>
      </c>
      <c r="D61" s="71" t="e">
        <f>VLOOKUP(A61,member!$A$5:$K$1300,11,FALSE)</f>
        <v>#N/A</v>
      </c>
    </row>
    <row r="62" spans="2:4">
      <c r="B62" s="71" t="e">
        <f>VLOOKUP(A62,member!$A$5:$K$1300,3,FALSE)&amp;", "&amp;VLOOKUP(A62,member!$A$5:$K$1300,4,FALSE)</f>
        <v>#N/A</v>
      </c>
      <c r="C62" s="71" t="e">
        <f>VLOOKUP(A62,member!$A$5:$K$1300,9,FALSE)</f>
        <v>#N/A</v>
      </c>
      <c r="D62" s="71" t="e">
        <f>VLOOKUP(A62,member!$A$5:$K$1300,11,FALSE)</f>
        <v>#N/A</v>
      </c>
    </row>
    <row r="63" spans="2:4">
      <c r="B63" s="71" t="e">
        <f>VLOOKUP(A63,member!$A$5:$K$1300,3,FALSE)&amp;", "&amp;VLOOKUP(A63,member!$A$5:$K$1300,4,FALSE)</f>
        <v>#N/A</v>
      </c>
      <c r="C63" s="71" t="e">
        <f>VLOOKUP(A63,member!$A$5:$K$1300,9,FALSE)</f>
        <v>#N/A</v>
      </c>
      <c r="D63" s="71" t="e">
        <f>VLOOKUP(A63,member!$A$5:$K$1300,11,FALSE)</f>
        <v>#N/A</v>
      </c>
    </row>
    <row r="64" spans="2:4">
      <c r="B64" s="71" t="e">
        <f>VLOOKUP(A64,member!$A$5:$K$1300,3,FALSE)&amp;", "&amp;VLOOKUP(A64,member!$A$5:$K$1300,4,FALSE)</f>
        <v>#N/A</v>
      </c>
      <c r="C64" s="71" t="e">
        <f>VLOOKUP(A64,member!$A$5:$K$1300,9,FALSE)</f>
        <v>#N/A</v>
      </c>
      <c r="D64" s="71" t="e">
        <f>VLOOKUP(A64,member!$A$5:$K$1300,11,FALSE)</f>
        <v>#N/A</v>
      </c>
    </row>
    <row r="65" spans="2:4">
      <c r="B65" s="71" t="e">
        <f>VLOOKUP(A65,member!$A$5:$K$1300,3,FALSE)&amp;", "&amp;VLOOKUP(A65,member!$A$5:$K$1300,4,FALSE)</f>
        <v>#N/A</v>
      </c>
      <c r="C65" s="71" t="e">
        <f>VLOOKUP(A65,member!$A$5:$K$1300,9,FALSE)</f>
        <v>#N/A</v>
      </c>
      <c r="D65" s="71" t="e">
        <f>VLOOKUP(A65,member!$A$5:$K$1300,11,FALSE)</f>
        <v>#N/A</v>
      </c>
    </row>
    <row r="66" spans="2:4">
      <c r="B66" s="71" t="e">
        <f>VLOOKUP(A66,member!$A$5:$K$1300,3,FALSE)&amp;", "&amp;VLOOKUP(A66,member!$A$5:$K$1300,4,FALSE)</f>
        <v>#N/A</v>
      </c>
      <c r="C66" s="71" t="e">
        <f>VLOOKUP(A66,member!$A$5:$K$1300,9,FALSE)</f>
        <v>#N/A</v>
      </c>
      <c r="D66" s="71" t="e">
        <f>VLOOKUP(A66,member!$A$5:$K$1300,11,FALSE)</f>
        <v>#N/A</v>
      </c>
    </row>
    <row r="67" spans="2:4">
      <c r="B67" s="71" t="e">
        <f>VLOOKUP(A67,member!$A$5:$K$1300,3,FALSE)&amp;", "&amp;VLOOKUP(A67,member!$A$5:$K$1300,4,FALSE)</f>
        <v>#N/A</v>
      </c>
      <c r="C67" s="71" t="e">
        <f>VLOOKUP(A67,member!$A$5:$K$1300,9,FALSE)</f>
        <v>#N/A</v>
      </c>
      <c r="D67" s="71" t="e">
        <f>VLOOKUP(A67,member!$A$5:$K$1300,11,FALSE)</f>
        <v>#N/A</v>
      </c>
    </row>
    <row r="68" spans="2:4">
      <c r="B68" s="71" t="e">
        <f>VLOOKUP(A68,member!$A$5:$K$1300,3,FALSE)&amp;", "&amp;VLOOKUP(A68,member!$A$5:$K$1300,4,FALSE)</f>
        <v>#N/A</v>
      </c>
      <c r="C68" s="71" t="e">
        <f>VLOOKUP(A68,member!$A$5:$K$1300,9,FALSE)</f>
        <v>#N/A</v>
      </c>
      <c r="D68" s="71" t="e">
        <f>VLOOKUP(A68,member!$A$5:$K$1300,11,FALSE)</f>
        <v>#N/A</v>
      </c>
    </row>
    <row r="69" spans="2:4">
      <c r="B69" s="71" t="e">
        <f>VLOOKUP(A69,member!$A$5:$K$1300,3,FALSE)&amp;", "&amp;VLOOKUP(A69,member!$A$5:$K$1300,4,FALSE)</f>
        <v>#N/A</v>
      </c>
      <c r="C69" s="71" t="e">
        <f>VLOOKUP(A69,member!$A$5:$K$1300,9,FALSE)</f>
        <v>#N/A</v>
      </c>
      <c r="D69" s="71" t="e">
        <f>VLOOKUP(A69,member!$A$5:$K$1300,11,FALSE)</f>
        <v>#N/A</v>
      </c>
    </row>
    <row r="70" spans="2:4">
      <c r="B70" s="71" t="e">
        <f>VLOOKUP(A70,member!$A$5:$K$1300,3,FALSE)&amp;", "&amp;VLOOKUP(A70,member!$A$5:$K$1300,4,FALSE)</f>
        <v>#N/A</v>
      </c>
      <c r="C70" s="71" t="e">
        <f>VLOOKUP(A70,member!$A$5:$K$1300,9,FALSE)</f>
        <v>#N/A</v>
      </c>
      <c r="D70" s="71" t="e">
        <f>VLOOKUP(A70,member!$A$5:$K$1300,11,FALSE)</f>
        <v>#N/A</v>
      </c>
    </row>
    <row r="71" spans="2:4">
      <c r="B71" s="71" t="e">
        <f>VLOOKUP(A71,member!$A$5:$K$1300,3,FALSE)&amp;", "&amp;VLOOKUP(A71,member!$A$5:$K$1300,4,FALSE)</f>
        <v>#N/A</v>
      </c>
      <c r="C71" s="71" t="e">
        <f>VLOOKUP(A71,member!$A$5:$K$1300,9,FALSE)</f>
        <v>#N/A</v>
      </c>
      <c r="D71" s="71" t="e">
        <f>VLOOKUP(A71,member!$A$5:$K$1300,11,FALSE)</f>
        <v>#N/A</v>
      </c>
    </row>
    <row r="72" spans="2:4">
      <c r="B72" s="71" t="e">
        <f>VLOOKUP(A72,member!$A$5:$K$1300,3,FALSE)&amp;", "&amp;VLOOKUP(A72,member!$A$5:$K$1300,4,FALSE)</f>
        <v>#N/A</v>
      </c>
      <c r="C72" s="71" t="e">
        <f>VLOOKUP(A72,member!$A$5:$K$1300,9,FALSE)</f>
        <v>#N/A</v>
      </c>
      <c r="D72" s="71" t="e">
        <f>VLOOKUP(A72,member!$A$5:$K$1300,11,FALSE)</f>
        <v>#N/A</v>
      </c>
    </row>
    <row r="73" spans="2:4">
      <c r="B73" s="71" t="e">
        <f>VLOOKUP(A73,member!$A$5:$K$1300,3,FALSE)&amp;", "&amp;VLOOKUP(A73,member!$A$5:$K$1300,4,FALSE)</f>
        <v>#N/A</v>
      </c>
      <c r="C73" s="71" t="e">
        <f>VLOOKUP(A73,member!$A$5:$K$1300,9,FALSE)</f>
        <v>#N/A</v>
      </c>
      <c r="D73" s="71" t="e">
        <f>VLOOKUP(A73,member!$A$5:$K$1300,11,FALSE)</f>
        <v>#N/A</v>
      </c>
    </row>
    <row r="74" spans="2:4">
      <c r="B74" s="71" t="e">
        <f>VLOOKUP(A74,member!$A$5:$K$1300,3,FALSE)&amp;", "&amp;VLOOKUP(A74,member!$A$5:$K$1300,4,FALSE)</f>
        <v>#N/A</v>
      </c>
      <c r="C74" s="71" t="e">
        <f>VLOOKUP(A74,member!$A$5:$K$1300,9,FALSE)</f>
        <v>#N/A</v>
      </c>
      <c r="D74" s="71" t="e">
        <f>VLOOKUP(A74,member!$A$5:$K$1300,11,FALSE)</f>
        <v>#N/A</v>
      </c>
    </row>
    <row r="75" spans="2:4">
      <c r="B75" s="71" t="e">
        <f>VLOOKUP(A75,member!$A$5:$K$1300,3,FALSE)&amp;", "&amp;VLOOKUP(A75,member!$A$5:$K$1300,4,FALSE)</f>
        <v>#N/A</v>
      </c>
      <c r="C75" s="71" t="e">
        <f>VLOOKUP(A75,member!$A$5:$K$1300,9,FALSE)</f>
        <v>#N/A</v>
      </c>
      <c r="D75" s="71" t="e">
        <f>VLOOKUP(A75,member!$A$5:$K$1300,11,FALSE)</f>
        <v>#N/A</v>
      </c>
    </row>
    <row r="76" spans="2:4">
      <c r="B76" s="71" t="e">
        <f>VLOOKUP(A76,member!$A$5:$K$1300,3,FALSE)&amp;", "&amp;VLOOKUP(A76,member!$A$5:$K$1300,4,FALSE)</f>
        <v>#N/A</v>
      </c>
      <c r="C76" s="71" t="e">
        <f>VLOOKUP(A76,member!$A$5:$K$1300,9,FALSE)</f>
        <v>#N/A</v>
      </c>
      <c r="D76" s="71" t="e">
        <f>VLOOKUP(A76,member!$A$5:$K$1300,11,FALSE)</f>
        <v>#N/A</v>
      </c>
    </row>
    <row r="77" spans="2:4">
      <c r="B77" s="71" t="e">
        <f>VLOOKUP(A77,member!$A$5:$K$1300,3,FALSE)&amp;", "&amp;VLOOKUP(A77,member!$A$5:$K$1300,4,FALSE)</f>
        <v>#N/A</v>
      </c>
      <c r="C77" s="71" t="e">
        <f>VLOOKUP(A77,member!$A$5:$K$1300,9,FALSE)</f>
        <v>#N/A</v>
      </c>
      <c r="D77" s="71" t="e">
        <f>VLOOKUP(A77,member!$A$5:$K$1300,11,FALSE)</f>
        <v>#N/A</v>
      </c>
    </row>
    <row r="78" spans="2:4">
      <c r="B78" s="71" t="e">
        <f>VLOOKUP(A78,member!$A$5:$K$1300,3,FALSE)&amp;", "&amp;VLOOKUP(A78,member!$A$5:$K$1300,4,FALSE)</f>
        <v>#N/A</v>
      </c>
      <c r="C78" s="71" t="e">
        <f>VLOOKUP(A78,member!$A$5:$K$1300,9,FALSE)</f>
        <v>#N/A</v>
      </c>
      <c r="D78" s="71" t="e">
        <f>VLOOKUP(A78,member!$A$5:$K$1300,11,FALSE)</f>
        <v>#N/A</v>
      </c>
    </row>
    <row r="79" spans="2:4">
      <c r="B79" s="71" t="e">
        <f>VLOOKUP(A79,member!$A$5:$K$1300,3,FALSE)&amp;", "&amp;VLOOKUP(A79,member!$A$5:$K$1300,4,FALSE)</f>
        <v>#N/A</v>
      </c>
      <c r="C79" s="71" t="e">
        <f>VLOOKUP(A79,member!$A$5:$K$1300,9,FALSE)</f>
        <v>#N/A</v>
      </c>
      <c r="D79" s="71" t="e">
        <f>VLOOKUP(A79,member!$A$5:$K$1300,11,FALSE)</f>
        <v>#N/A</v>
      </c>
    </row>
    <row r="80" spans="2:4">
      <c r="B80" s="71" t="e">
        <f>VLOOKUP(A80,member!$A$5:$K$1300,3,FALSE)&amp;", "&amp;VLOOKUP(A80,member!$A$5:$K$1300,4,FALSE)</f>
        <v>#N/A</v>
      </c>
      <c r="C80" s="71" t="e">
        <f>VLOOKUP(A80,member!$A$5:$K$1300,9,FALSE)</f>
        <v>#N/A</v>
      </c>
      <c r="D80" s="71" t="e">
        <f>VLOOKUP(A80,member!$A$5:$K$1300,11,FALSE)</f>
        <v>#N/A</v>
      </c>
    </row>
    <row r="81" spans="2:4">
      <c r="B81" s="71" t="e">
        <f>VLOOKUP(A81,member!$A$5:$K$1300,3,FALSE)&amp;", "&amp;VLOOKUP(A81,member!$A$5:$K$1300,4,FALSE)</f>
        <v>#N/A</v>
      </c>
      <c r="C81" s="71" t="e">
        <f>VLOOKUP(A81,member!$A$5:$K$1300,9,FALSE)</f>
        <v>#N/A</v>
      </c>
      <c r="D81" s="71" t="e">
        <f>VLOOKUP(A81,member!$A$5:$K$1300,11,FALSE)</f>
        <v>#N/A</v>
      </c>
    </row>
    <row r="82" spans="2:4">
      <c r="B82" s="71" t="e">
        <f>VLOOKUP(A82,member!$A$5:$K$1300,3,FALSE)&amp;", "&amp;VLOOKUP(A82,member!$A$5:$K$1300,4,FALSE)</f>
        <v>#N/A</v>
      </c>
      <c r="C82" s="71" t="e">
        <f>VLOOKUP(A82,member!$A$5:$K$1300,9,FALSE)</f>
        <v>#N/A</v>
      </c>
      <c r="D82" s="71" t="e">
        <f>VLOOKUP(A82,member!$A$5:$K$1300,11,FALSE)</f>
        <v>#N/A</v>
      </c>
    </row>
    <row r="83" spans="2:4">
      <c r="B83" s="71" t="e">
        <f>VLOOKUP(A83,member!$A$5:$K$1300,3,FALSE)&amp;", "&amp;VLOOKUP(A83,member!$A$5:$K$1300,4,FALSE)</f>
        <v>#N/A</v>
      </c>
      <c r="C83" s="71" t="e">
        <f>VLOOKUP(A83,member!$A$5:$K$1300,9,FALSE)</f>
        <v>#N/A</v>
      </c>
      <c r="D83" s="71" t="e">
        <f>VLOOKUP(A83,member!$A$5:$K$1300,11,FALSE)</f>
        <v>#N/A</v>
      </c>
    </row>
    <row r="84" spans="2:4">
      <c r="B84" s="71" t="e">
        <f>VLOOKUP(A84,member!$A$5:$K$1300,3,FALSE)&amp;", "&amp;VLOOKUP(A84,member!$A$5:$K$1300,4,FALSE)</f>
        <v>#N/A</v>
      </c>
      <c r="C84" s="71" t="e">
        <f>VLOOKUP(A84,member!$A$5:$K$1300,9,FALSE)</f>
        <v>#N/A</v>
      </c>
      <c r="D84" s="71" t="e">
        <f>VLOOKUP(A84,member!$A$5:$K$1300,11,FALSE)</f>
        <v>#N/A</v>
      </c>
    </row>
    <row r="85" spans="2:4">
      <c r="B85" s="71" t="e">
        <f>VLOOKUP(A85,member!$A$5:$K$1300,3,FALSE)&amp;", "&amp;VLOOKUP(A85,member!$A$5:$K$1300,4,FALSE)</f>
        <v>#N/A</v>
      </c>
      <c r="C85" s="71" t="e">
        <f>VLOOKUP(A85,member!$A$5:$K$1300,9,FALSE)</f>
        <v>#N/A</v>
      </c>
      <c r="D85" s="71" t="e">
        <f>VLOOKUP(A85,member!$A$5:$K$1300,11,FALSE)</f>
        <v>#N/A</v>
      </c>
    </row>
    <row r="86" spans="2:4">
      <c r="B86" s="71" t="e">
        <f>VLOOKUP(A86,member!$A$5:$K$1300,3,FALSE)&amp;", "&amp;VLOOKUP(A86,member!$A$5:$K$1300,4,FALSE)</f>
        <v>#N/A</v>
      </c>
      <c r="C86" s="71" t="e">
        <f>VLOOKUP(A86,member!$A$5:$K$1300,9,FALSE)</f>
        <v>#N/A</v>
      </c>
      <c r="D86" s="71" t="e">
        <f>VLOOKUP(A86,member!$A$5:$K$1300,11,FALSE)</f>
        <v>#N/A</v>
      </c>
    </row>
    <row r="87" spans="2:4">
      <c r="B87" s="71" t="e">
        <f>VLOOKUP(A87,member!$A$5:$K$1300,3,FALSE)&amp;", "&amp;VLOOKUP(A87,member!$A$5:$K$1300,4,FALSE)</f>
        <v>#N/A</v>
      </c>
      <c r="C87" s="71" t="e">
        <f>VLOOKUP(A87,member!$A$5:$K$1300,9,FALSE)</f>
        <v>#N/A</v>
      </c>
      <c r="D87" s="71" t="e">
        <f>VLOOKUP(A87,member!$A$5:$K$1300,11,FALSE)</f>
        <v>#N/A</v>
      </c>
    </row>
    <row r="88" spans="2:4">
      <c r="B88" s="71" t="e">
        <f>VLOOKUP(A88,member!$A$5:$K$1300,3,FALSE)&amp;", "&amp;VLOOKUP(A88,member!$A$5:$K$1300,4,FALSE)</f>
        <v>#N/A</v>
      </c>
      <c r="C88" s="71" t="e">
        <f>VLOOKUP(A88,member!$A$5:$K$1300,9,FALSE)</f>
        <v>#N/A</v>
      </c>
      <c r="D88" s="71" t="e">
        <f>VLOOKUP(A88,member!$A$5:$K$1300,11,FALSE)</f>
        <v>#N/A</v>
      </c>
    </row>
    <row r="89" spans="2:4">
      <c r="B89" s="71" t="e">
        <f>VLOOKUP(A89,member!$A$5:$K$1300,3,FALSE)&amp;", "&amp;VLOOKUP(A89,member!$A$5:$K$1300,4,FALSE)</f>
        <v>#N/A</v>
      </c>
      <c r="C89" s="71" t="e">
        <f>VLOOKUP(A89,member!$A$5:$K$1300,9,FALSE)</f>
        <v>#N/A</v>
      </c>
      <c r="D89" s="71" t="e">
        <f>VLOOKUP(A89,member!$A$5:$K$1300,11,FALSE)</f>
        <v>#N/A</v>
      </c>
    </row>
    <row r="90" spans="2:4">
      <c r="B90" s="71" t="e">
        <f>VLOOKUP(A90,member!$A$5:$K$1300,3,FALSE)&amp;", "&amp;VLOOKUP(A90,member!$A$5:$K$1300,4,FALSE)</f>
        <v>#N/A</v>
      </c>
      <c r="C90" s="71" t="e">
        <f>VLOOKUP(A90,member!$A$5:$K$1300,9,FALSE)</f>
        <v>#N/A</v>
      </c>
      <c r="D90" s="71" t="e">
        <f>VLOOKUP(A90,member!$A$5:$K$1300,11,FALSE)</f>
        <v>#N/A</v>
      </c>
    </row>
    <row r="91" spans="2:4">
      <c r="B91" s="71" t="e">
        <f>VLOOKUP(A91,member!$A$5:$K$1300,3,FALSE)&amp;", "&amp;VLOOKUP(A91,member!$A$5:$K$1300,4,FALSE)</f>
        <v>#N/A</v>
      </c>
      <c r="C91" s="71" t="e">
        <f>VLOOKUP(A91,member!$A$5:$K$1300,9,FALSE)</f>
        <v>#N/A</v>
      </c>
      <c r="D91" s="71" t="e">
        <f>VLOOKUP(A91,member!$A$5:$K$1300,11,FALSE)</f>
        <v>#N/A</v>
      </c>
    </row>
    <row r="92" spans="2:4">
      <c r="B92" s="71" t="e">
        <f>VLOOKUP(A92,member!$A$5:$K$1300,3,FALSE)&amp;", "&amp;VLOOKUP(A92,member!$A$5:$K$1300,4,FALSE)</f>
        <v>#N/A</v>
      </c>
      <c r="C92" s="71" t="e">
        <f>VLOOKUP(A92,member!$A$5:$K$1300,9,FALSE)</f>
        <v>#N/A</v>
      </c>
      <c r="D92" s="71" t="e">
        <f>VLOOKUP(A92,member!$A$5:$K$1300,11,FALSE)</f>
        <v>#N/A</v>
      </c>
    </row>
    <row r="93" spans="2:4">
      <c r="B93" s="71" t="e">
        <f>VLOOKUP(A93,member!$A$5:$K$1300,3,FALSE)&amp;", "&amp;VLOOKUP(A93,member!$A$5:$K$1300,4,FALSE)</f>
        <v>#N/A</v>
      </c>
      <c r="C93" s="71" t="e">
        <f>VLOOKUP(A93,member!$A$5:$K$1300,9,FALSE)</f>
        <v>#N/A</v>
      </c>
      <c r="D93" s="71" t="e">
        <f>VLOOKUP(A93,member!$A$5:$K$1300,11,FALSE)</f>
        <v>#N/A</v>
      </c>
    </row>
    <row r="94" spans="2:4">
      <c r="B94" s="71" t="e">
        <f>VLOOKUP(A94,member!$A$5:$K$1300,3,FALSE)&amp;", "&amp;VLOOKUP(A94,member!$A$5:$K$1300,4,FALSE)</f>
        <v>#N/A</v>
      </c>
      <c r="C94" s="71" t="e">
        <f>VLOOKUP(A94,member!$A$5:$K$1300,9,FALSE)</f>
        <v>#N/A</v>
      </c>
      <c r="D94" s="71" t="e">
        <f>VLOOKUP(A94,member!$A$5:$K$1300,11,FALSE)</f>
        <v>#N/A</v>
      </c>
    </row>
    <row r="95" spans="2:4">
      <c r="B95" s="71" t="e">
        <f>VLOOKUP(A95,member!$A$5:$K$1300,3,FALSE)&amp;", "&amp;VLOOKUP(A95,member!$A$5:$K$1300,4,FALSE)</f>
        <v>#N/A</v>
      </c>
      <c r="C95" s="71" t="e">
        <f>VLOOKUP(A95,member!$A$5:$K$1300,9,FALSE)</f>
        <v>#N/A</v>
      </c>
      <c r="D95" s="71" t="e">
        <f>VLOOKUP(A95,member!$A$5:$K$1300,11,FALSE)</f>
        <v>#N/A</v>
      </c>
    </row>
    <row r="96" spans="2:4">
      <c r="B96" s="71" t="e">
        <f>VLOOKUP(A96,member!$A$5:$K$1300,3,FALSE)&amp;", "&amp;VLOOKUP(A96,member!$A$5:$K$1300,4,FALSE)</f>
        <v>#N/A</v>
      </c>
      <c r="C96" s="71" t="e">
        <f>VLOOKUP(A96,member!$A$5:$K$1300,9,FALSE)</f>
        <v>#N/A</v>
      </c>
      <c r="D96" s="71" t="e">
        <f>VLOOKUP(A96,member!$A$5:$K$1300,11,FALSE)</f>
        <v>#N/A</v>
      </c>
    </row>
  </sheetData>
  <conditionalFormatting sqref="A1:A1048576">
    <cfRule type="duplicateValues" dxfId="0" priority="1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Q1287"/>
  <sheetViews>
    <sheetView workbookViewId="0">
      <selection activeCell="I760" sqref="I760"/>
    </sheetView>
  </sheetViews>
  <sheetFormatPr baseColWidth="10" defaultColWidth="11.44140625" defaultRowHeight="13.8"/>
  <cols>
    <col min="1" max="1" width="7.44140625" style="196" customWidth="1"/>
    <col min="2" max="2" width="8.21875" style="191" customWidth="1"/>
    <col min="3" max="3" width="17.33203125" style="192" bestFit="1" customWidth="1"/>
    <col min="4" max="4" width="14.6640625" style="193" bestFit="1" customWidth="1"/>
    <col min="5" max="5" width="4.44140625" style="193" bestFit="1" customWidth="1"/>
    <col min="6" max="6" width="4.44140625" style="195" customWidth="1"/>
    <col min="7" max="7" width="13.6640625" style="203" customWidth="1"/>
    <col min="8" max="8" width="4.21875" style="193" customWidth="1"/>
    <col min="9" max="9" width="24.21875" style="193" bestFit="1" customWidth="1"/>
    <col min="10" max="10" width="27.6640625" style="191" customWidth="1"/>
    <col min="11" max="11" width="8.6640625" style="194" customWidth="1"/>
    <col min="12" max="12" width="6.21875" style="27" customWidth="1"/>
    <col min="13" max="16384" width="11.44140625" style="27"/>
  </cols>
  <sheetData>
    <row r="1" spans="1:17" ht="22.5" customHeight="1">
      <c r="A1" s="280" t="s">
        <v>2388</v>
      </c>
      <c r="F1" s="194"/>
      <c r="G1" s="193"/>
      <c r="I1" s="195"/>
    </row>
    <row r="2" spans="1:17" ht="21" customHeight="1">
      <c r="A2" s="196" t="s">
        <v>2389</v>
      </c>
      <c r="F2" s="194"/>
      <c r="G2" s="193"/>
      <c r="I2" s="195"/>
    </row>
    <row r="3" spans="1:17" ht="21" customHeight="1">
      <c r="A3" s="196" t="s">
        <v>1865</v>
      </c>
      <c r="F3" s="194"/>
      <c r="G3" s="195"/>
      <c r="I3" s="195"/>
    </row>
    <row r="4" spans="1:17" ht="13.95" customHeight="1">
      <c r="A4" s="281" t="s">
        <v>29</v>
      </c>
      <c r="B4" s="282" t="s">
        <v>30</v>
      </c>
      <c r="C4" s="282" t="s">
        <v>31</v>
      </c>
      <c r="D4" s="282" t="s">
        <v>32</v>
      </c>
      <c r="E4" s="283" t="s">
        <v>33</v>
      </c>
      <c r="F4" s="283" t="s">
        <v>34</v>
      </c>
      <c r="G4" s="283" t="s">
        <v>35</v>
      </c>
      <c r="H4" s="284" t="s">
        <v>36</v>
      </c>
      <c r="I4" s="285" t="s">
        <v>37</v>
      </c>
      <c r="J4" s="285" t="s">
        <v>38</v>
      </c>
      <c r="K4" s="286" t="s">
        <v>2102</v>
      </c>
      <c r="L4" s="28"/>
      <c r="M4" s="29"/>
      <c r="N4" s="26"/>
      <c r="Q4" s="30"/>
    </row>
    <row r="5" spans="1:17" ht="12">
      <c r="A5" s="290">
        <v>38175</v>
      </c>
      <c r="B5" s="291" t="s">
        <v>39</v>
      </c>
      <c r="C5" s="292" t="s">
        <v>40</v>
      </c>
      <c r="D5" s="292" t="s">
        <v>41</v>
      </c>
      <c r="E5" s="292"/>
      <c r="F5" s="293" t="s">
        <v>42</v>
      </c>
      <c r="G5" s="310" t="s">
        <v>43</v>
      </c>
      <c r="H5" s="311" t="s">
        <v>65</v>
      </c>
      <c r="I5" s="292" t="s">
        <v>45</v>
      </c>
      <c r="J5" s="292" t="s">
        <v>46</v>
      </c>
      <c r="K5" s="303" t="s">
        <v>47</v>
      </c>
    </row>
    <row r="6" spans="1:17" ht="12">
      <c r="A6" s="290">
        <v>38730</v>
      </c>
      <c r="B6" s="291" t="s">
        <v>1866</v>
      </c>
      <c r="C6" s="297" t="s">
        <v>1867</v>
      </c>
      <c r="D6" s="297" t="s">
        <v>1868</v>
      </c>
      <c r="E6" s="297" t="s">
        <v>2103</v>
      </c>
      <c r="F6" s="293" t="s">
        <v>42</v>
      </c>
      <c r="G6" s="310" t="s">
        <v>43</v>
      </c>
      <c r="H6" s="311" t="s">
        <v>179</v>
      </c>
      <c r="I6" s="297" t="s">
        <v>45</v>
      </c>
      <c r="J6" s="297" t="s">
        <v>46</v>
      </c>
      <c r="K6" s="303" t="s">
        <v>47</v>
      </c>
      <c r="M6" s="31"/>
      <c r="N6" s="31"/>
    </row>
    <row r="7" spans="1:17" ht="12">
      <c r="A7" s="290">
        <v>3175</v>
      </c>
      <c r="B7" s="291" t="s">
        <v>2390</v>
      </c>
      <c r="C7" s="291" t="s">
        <v>2391</v>
      </c>
      <c r="D7" s="291" t="s">
        <v>116</v>
      </c>
      <c r="E7" s="296"/>
      <c r="F7" s="293" t="s">
        <v>42</v>
      </c>
      <c r="G7" s="310" t="s">
        <v>66</v>
      </c>
      <c r="H7" s="311"/>
      <c r="I7" s="292" t="s">
        <v>45</v>
      </c>
      <c r="J7" s="292" t="s">
        <v>46</v>
      </c>
      <c r="K7" s="303" t="s">
        <v>47</v>
      </c>
    </row>
    <row r="8" spans="1:17" ht="12">
      <c r="A8" s="290">
        <v>7306</v>
      </c>
      <c r="B8" s="291" t="s">
        <v>53</v>
      </c>
      <c r="C8" s="292" t="s">
        <v>54</v>
      </c>
      <c r="D8" s="292" t="s">
        <v>55</v>
      </c>
      <c r="E8" s="292"/>
      <c r="F8" s="293" t="s">
        <v>48</v>
      </c>
      <c r="G8" s="310" t="s">
        <v>49</v>
      </c>
      <c r="H8" s="311" t="s">
        <v>44</v>
      </c>
      <c r="I8" s="292" t="s">
        <v>45</v>
      </c>
      <c r="J8" s="292" t="s">
        <v>46</v>
      </c>
      <c r="K8" s="303" t="s">
        <v>47</v>
      </c>
    </row>
    <row r="9" spans="1:17" ht="12">
      <c r="A9" s="290">
        <v>38591</v>
      </c>
      <c r="B9" s="291" t="s">
        <v>2392</v>
      </c>
      <c r="C9" s="292" t="s">
        <v>59</v>
      </c>
      <c r="D9" s="292" t="s">
        <v>60</v>
      </c>
      <c r="E9" s="292"/>
      <c r="F9" s="293" t="s">
        <v>42</v>
      </c>
      <c r="G9" s="310" t="s">
        <v>43</v>
      </c>
      <c r="H9" s="311"/>
      <c r="I9" s="292" t="s">
        <v>45</v>
      </c>
      <c r="J9" s="292" t="s">
        <v>46</v>
      </c>
      <c r="K9" s="303" t="s">
        <v>47</v>
      </c>
    </row>
    <row r="10" spans="1:17" ht="12">
      <c r="A10" s="290">
        <v>25487</v>
      </c>
      <c r="B10" s="291" t="s">
        <v>61</v>
      </c>
      <c r="C10" s="292" t="s">
        <v>62</v>
      </c>
      <c r="D10" s="292" t="s">
        <v>63</v>
      </c>
      <c r="E10" s="292"/>
      <c r="F10" s="293" t="s">
        <v>42</v>
      </c>
      <c r="G10" s="310" t="s">
        <v>43</v>
      </c>
      <c r="H10" s="311" t="s">
        <v>44</v>
      </c>
      <c r="I10" s="292" t="s">
        <v>45</v>
      </c>
      <c r="J10" s="292" t="s">
        <v>46</v>
      </c>
      <c r="K10" s="303" t="s">
        <v>47</v>
      </c>
    </row>
    <row r="11" spans="1:17" ht="12">
      <c r="A11" s="290">
        <v>7291</v>
      </c>
      <c r="B11" s="291" t="s">
        <v>67</v>
      </c>
      <c r="C11" s="292" t="s">
        <v>68</v>
      </c>
      <c r="D11" s="292" t="s">
        <v>69</v>
      </c>
      <c r="E11" s="292"/>
      <c r="F11" s="293" t="s">
        <v>42</v>
      </c>
      <c r="G11" s="310" t="s">
        <v>57</v>
      </c>
      <c r="H11" s="311" t="s">
        <v>44</v>
      </c>
      <c r="I11" s="292" t="s">
        <v>45</v>
      </c>
      <c r="J11" s="292" t="s">
        <v>46</v>
      </c>
      <c r="K11" s="303" t="s">
        <v>47</v>
      </c>
    </row>
    <row r="12" spans="1:17" ht="12">
      <c r="A12" s="290">
        <v>25445</v>
      </c>
      <c r="B12" s="291" t="s">
        <v>75</v>
      </c>
      <c r="C12" s="292" t="s">
        <v>68</v>
      </c>
      <c r="D12" s="292" t="s">
        <v>76</v>
      </c>
      <c r="E12" s="292"/>
      <c r="F12" s="293" t="s">
        <v>48</v>
      </c>
      <c r="G12" s="310" t="s">
        <v>227</v>
      </c>
      <c r="H12" s="311" t="s">
        <v>50</v>
      </c>
      <c r="I12" s="292" t="s">
        <v>45</v>
      </c>
      <c r="J12" s="292" t="s">
        <v>46</v>
      </c>
      <c r="K12" s="303" t="s">
        <v>47</v>
      </c>
    </row>
    <row r="13" spans="1:17" ht="12">
      <c r="A13" s="290">
        <v>38859</v>
      </c>
      <c r="B13" s="291" t="s">
        <v>2279</v>
      </c>
      <c r="C13" s="292" t="s">
        <v>2280</v>
      </c>
      <c r="D13" s="292" t="s">
        <v>98</v>
      </c>
      <c r="E13" s="292"/>
      <c r="F13" s="293" t="s">
        <v>42</v>
      </c>
      <c r="G13" s="310" t="s">
        <v>43</v>
      </c>
      <c r="H13" s="311" t="s">
        <v>65</v>
      </c>
      <c r="I13" s="292" t="s">
        <v>45</v>
      </c>
      <c r="J13" s="292" t="s">
        <v>46</v>
      </c>
      <c r="K13" s="303" t="s">
        <v>47</v>
      </c>
    </row>
    <row r="14" spans="1:17" ht="12">
      <c r="A14" s="290">
        <v>7295</v>
      </c>
      <c r="B14" s="291" t="s">
        <v>70</v>
      </c>
      <c r="C14" s="292" t="s">
        <v>71</v>
      </c>
      <c r="D14" s="292" t="s">
        <v>72</v>
      </c>
      <c r="E14" s="292"/>
      <c r="F14" s="293" t="s">
        <v>42</v>
      </c>
      <c r="G14" s="310" t="s">
        <v>57</v>
      </c>
      <c r="H14" s="311" t="s">
        <v>44</v>
      </c>
      <c r="I14" s="292" t="s">
        <v>45</v>
      </c>
      <c r="J14" s="292" t="s">
        <v>46</v>
      </c>
      <c r="K14" s="303" t="s">
        <v>47</v>
      </c>
      <c r="L14" s="26"/>
      <c r="M14" s="26"/>
      <c r="N14" s="26"/>
      <c r="Q14" s="30"/>
    </row>
    <row r="15" spans="1:17" ht="12">
      <c r="A15" s="290">
        <v>29170</v>
      </c>
      <c r="B15" s="291" t="s">
        <v>2393</v>
      </c>
      <c r="C15" s="297" t="s">
        <v>73</v>
      </c>
      <c r="D15" s="297" t="s">
        <v>74</v>
      </c>
      <c r="E15" s="297" t="s">
        <v>2103</v>
      </c>
      <c r="F15" s="293" t="s">
        <v>42</v>
      </c>
      <c r="G15" s="310" t="s">
        <v>51</v>
      </c>
      <c r="H15" s="311"/>
      <c r="I15" s="297" t="s">
        <v>45</v>
      </c>
      <c r="J15" s="297" t="s">
        <v>46</v>
      </c>
      <c r="K15" s="303" t="s">
        <v>47</v>
      </c>
      <c r="L15" s="26"/>
      <c r="M15" s="26"/>
      <c r="N15" s="26"/>
      <c r="Q15" s="30"/>
    </row>
    <row r="16" spans="1:17" ht="12">
      <c r="A16" s="290">
        <v>38592</v>
      </c>
      <c r="B16" s="291" t="s">
        <v>2394</v>
      </c>
      <c r="C16" s="292" t="s">
        <v>2395</v>
      </c>
      <c r="D16" s="292" t="s">
        <v>77</v>
      </c>
      <c r="E16" s="292"/>
      <c r="F16" s="293" t="s">
        <v>48</v>
      </c>
      <c r="G16" s="310" t="s">
        <v>78</v>
      </c>
      <c r="H16" s="311"/>
      <c r="I16" s="292" t="s">
        <v>45</v>
      </c>
      <c r="J16" s="292" t="s">
        <v>46</v>
      </c>
      <c r="K16" s="303" t="s">
        <v>47</v>
      </c>
      <c r="L16" s="26"/>
      <c r="M16" s="26"/>
      <c r="N16" s="26"/>
      <c r="Q16" s="30"/>
    </row>
    <row r="17" spans="1:17" ht="12">
      <c r="A17" s="290">
        <v>38771</v>
      </c>
      <c r="B17" s="291" t="s">
        <v>2027</v>
      </c>
      <c r="C17" s="292" t="s">
        <v>2028</v>
      </c>
      <c r="D17" s="292" t="s">
        <v>2029</v>
      </c>
      <c r="E17" s="292"/>
      <c r="F17" s="293" t="s">
        <v>42</v>
      </c>
      <c r="G17" s="310" t="s">
        <v>93</v>
      </c>
      <c r="H17" s="311" t="s">
        <v>44</v>
      </c>
      <c r="I17" s="292" t="s">
        <v>82</v>
      </c>
      <c r="J17" s="292" t="s">
        <v>83</v>
      </c>
      <c r="K17" s="303" t="s">
        <v>84</v>
      </c>
      <c r="L17" s="26"/>
      <c r="M17" s="26"/>
      <c r="N17" s="26"/>
      <c r="Q17" s="30"/>
    </row>
    <row r="18" spans="1:17" ht="12">
      <c r="A18" s="290">
        <v>38861</v>
      </c>
      <c r="B18" s="291" t="s">
        <v>2326</v>
      </c>
      <c r="C18" s="292" t="s">
        <v>2327</v>
      </c>
      <c r="D18" s="292" t="s">
        <v>807</v>
      </c>
      <c r="E18" s="292"/>
      <c r="F18" s="293" t="s">
        <v>42</v>
      </c>
      <c r="G18" s="310" t="s">
        <v>359</v>
      </c>
      <c r="H18" s="311" t="s">
        <v>103</v>
      </c>
      <c r="I18" s="292" t="s">
        <v>82</v>
      </c>
      <c r="J18" s="292" t="s">
        <v>83</v>
      </c>
      <c r="K18" s="303" t="s">
        <v>84</v>
      </c>
      <c r="L18" s="26"/>
      <c r="M18" s="26"/>
      <c r="N18" s="26"/>
      <c r="Q18" s="30"/>
    </row>
    <row r="19" spans="1:17" ht="12">
      <c r="A19" s="290">
        <v>25917</v>
      </c>
      <c r="B19" s="291" t="s">
        <v>2093</v>
      </c>
      <c r="C19" s="292" t="s">
        <v>2094</v>
      </c>
      <c r="D19" s="292" t="s">
        <v>74</v>
      </c>
      <c r="E19" s="292"/>
      <c r="F19" s="293" t="s">
        <v>42</v>
      </c>
      <c r="G19" s="310" t="s">
        <v>43</v>
      </c>
      <c r="H19" s="311" t="s">
        <v>44</v>
      </c>
      <c r="I19" s="292" t="s">
        <v>82</v>
      </c>
      <c r="J19" s="292" t="s">
        <v>83</v>
      </c>
      <c r="K19" s="303" t="s">
        <v>84</v>
      </c>
      <c r="L19" s="26"/>
      <c r="M19" s="26"/>
      <c r="N19" s="26"/>
      <c r="Q19" s="30"/>
    </row>
    <row r="20" spans="1:17" ht="12">
      <c r="A20" s="290">
        <v>38761</v>
      </c>
      <c r="B20" s="291" t="s">
        <v>1957</v>
      </c>
      <c r="C20" s="292" t="s">
        <v>1958</v>
      </c>
      <c r="D20" s="292" t="s">
        <v>1959</v>
      </c>
      <c r="E20" s="292"/>
      <c r="F20" s="293" t="s">
        <v>42</v>
      </c>
      <c r="G20" s="310" t="s">
        <v>43</v>
      </c>
      <c r="H20" s="311"/>
      <c r="I20" s="292" t="s">
        <v>82</v>
      </c>
      <c r="J20" s="292" t="s">
        <v>83</v>
      </c>
      <c r="K20" s="303" t="s">
        <v>84</v>
      </c>
    </row>
    <row r="21" spans="1:17" ht="12">
      <c r="A21" s="290">
        <v>38855</v>
      </c>
      <c r="B21" s="291" t="s">
        <v>2281</v>
      </c>
      <c r="C21" s="292" t="s">
        <v>2282</v>
      </c>
      <c r="D21" s="292" t="s">
        <v>951</v>
      </c>
      <c r="E21" s="292"/>
      <c r="F21" s="293" t="s">
        <v>42</v>
      </c>
      <c r="G21" s="310" t="s">
        <v>93</v>
      </c>
      <c r="H21" s="311" t="s">
        <v>50</v>
      </c>
      <c r="I21" s="292" t="s">
        <v>82</v>
      </c>
      <c r="J21" s="292" t="s">
        <v>83</v>
      </c>
      <c r="K21" s="303" t="s">
        <v>84</v>
      </c>
    </row>
    <row r="22" spans="1:17" ht="12">
      <c r="A22" s="290">
        <v>38001</v>
      </c>
      <c r="B22" s="291" t="s">
        <v>90</v>
      </c>
      <c r="C22" s="297" t="s">
        <v>91</v>
      </c>
      <c r="D22" s="297" t="s">
        <v>92</v>
      </c>
      <c r="E22" s="297" t="s">
        <v>2103</v>
      </c>
      <c r="F22" s="293" t="s">
        <v>42</v>
      </c>
      <c r="G22" s="310" t="s">
        <v>43</v>
      </c>
      <c r="H22" s="311" t="s">
        <v>179</v>
      </c>
      <c r="I22" s="297" t="s">
        <v>82</v>
      </c>
      <c r="J22" s="297" t="s">
        <v>83</v>
      </c>
      <c r="K22" s="303" t="s">
        <v>84</v>
      </c>
    </row>
    <row r="23" spans="1:17" ht="12">
      <c r="A23" s="290">
        <v>16336</v>
      </c>
      <c r="B23" s="291" t="s">
        <v>94</v>
      </c>
      <c r="C23" s="292" t="s">
        <v>95</v>
      </c>
      <c r="D23" s="292" t="s">
        <v>96</v>
      </c>
      <c r="E23" s="292"/>
      <c r="F23" s="293" t="s">
        <v>42</v>
      </c>
      <c r="G23" s="310" t="s">
        <v>66</v>
      </c>
      <c r="H23" s="311" t="s">
        <v>65</v>
      </c>
      <c r="I23" s="292" t="s">
        <v>82</v>
      </c>
      <c r="J23" s="292" t="s">
        <v>83</v>
      </c>
      <c r="K23" s="303" t="s">
        <v>84</v>
      </c>
    </row>
    <row r="24" spans="1:17" ht="12">
      <c r="A24" s="290">
        <v>38218</v>
      </c>
      <c r="B24" s="291" t="s">
        <v>2396</v>
      </c>
      <c r="C24" s="292" t="s">
        <v>2397</v>
      </c>
      <c r="D24" s="292" t="s">
        <v>98</v>
      </c>
      <c r="E24" s="292"/>
      <c r="F24" s="293" t="s">
        <v>42</v>
      </c>
      <c r="G24" s="298" t="s">
        <v>43</v>
      </c>
      <c r="H24" s="299">
        <v>0</v>
      </c>
      <c r="I24" s="292" t="s">
        <v>82</v>
      </c>
      <c r="J24" s="292" t="s">
        <v>83</v>
      </c>
      <c r="K24" s="303" t="s">
        <v>84</v>
      </c>
    </row>
    <row r="25" spans="1:17" ht="12">
      <c r="A25" s="290">
        <v>38845</v>
      </c>
      <c r="B25" s="291" t="s">
        <v>2104</v>
      </c>
      <c r="C25" s="292" t="s">
        <v>2105</v>
      </c>
      <c r="D25" s="292" t="s">
        <v>2106</v>
      </c>
      <c r="E25" s="292"/>
      <c r="F25" s="293" t="s">
        <v>42</v>
      </c>
      <c r="G25" s="310" t="s">
        <v>88</v>
      </c>
      <c r="H25" s="311" t="s">
        <v>50</v>
      </c>
      <c r="I25" s="292" t="s">
        <v>82</v>
      </c>
      <c r="J25" s="292" t="s">
        <v>83</v>
      </c>
      <c r="K25" s="303" t="s">
        <v>84</v>
      </c>
      <c r="L25" s="26"/>
      <c r="M25" s="26"/>
      <c r="N25" s="26"/>
      <c r="Q25" s="30"/>
    </row>
    <row r="26" spans="1:17" ht="12">
      <c r="A26" s="290">
        <v>38843</v>
      </c>
      <c r="B26" s="291" t="s">
        <v>2107</v>
      </c>
      <c r="C26" s="292" t="s">
        <v>2108</v>
      </c>
      <c r="D26" s="292" t="s">
        <v>2109</v>
      </c>
      <c r="E26" s="292"/>
      <c r="F26" s="293" t="s">
        <v>48</v>
      </c>
      <c r="G26" s="310" t="s">
        <v>774</v>
      </c>
      <c r="H26" s="311" t="s">
        <v>103</v>
      </c>
      <c r="I26" s="292" t="s">
        <v>82</v>
      </c>
      <c r="J26" s="292" t="s">
        <v>83</v>
      </c>
      <c r="K26" s="303" t="s">
        <v>84</v>
      </c>
      <c r="L26" s="26"/>
      <c r="M26" s="26"/>
      <c r="N26" s="26"/>
      <c r="Q26" s="30"/>
    </row>
    <row r="27" spans="1:17" ht="12">
      <c r="A27" s="290">
        <v>38844</v>
      </c>
      <c r="B27" s="291" t="s">
        <v>2110</v>
      </c>
      <c r="C27" s="292" t="s">
        <v>2111</v>
      </c>
      <c r="D27" s="292" t="s">
        <v>667</v>
      </c>
      <c r="E27" s="292"/>
      <c r="F27" s="293" t="s">
        <v>42</v>
      </c>
      <c r="G27" s="310" t="s">
        <v>359</v>
      </c>
      <c r="H27" s="311" t="s">
        <v>44</v>
      </c>
      <c r="I27" s="292" t="s">
        <v>82</v>
      </c>
      <c r="J27" s="292" t="s">
        <v>83</v>
      </c>
      <c r="K27" s="303" t="s">
        <v>84</v>
      </c>
      <c r="L27" s="26"/>
      <c r="M27" s="26"/>
      <c r="N27" s="26"/>
      <c r="Q27" s="30"/>
    </row>
    <row r="28" spans="1:17" ht="12">
      <c r="A28" s="290">
        <v>25691</v>
      </c>
      <c r="B28" s="291" t="s">
        <v>2398</v>
      </c>
      <c r="C28" s="292" t="s">
        <v>2111</v>
      </c>
      <c r="D28" s="292" t="s">
        <v>142</v>
      </c>
      <c r="E28" s="292"/>
      <c r="F28" s="293" t="s">
        <v>42</v>
      </c>
      <c r="G28" s="310" t="s">
        <v>66</v>
      </c>
      <c r="H28" s="311" t="s">
        <v>44</v>
      </c>
      <c r="I28" s="292" t="s">
        <v>82</v>
      </c>
      <c r="J28" s="292" t="s">
        <v>83</v>
      </c>
      <c r="K28" s="303" t="s">
        <v>84</v>
      </c>
      <c r="L28" s="26"/>
      <c r="M28" s="26"/>
      <c r="N28" s="26"/>
      <c r="Q28" s="30"/>
    </row>
    <row r="29" spans="1:17" ht="12">
      <c r="A29" s="290">
        <v>38902</v>
      </c>
      <c r="B29" s="291" t="s">
        <v>2399</v>
      </c>
      <c r="C29" s="292" t="s">
        <v>2400</v>
      </c>
      <c r="D29" s="292" t="s">
        <v>1376</v>
      </c>
      <c r="E29" s="292"/>
      <c r="F29" s="293" t="s">
        <v>42</v>
      </c>
      <c r="G29" s="310" t="s">
        <v>43</v>
      </c>
      <c r="H29" s="311"/>
      <c r="I29" s="292" t="s">
        <v>82</v>
      </c>
      <c r="J29" s="292" t="s">
        <v>83</v>
      </c>
      <c r="K29" s="303" t="s">
        <v>84</v>
      </c>
      <c r="L29" s="26"/>
      <c r="M29" s="26"/>
      <c r="N29" s="26"/>
      <c r="Q29" s="30"/>
    </row>
    <row r="30" spans="1:17" ht="12">
      <c r="A30" s="290">
        <v>28367</v>
      </c>
      <c r="B30" s="291" t="s">
        <v>1635</v>
      </c>
      <c r="C30" s="292" t="s">
        <v>499</v>
      </c>
      <c r="D30" s="292" t="s">
        <v>52</v>
      </c>
      <c r="E30" s="292"/>
      <c r="F30" s="293" t="s">
        <v>42</v>
      </c>
      <c r="G30" s="310" t="s">
        <v>43</v>
      </c>
      <c r="H30" s="311" t="s">
        <v>238</v>
      </c>
      <c r="I30" s="292" t="s">
        <v>82</v>
      </c>
      <c r="J30" s="292" t="s">
        <v>83</v>
      </c>
      <c r="K30" s="303" t="s">
        <v>84</v>
      </c>
      <c r="L30" s="26"/>
      <c r="M30" s="26"/>
      <c r="N30" s="26"/>
      <c r="Q30" s="30"/>
    </row>
    <row r="31" spans="1:17" ht="12">
      <c r="A31" s="290">
        <v>25005</v>
      </c>
      <c r="B31" s="291" t="s">
        <v>547</v>
      </c>
      <c r="C31" s="292" t="s">
        <v>548</v>
      </c>
      <c r="D31" s="292" t="s">
        <v>549</v>
      </c>
      <c r="E31" s="292"/>
      <c r="F31" s="293" t="s">
        <v>42</v>
      </c>
      <c r="G31" s="310" t="s">
        <v>66</v>
      </c>
      <c r="H31" s="311" t="s">
        <v>65</v>
      </c>
      <c r="I31" s="292" t="s">
        <v>82</v>
      </c>
      <c r="J31" s="292" t="s">
        <v>83</v>
      </c>
      <c r="K31" s="303" t="s">
        <v>84</v>
      </c>
    </row>
    <row r="32" spans="1:17" ht="12">
      <c r="A32" s="290">
        <v>38893</v>
      </c>
      <c r="B32" s="291" t="s">
        <v>2401</v>
      </c>
      <c r="C32" s="292" t="s">
        <v>2402</v>
      </c>
      <c r="D32" s="292" t="s">
        <v>2403</v>
      </c>
      <c r="E32" s="292"/>
      <c r="F32" s="293" t="s">
        <v>42</v>
      </c>
      <c r="G32" s="310" t="s">
        <v>2052</v>
      </c>
      <c r="H32" s="311"/>
      <c r="I32" s="292" t="s">
        <v>82</v>
      </c>
      <c r="J32" s="292" t="s">
        <v>83</v>
      </c>
      <c r="K32" s="303" t="s">
        <v>84</v>
      </c>
      <c r="L32" s="26"/>
      <c r="M32" s="26"/>
      <c r="N32" s="26"/>
      <c r="Q32" s="30"/>
    </row>
    <row r="33" spans="1:17" ht="12">
      <c r="A33" s="290">
        <v>7646</v>
      </c>
      <c r="B33" s="291" t="s">
        <v>99</v>
      </c>
      <c r="C33" s="292" t="s">
        <v>100</v>
      </c>
      <c r="D33" s="292" t="s">
        <v>86</v>
      </c>
      <c r="E33" s="292"/>
      <c r="F33" s="293" t="s">
        <v>42</v>
      </c>
      <c r="G33" s="310" t="s">
        <v>66</v>
      </c>
      <c r="H33" s="311" t="s">
        <v>65</v>
      </c>
      <c r="I33" s="292" t="s">
        <v>82</v>
      </c>
      <c r="J33" s="292" t="s">
        <v>83</v>
      </c>
      <c r="K33" s="303" t="s">
        <v>84</v>
      </c>
      <c r="L33" s="26"/>
      <c r="M33" s="26"/>
      <c r="N33" s="26"/>
      <c r="Q33" s="30"/>
    </row>
    <row r="34" spans="1:17" ht="12">
      <c r="A34" s="290">
        <v>25690</v>
      </c>
      <c r="B34" s="291" t="s">
        <v>1143</v>
      </c>
      <c r="C34" s="292" t="s">
        <v>1144</v>
      </c>
      <c r="D34" s="292" t="s">
        <v>92</v>
      </c>
      <c r="E34" s="292"/>
      <c r="F34" s="293" t="s">
        <v>42</v>
      </c>
      <c r="G34" s="310" t="s">
        <v>43</v>
      </c>
      <c r="H34" s="311" t="s">
        <v>179</v>
      </c>
      <c r="I34" s="292" t="s">
        <v>82</v>
      </c>
      <c r="J34" s="292" t="s">
        <v>83</v>
      </c>
      <c r="K34" s="303" t="s">
        <v>84</v>
      </c>
      <c r="L34" s="26"/>
      <c r="M34" s="26"/>
      <c r="N34" s="26"/>
      <c r="Q34" s="30"/>
    </row>
    <row r="35" spans="1:17" ht="12">
      <c r="A35" s="290">
        <v>38149</v>
      </c>
      <c r="B35" s="291" t="s">
        <v>101</v>
      </c>
      <c r="C35" s="292" t="s">
        <v>102</v>
      </c>
      <c r="D35" s="292" t="s">
        <v>64</v>
      </c>
      <c r="E35" s="292"/>
      <c r="F35" s="293" t="s">
        <v>42</v>
      </c>
      <c r="G35" s="310" t="s">
        <v>51</v>
      </c>
      <c r="H35" s="311" t="s">
        <v>50</v>
      </c>
      <c r="I35" s="292" t="s">
        <v>82</v>
      </c>
      <c r="J35" s="292" t="s">
        <v>83</v>
      </c>
      <c r="K35" s="303" t="s">
        <v>84</v>
      </c>
    </row>
    <row r="36" spans="1:17" ht="12">
      <c r="A36" s="290">
        <v>38772</v>
      </c>
      <c r="B36" s="291" t="s">
        <v>2030</v>
      </c>
      <c r="C36" s="292" t="s">
        <v>2031</v>
      </c>
      <c r="D36" s="292" t="s">
        <v>81</v>
      </c>
      <c r="E36" s="292"/>
      <c r="F36" s="293" t="s">
        <v>42</v>
      </c>
      <c r="G36" s="310" t="s">
        <v>359</v>
      </c>
      <c r="H36" s="311" t="s">
        <v>103</v>
      </c>
      <c r="I36" s="292" t="s">
        <v>82</v>
      </c>
      <c r="J36" s="292" t="s">
        <v>83</v>
      </c>
      <c r="K36" s="303" t="s">
        <v>84</v>
      </c>
      <c r="L36" s="26"/>
      <c r="M36" s="26"/>
      <c r="N36" s="26"/>
      <c r="Q36" s="30"/>
    </row>
    <row r="37" spans="1:17" ht="12">
      <c r="A37" s="290">
        <v>38729</v>
      </c>
      <c r="B37" s="291" t="s">
        <v>1869</v>
      </c>
      <c r="C37" s="292" t="s">
        <v>1870</v>
      </c>
      <c r="D37" s="292" t="s">
        <v>667</v>
      </c>
      <c r="E37" s="292"/>
      <c r="F37" s="293" t="s">
        <v>42</v>
      </c>
      <c r="G37" s="310" t="s">
        <v>43</v>
      </c>
      <c r="H37" s="311" t="s">
        <v>65</v>
      </c>
      <c r="I37" s="292" t="s">
        <v>82</v>
      </c>
      <c r="J37" s="292" t="s">
        <v>83</v>
      </c>
      <c r="K37" s="303" t="s">
        <v>84</v>
      </c>
    </row>
    <row r="38" spans="1:17" ht="12">
      <c r="A38" s="290">
        <v>25829</v>
      </c>
      <c r="B38" s="291" t="s">
        <v>109</v>
      </c>
      <c r="C38" s="292" t="s">
        <v>110</v>
      </c>
      <c r="D38" s="292" t="s">
        <v>111</v>
      </c>
      <c r="E38" s="292"/>
      <c r="F38" s="293" t="s">
        <v>42</v>
      </c>
      <c r="G38" s="310" t="s">
        <v>66</v>
      </c>
      <c r="H38" s="311" t="s">
        <v>44</v>
      </c>
      <c r="I38" s="292" t="s">
        <v>82</v>
      </c>
      <c r="J38" s="292" t="s">
        <v>83</v>
      </c>
      <c r="K38" s="303" t="s">
        <v>84</v>
      </c>
    </row>
    <row r="39" spans="1:17" ht="12">
      <c r="A39" s="290">
        <v>38352</v>
      </c>
      <c r="B39" s="291" t="s">
        <v>122</v>
      </c>
      <c r="C39" s="292" t="s">
        <v>123</v>
      </c>
      <c r="D39" s="292" t="s">
        <v>124</v>
      </c>
      <c r="E39" s="292"/>
      <c r="F39" s="293" t="s">
        <v>42</v>
      </c>
      <c r="G39" s="294" t="s">
        <v>66</v>
      </c>
      <c r="H39" s="295">
        <v>0</v>
      </c>
      <c r="I39" s="292" t="s">
        <v>125</v>
      </c>
      <c r="J39" s="292" t="s">
        <v>126</v>
      </c>
      <c r="K39" s="303" t="s">
        <v>127</v>
      </c>
    </row>
    <row r="40" spans="1:17" ht="12">
      <c r="A40" s="290">
        <v>38540</v>
      </c>
      <c r="B40" s="291" t="s">
        <v>129</v>
      </c>
      <c r="C40" s="292" t="s">
        <v>130</v>
      </c>
      <c r="D40" s="292" t="s">
        <v>131</v>
      </c>
      <c r="E40" s="292"/>
      <c r="F40" s="293" t="s">
        <v>42</v>
      </c>
      <c r="G40" s="310" t="s">
        <v>43</v>
      </c>
      <c r="H40" s="311"/>
      <c r="I40" s="292" t="s">
        <v>125</v>
      </c>
      <c r="J40" s="292" t="s">
        <v>126</v>
      </c>
      <c r="K40" s="303" t="s">
        <v>127</v>
      </c>
    </row>
    <row r="41" spans="1:17" ht="12">
      <c r="A41" s="290">
        <v>38539</v>
      </c>
      <c r="B41" s="291" t="s">
        <v>150</v>
      </c>
      <c r="C41" s="292" t="s">
        <v>130</v>
      </c>
      <c r="D41" s="292" t="s">
        <v>151</v>
      </c>
      <c r="E41" s="292"/>
      <c r="F41" s="293" t="s">
        <v>48</v>
      </c>
      <c r="G41" s="310" t="s">
        <v>78</v>
      </c>
      <c r="H41" s="311"/>
      <c r="I41" s="292" t="s">
        <v>125</v>
      </c>
      <c r="J41" s="292" t="s">
        <v>126</v>
      </c>
      <c r="K41" s="303" t="s">
        <v>127</v>
      </c>
      <c r="L41" s="26"/>
      <c r="M41" s="26"/>
      <c r="N41" s="26"/>
      <c r="Q41" s="30"/>
    </row>
    <row r="42" spans="1:17" ht="12">
      <c r="A42" s="290">
        <v>25359</v>
      </c>
      <c r="B42" s="291" t="s">
        <v>132</v>
      </c>
      <c r="C42" s="292" t="s">
        <v>133</v>
      </c>
      <c r="D42" s="292" t="s">
        <v>134</v>
      </c>
      <c r="E42" s="292"/>
      <c r="F42" s="293" t="s">
        <v>42</v>
      </c>
      <c r="G42" s="294" t="s">
        <v>43</v>
      </c>
      <c r="H42" s="295">
        <v>0</v>
      </c>
      <c r="I42" s="292" t="s">
        <v>125</v>
      </c>
      <c r="J42" s="292" t="s">
        <v>126</v>
      </c>
      <c r="K42" s="303" t="s">
        <v>127</v>
      </c>
    </row>
    <row r="43" spans="1:17" ht="12">
      <c r="A43" s="290">
        <v>25965</v>
      </c>
      <c r="B43" s="291">
        <v>9111296</v>
      </c>
      <c r="C43" s="292" t="s">
        <v>136</v>
      </c>
      <c r="D43" s="292" t="s">
        <v>137</v>
      </c>
      <c r="E43" s="292"/>
      <c r="F43" s="293" t="s">
        <v>48</v>
      </c>
      <c r="G43" s="310" t="s">
        <v>49</v>
      </c>
      <c r="H43" s="311" t="s">
        <v>103</v>
      </c>
      <c r="I43" s="292" t="s">
        <v>125</v>
      </c>
      <c r="J43" s="292" t="s">
        <v>126</v>
      </c>
      <c r="K43" s="303" t="s">
        <v>127</v>
      </c>
    </row>
    <row r="44" spans="1:17" ht="12">
      <c r="A44" s="290">
        <v>38425</v>
      </c>
      <c r="B44" s="291" t="s">
        <v>140</v>
      </c>
      <c r="C44" s="292" t="s">
        <v>141</v>
      </c>
      <c r="D44" s="292" t="s">
        <v>142</v>
      </c>
      <c r="E44" s="292"/>
      <c r="F44" s="293" t="s">
        <v>42</v>
      </c>
      <c r="G44" s="310" t="s">
        <v>51</v>
      </c>
      <c r="H44" s="311" t="s">
        <v>103</v>
      </c>
      <c r="I44" s="292" t="s">
        <v>125</v>
      </c>
      <c r="J44" s="292" t="s">
        <v>126</v>
      </c>
      <c r="K44" s="303" t="s">
        <v>127</v>
      </c>
      <c r="L44" s="26"/>
      <c r="M44" s="26"/>
      <c r="N44" s="26"/>
      <c r="Q44" s="30"/>
    </row>
    <row r="45" spans="1:17" ht="12">
      <c r="A45" s="290">
        <v>38369</v>
      </c>
      <c r="B45" s="291" t="s">
        <v>143</v>
      </c>
      <c r="C45" s="297" t="s">
        <v>144</v>
      </c>
      <c r="D45" s="297" t="s">
        <v>72</v>
      </c>
      <c r="E45" s="297" t="s">
        <v>2103</v>
      </c>
      <c r="F45" s="293" t="s">
        <v>42</v>
      </c>
      <c r="G45" s="310" t="s">
        <v>51</v>
      </c>
      <c r="H45" s="311" t="s">
        <v>103</v>
      </c>
      <c r="I45" s="297" t="s">
        <v>125</v>
      </c>
      <c r="J45" s="292" t="s">
        <v>126</v>
      </c>
      <c r="K45" s="303" t="s">
        <v>127</v>
      </c>
    </row>
    <row r="46" spans="1:17" ht="12">
      <c r="A46" s="290">
        <v>16165</v>
      </c>
      <c r="B46" s="291" t="s">
        <v>145</v>
      </c>
      <c r="C46" s="292" t="s">
        <v>146</v>
      </c>
      <c r="D46" s="292" t="s">
        <v>147</v>
      </c>
      <c r="E46" s="292"/>
      <c r="F46" s="293" t="s">
        <v>48</v>
      </c>
      <c r="G46" s="310" t="s">
        <v>227</v>
      </c>
      <c r="H46" s="311"/>
      <c r="I46" s="292" t="s">
        <v>125</v>
      </c>
      <c r="J46" s="292" t="s">
        <v>126</v>
      </c>
      <c r="K46" s="303" t="s">
        <v>127</v>
      </c>
    </row>
    <row r="47" spans="1:17" ht="12">
      <c r="A47" s="290">
        <v>38134</v>
      </c>
      <c r="B47" s="291" t="s">
        <v>148</v>
      </c>
      <c r="C47" s="292" t="s">
        <v>142</v>
      </c>
      <c r="D47" s="292" t="s">
        <v>149</v>
      </c>
      <c r="E47" s="292"/>
      <c r="F47" s="293" t="s">
        <v>42</v>
      </c>
      <c r="G47" s="310" t="s">
        <v>43</v>
      </c>
      <c r="H47" s="311" t="s">
        <v>44</v>
      </c>
      <c r="I47" s="292" t="s">
        <v>125</v>
      </c>
      <c r="J47" s="292" t="s">
        <v>126</v>
      </c>
      <c r="K47" s="303" t="s">
        <v>127</v>
      </c>
    </row>
    <row r="48" spans="1:17" ht="12">
      <c r="A48" s="290">
        <v>25378</v>
      </c>
      <c r="B48" s="291" t="s">
        <v>156</v>
      </c>
      <c r="C48" s="292" t="s">
        <v>157</v>
      </c>
      <c r="D48" s="292" t="s">
        <v>158</v>
      </c>
      <c r="E48" s="292"/>
      <c r="F48" s="293" t="s">
        <v>48</v>
      </c>
      <c r="G48" s="310" t="s">
        <v>78</v>
      </c>
      <c r="H48" s="311"/>
      <c r="I48" s="292" t="s">
        <v>153</v>
      </c>
      <c r="J48" s="292" t="s">
        <v>154</v>
      </c>
      <c r="K48" s="303" t="s">
        <v>155</v>
      </c>
    </row>
    <row r="49" spans="1:17" ht="12">
      <c r="A49" s="290">
        <v>38490</v>
      </c>
      <c r="B49" s="291" t="s">
        <v>159</v>
      </c>
      <c r="C49" s="297" t="s">
        <v>160</v>
      </c>
      <c r="D49" s="297" t="s">
        <v>76</v>
      </c>
      <c r="E49" s="297" t="s">
        <v>2103</v>
      </c>
      <c r="F49" s="293" t="s">
        <v>48</v>
      </c>
      <c r="G49" s="310" t="s">
        <v>138</v>
      </c>
      <c r="H49" s="311" t="s">
        <v>103</v>
      </c>
      <c r="I49" s="297" t="s">
        <v>153</v>
      </c>
      <c r="J49" s="297" t="s">
        <v>154</v>
      </c>
      <c r="K49" s="303" t="s">
        <v>155</v>
      </c>
      <c r="L49" s="26"/>
      <c r="M49" s="26"/>
      <c r="N49" s="26"/>
      <c r="Q49" s="30"/>
    </row>
    <row r="50" spans="1:17" ht="12">
      <c r="A50" s="290">
        <v>7265</v>
      </c>
      <c r="B50" s="291" t="s">
        <v>162</v>
      </c>
      <c r="C50" s="292" t="s">
        <v>163</v>
      </c>
      <c r="D50" s="292" t="s">
        <v>164</v>
      </c>
      <c r="E50" s="292"/>
      <c r="F50" s="293" t="s">
        <v>42</v>
      </c>
      <c r="G50" s="310" t="s">
        <v>51</v>
      </c>
      <c r="H50" s="311" t="s">
        <v>44</v>
      </c>
      <c r="I50" s="292" t="s">
        <v>153</v>
      </c>
      <c r="J50" s="292" t="s">
        <v>154</v>
      </c>
      <c r="K50" s="303" t="s">
        <v>155</v>
      </c>
      <c r="L50" s="26"/>
      <c r="M50" s="26"/>
      <c r="N50" s="26"/>
      <c r="Q50" s="30"/>
    </row>
    <row r="51" spans="1:17" ht="12">
      <c r="A51" s="290">
        <v>25436</v>
      </c>
      <c r="B51" s="291">
        <v>9065975</v>
      </c>
      <c r="C51" s="292" t="s">
        <v>165</v>
      </c>
      <c r="D51" s="292" t="s">
        <v>166</v>
      </c>
      <c r="E51" s="292"/>
      <c r="F51" s="293" t="s">
        <v>48</v>
      </c>
      <c r="G51" s="310" t="s">
        <v>138</v>
      </c>
      <c r="H51" s="311" t="s">
        <v>44</v>
      </c>
      <c r="I51" s="292" t="s">
        <v>153</v>
      </c>
      <c r="J51" s="292" t="s">
        <v>154</v>
      </c>
      <c r="K51" s="303" t="s">
        <v>155</v>
      </c>
      <c r="L51" s="26"/>
      <c r="M51" s="26"/>
      <c r="N51" s="26"/>
      <c r="Q51" s="30"/>
    </row>
    <row r="52" spans="1:17" ht="12">
      <c r="A52" s="290">
        <v>16897</v>
      </c>
      <c r="B52" s="291">
        <v>9019450</v>
      </c>
      <c r="C52" s="297" t="s">
        <v>165</v>
      </c>
      <c r="D52" s="297" t="s">
        <v>116</v>
      </c>
      <c r="E52" s="297" t="s">
        <v>2103</v>
      </c>
      <c r="F52" s="293" t="s">
        <v>42</v>
      </c>
      <c r="G52" s="310" t="s">
        <v>66</v>
      </c>
      <c r="H52" s="311" t="s">
        <v>44</v>
      </c>
      <c r="I52" s="297" t="s">
        <v>153</v>
      </c>
      <c r="J52" s="297" t="s">
        <v>154</v>
      </c>
      <c r="K52" s="303" t="s">
        <v>155</v>
      </c>
      <c r="L52" s="26"/>
      <c r="M52" s="26"/>
      <c r="N52" s="26"/>
      <c r="Q52" s="30"/>
    </row>
    <row r="53" spans="1:17" ht="12">
      <c r="A53" s="290">
        <v>25760</v>
      </c>
      <c r="B53" s="291">
        <v>9099239</v>
      </c>
      <c r="C53" s="297" t="s">
        <v>167</v>
      </c>
      <c r="D53" s="297" t="s">
        <v>168</v>
      </c>
      <c r="E53" s="297" t="s">
        <v>2103</v>
      </c>
      <c r="F53" s="293" t="s">
        <v>42</v>
      </c>
      <c r="G53" s="310" t="s">
        <v>43</v>
      </c>
      <c r="H53" s="311" t="s">
        <v>65</v>
      </c>
      <c r="I53" s="297" t="s">
        <v>153</v>
      </c>
      <c r="J53" s="297" t="s">
        <v>154</v>
      </c>
      <c r="K53" s="303" t="s">
        <v>155</v>
      </c>
      <c r="L53" s="26"/>
      <c r="M53" s="26"/>
      <c r="N53" s="26"/>
      <c r="Q53" s="30"/>
    </row>
    <row r="54" spans="1:17" ht="12">
      <c r="A54" s="290">
        <v>7286</v>
      </c>
      <c r="B54" s="291" t="s">
        <v>169</v>
      </c>
      <c r="C54" s="292" t="s">
        <v>170</v>
      </c>
      <c r="D54" s="292" t="s">
        <v>72</v>
      </c>
      <c r="E54" s="292"/>
      <c r="F54" s="293" t="s">
        <v>42</v>
      </c>
      <c r="G54" s="310" t="s">
        <v>51</v>
      </c>
      <c r="H54" s="311" t="s">
        <v>50</v>
      </c>
      <c r="I54" s="292" t="s">
        <v>153</v>
      </c>
      <c r="J54" s="292" t="s">
        <v>154</v>
      </c>
      <c r="K54" s="303" t="s">
        <v>155</v>
      </c>
      <c r="L54" s="26"/>
      <c r="M54" s="26"/>
      <c r="N54" s="26"/>
      <c r="Q54" s="30"/>
    </row>
    <row r="55" spans="1:17" ht="12">
      <c r="A55" s="290">
        <v>7283</v>
      </c>
      <c r="B55" s="291" t="s">
        <v>171</v>
      </c>
      <c r="C55" s="292" t="s">
        <v>172</v>
      </c>
      <c r="D55" s="292" t="s">
        <v>116</v>
      </c>
      <c r="E55" s="292"/>
      <c r="F55" s="293" t="s">
        <v>42</v>
      </c>
      <c r="G55" s="310" t="s">
        <v>51</v>
      </c>
      <c r="H55" s="311" t="s">
        <v>44</v>
      </c>
      <c r="I55" s="292" t="s">
        <v>153</v>
      </c>
      <c r="J55" s="292" t="s">
        <v>154</v>
      </c>
      <c r="K55" s="303" t="s">
        <v>155</v>
      </c>
      <c r="L55" s="26"/>
      <c r="M55" s="26"/>
      <c r="N55" s="26"/>
      <c r="Q55" s="30"/>
    </row>
    <row r="56" spans="1:17" ht="12">
      <c r="A56" s="290">
        <v>7282</v>
      </c>
      <c r="B56" s="291" t="s">
        <v>173</v>
      </c>
      <c r="C56" s="292" t="s">
        <v>174</v>
      </c>
      <c r="D56" s="292" t="s">
        <v>175</v>
      </c>
      <c r="E56" s="292"/>
      <c r="F56" s="293" t="s">
        <v>42</v>
      </c>
      <c r="G56" s="310" t="s">
        <v>51</v>
      </c>
      <c r="H56" s="311" t="s">
        <v>50</v>
      </c>
      <c r="I56" s="292" t="s">
        <v>153</v>
      </c>
      <c r="J56" s="292" t="s">
        <v>154</v>
      </c>
      <c r="K56" s="303" t="s">
        <v>155</v>
      </c>
      <c r="L56" s="26"/>
      <c r="M56" s="26"/>
      <c r="N56" s="26"/>
      <c r="Q56" s="30"/>
    </row>
    <row r="57" spans="1:17" ht="12">
      <c r="A57" s="290">
        <v>38930</v>
      </c>
      <c r="B57" s="291" t="s">
        <v>2404</v>
      </c>
      <c r="C57" s="292" t="s">
        <v>2405</v>
      </c>
      <c r="D57" s="292" t="s">
        <v>264</v>
      </c>
      <c r="E57" s="292"/>
      <c r="F57" s="293" t="s">
        <v>42</v>
      </c>
      <c r="G57" s="310" t="s">
        <v>66</v>
      </c>
      <c r="H57" s="311">
        <v>0</v>
      </c>
      <c r="I57" s="292" t="s">
        <v>153</v>
      </c>
      <c r="J57" s="292" t="s">
        <v>154</v>
      </c>
      <c r="K57" s="303" t="s">
        <v>155</v>
      </c>
      <c r="L57" s="26"/>
      <c r="M57" s="26"/>
      <c r="N57" s="26"/>
      <c r="Q57" s="30"/>
    </row>
    <row r="58" spans="1:17" ht="12">
      <c r="A58" s="290">
        <v>38886</v>
      </c>
      <c r="B58" s="291" t="s">
        <v>2336</v>
      </c>
      <c r="C58" s="292" t="s">
        <v>152</v>
      </c>
      <c r="D58" s="292" t="s">
        <v>149</v>
      </c>
      <c r="E58" s="292"/>
      <c r="F58" s="293" t="s">
        <v>42</v>
      </c>
      <c r="G58" s="310" t="s">
        <v>93</v>
      </c>
      <c r="H58" s="311" t="s">
        <v>44</v>
      </c>
      <c r="I58" s="292" t="s">
        <v>176</v>
      </c>
      <c r="J58" s="292" t="s">
        <v>154</v>
      </c>
      <c r="K58" s="303" t="s">
        <v>155</v>
      </c>
    </row>
    <row r="59" spans="1:17" ht="12">
      <c r="A59" s="290">
        <v>25761</v>
      </c>
      <c r="B59" s="291">
        <v>9091544</v>
      </c>
      <c r="C59" s="292" t="s">
        <v>177</v>
      </c>
      <c r="D59" s="292" t="s">
        <v>178</v>
      </c>
      <c r="E59" s="292"/>
      <c r="F59" s="293" t="s">
        <v>42</v>
      </c>
      <c r="G59" s="310" t="s">
        <v>43</v>
      </c>
      <c r="H59" s="311" t="s">
        <v>65</v>
      </c>
      <c r="I59" s="292" t="s">
        <v>176</v>
      </c>
      <c r="J59" s="292" t="s">
        <v>154</v>
      </c>
      <c r="K59" s="303" t="s">
        <v>155</v>
      </c>
      <c r="L59" s="26"/>
      <c r="M59" s="26"/>
      <c r="N59" s="26"/>
      <c r="Q59" s="30"/>
    </row>
    <row r="60" spans="1:17" ht="12">
      <c r="A60" s="290">
        <v>38082</v>
      </c>
      <c r="B60" s="291" t="s">
        <v>180</v>
      </c>
      <c r="C60" s="292" t="s">
        <v>181</v>
      </c>
      <c r="D60" s="292" t="s">
        <v>92</v>
      </c>
      <c r="E60" s="292"/>
      <c r="F60" s="293" t="s">
        <v>42</v>
      </c>
      <c r="G60" s="310" t="s">
        <v>43</v>
      </c>
      <c r="H60" s="311" t="s">
        <v>44</v>
      </c>
      <c r="I60" s="292" t="s">
        <v>176</v>
      </c>
      <c r="J60" s="292" t="s">
        <v>154</v>
      </c>
      <c r="K60" s="303" t="s">
        <v>155</v>
      </c>
      <c r="L60" s="26"/>
      <c r="M60" s="26"/>
      <c r="N60" s="26"/>
      <c r="Q60" s="30"/>
    </row>
    <row r="61" spans="1:17" ht="12">
      <c r="A61" s="290">
        <v>38885</v>
      </c>
      <c r="B61" s="291" t="s">
        <v>2406</v>
      </c>
      <c r="C61" s="292" t="s">
        <v>2407</v>
      </c>
      <c r="D61" s="292" t="s">
        <v>131</v>
      </c>
      <c r="E61" s="292"/>
      <c r="F61" s="293" t="s">
        <v>42</v>
      </c>
      <c r="G61" s="310" t="s">
        <v>43</v>
      </c>
      <c r="H61" s="311"/>
      <c r="I61" s="292" t="s">
        <v>176</v>
      </c>
      <c r="J61" s="292" t="s">
        <v>154</v>
      </c>
      <c r="K61" s="303" t="s">
        <v>155</v>
      </c>
      <c r="L61" s="26"/>
      <c r="M61" s="26"/>
      <c r="N61" s="26"/>
      <c r="Q61" s="30"/>
    </row>
    <row r="62" spans="1:17" ht="12">
      <c r="A62" s="290">
        <v>25932</v>
      </c>
      <c r="B62" s="291">
        <v>9111565</v>
      </c>
      <c r="C62" s="292" t="s">
        <v>182</v>
      </c>
      <c r="D62" s="292" t="s">
        <v>183</v>
      </c>
      <c r="E62" s="292"/>
      <c r="F62" s="293" t="s">
        <v>42</v>
      </c>
      <c r="G62" s="310" t="s">
        <v>43</v>
      </c>
      <c r="H62" s="311" t="s">
        <v>65</v>
      </c>
      <c r="I62" s="292" t="s">
        <v>176</v>
      </c>
      <c r="J62" s="292" t="s">
        <v>154</v>
      </c>
      <c r="K62" s="303" t="s">
        <v>155</v>
      </c>
      <c r="L62" s="26"/>
      <c r="M62" s="26"/>
      <c r="N62" s="26"/>
      <c r="Q62" s="30"/>
    </row>
    <row r="63" spans="1:17" ht="12">
      <c r="A63" s="290">
        <v>25044</v>
      </c>
      <c r="B63" s="291" t="s">
        <v>184</v>
      </c>
      <c r="C63" s="292" t="s">
        <v>59</v>
      </c>
      <c r="D63" s="292" t="s">
        <v>183</v>
      </c>
      <c r="E63" s="292"/>
      <c r="F63" s="293" t="s">
        <v>42</v>
      </c>
      <c r="G63" s="310" t="s">
        <v>66</v>
      </c>
      <c r="H63" s="311" t="s">
        <v>179</v>
      </c>
      <c r="I63" s="292" t="s">
        <v>176</v>
      </c>
      <c r="J63" s="292" t="s">
        <v>154</v>
      </c>
      <c r="K63" s="303" t="s">
        <v>155</v>
      </c>
    </row>
    <row r="64" spans="1:17" ht="12">
      <c r="A64" s="290">
        <v>38683</v>
      </c>
      <c r="B64" s="291" t="s">
        <v>185</v>
      </c>
      <c r="C64" s="292" t="s">
        <v>170</v>
      </c>
      <c r="D64" s="292" t="s">
        <v>186</v>
      </c>
      <c r="E64" s="292"/>
      <c r="F64" s="293" t="s">
        <v>42</v>
      </c>
      <c r="G64" s="310" t="s">
        <v>66</v>
      </c>
      <c r="H64" s="311" t="s">
        <v>44</v>
      </c>
      <c r="I64" s="292" t="s">
        <v>176</v>
      </c>
      <c r="J64" s="292" t="s">
        <v>154</v>
      </c>
      <c r="K64" s="303" t="s">
        <v>155</v>
      </c>
    </row>
    <row r="65" spans="1:11" ht="12">
      <c r="A65" s="290">
        <v>25519</v>
      </c>
      <c r="B65" s="291">
        <v>9059995</v>
      </c>
      <c r="C65" s="292" t="s">
        <v>187</v>
      </c>
      <c r="D65" s="292" t="s">
        <v>98</v>
      </c>
      <c r="E65" s="292"/>
      <c r="F65" s="293" t="s">
        <v>42</v>
      </c>
      <c r="G65" s="310" t="s">
        <v>43</v>
      </c>
      <c r="H65" s="311" t="s">
        <v>179</v>
      </c>
      <c r="I65" s="292" t="s">
        <v>176</v>
      </c>
      <c r="J65" s="292" t="s">
        <v>154</v>
      </c>
      <c r="K65" s="303" t="s">
        <v>155</v>
      </c>
    </row>
    <row r="66" spans="1:11" ht="12">
      <c r="A66" s="290">
        <v>25521</v>
      </c>
      <c r="B66" s="291" t="s">
        <v>188</v>
      </c>
      <c r="C66" s="292" t="s">
        <v>189</v>
      </c>
      <c r="D66" s="292" t="s">
        <v>190</v>
      </c>
      <c r="E66" s="292"/>
      <c r="F66" s="293" t="s">
        <v>42</v>
      </c>
      <c r="G66" s="310" t="s">
        <v>43</v>
      </c>
      <c r="H66" s="311" t="s">
        <v>238</v>
      </c>
      <c r="I66" s="292" t="s">
        <v>176</v>
      </c>
      <c r="J66" s="292" t="s">
        <v>154</v>
      </c>
      <c r="K66" s="303" t="s">
        <v>155</v>
      </c>
    </row>
    <row r="67" spans="1:11" ht="12">
      <c r="A67" s="290">
        <v>25973</v>
      </c>
      <c r="B67" s="291" t="s">
        <v>192</v>
      </c>
      <c r="C67" s="297" t="s">
        <v>193</v>
      </c>
      <c r="D67" s="297" t="s">
        <v>194</v>
      </c>
      <c r="E67" s="297" t="s">
        <v>2103</v>
      </c>
      <c r="F67" s="293" t="s">
        <v>42</v>
      </c>
      <c r="G67" s="310" t="s">
        <v>43</v>
      </c>
      <c r="H67" s="311" t="s">
        <v>44</v>
      </c>
      <c r="I67" s="297" t="s">
        <v>176</v>
      </c>
      <c r="J67" s="297" t="s">
        <v>154</v>
      </c>
      <c r="K67" s="303" t="s">
        <v>155</v>
      </c>
    </row>
    <row r="68" spans="1:11" ht="12">
      <c r="A68" s="290">
        <v>16854</v>
      </c>
      <c r="B68" s="291" t="s">
        <v>195</v>
      </c>
      <c r="C68" s="292" t="s">
        <v>196</v>
      </c>
      <c r="D68" s="292" t="s">
        <v>119</v>
      </c>
      <c r="E68" s="292"/>
      <c r="F68" s="293" t="s">
        <v>42</v>
      </c>
      <c r="G68" s="310" t="s">
        <v>43</v>
      </c>
      <c r="H68" s="311" t="s">
        <v>44</v>
      </c>
      <c r="I68" s="292" t="s">
        <v>176</v>
      </c>
      <c r="J68" s="292" t="s">
        <v>154</v>
      </c>
      <c r="K68" s="303" t="s">
        <v>155</v>
      </c>
    </row>
    <row r="69" spans="1:11" ht="12">
      <c r="A69" s="290">
        <v>7279</v>
      </c>
      <c r="B69" s="291" t="s">
        <v>197</v>
      </c>
      <c r="C69" s="292" t="s">
        <v>198</v>
      </c>
      <c r="D69" s="292" t="s">
        <v>199</v>
      </c>
      <c r="E69" s="292"/>
      <c r="F69" s="293" t="s">
        <v>42</v>
      </c>
      <c r="G69" s="310" t="s">
        <v>57</v>
      </c>
      <c r="H69" s="311"/>
      <c r="I69" s="292" t="s">
        <v>176</v>
      </c>
      <c r="J69" s="292" t="s">
        <v>154</v>
      </c>
      <c r="K69" s="303" t="s">
        <v>155</v>
      </c>
    </row>
    <row r="70" spans="1:11" ht="12">
      <c r="A70" s="290">
        <v>16707</v>
      </c>
      <c r="B70" s="291" t="s">
        <v>200</v>
      </c>
      <c r="C70" s="292" t="s">
        <v>201</v>
      </c>
      <c r="D70" s="292" t="s">
        <v>142</v>
      </c>
      <c r="E70" s="292"/>
      <c r="F70" s="293" t="s">
        <v>42</v>
      </c>
      <c r="G70" s="310" t="s">
        <v>66</v>
      </c>
      <c r="H70" s="311" t="s">
        <v>44</v>
      </c>
      <c r="I70" s="297" t="s">
        <v>202</v>
      </c>
      <c r="J70" s="292" t="s">
        <v>203</v>
      </c>
      <c r="K70" s="303" t="s">
        <v>204</v>
      </c>
    </row>
    <row r="71" spans="1:11" ht="12">
      <c r="A71" s="290">
        <v>7714</v>
      </c>
      <c r="B71" s="291" t="s">
        <v>206</v>
      </c>
      <c r="C71" s="292" t="s">
        <v>207</v>
      </c>
      <c r="D71" s="292" t="s">
        <v>142</v>
      </c>
      <c r="E71" s="292"/>
      <c r="F71" s="293" t="s">
        <v>42</v>
      </c>
      <c r="G71" s="310" t="s">
        <v>66</v>
      </c>
      <c r="H71" s="311" t="s">
        <v>44</v>
      </c>
      <c r="I71" s="292" t="s">
        <v>202</v>
      </c>
      <c r="J71" s="292" t="s">
        <v>203</v>
      </c>
      <c r="K71" s="303" t="s">
        <v>204</v>
      </c>
    </row>
    <row r="72" spans="1:11" ht="12">
      <c r="A72" s="290">
        <v>25944</v>
      </c>
      <c r="B72" s="291">
        <v>9111764</v>
      </c>
      <c r="C72" s="297" t="s">
        <v>208</v>
      </c>
      <c r="D72" s="297" t="s">
        <v>209</v>
      </c>
      <c r="E72" s="297" t="s">
        <v>2103</v>
      </c>
      <c r="F72" s="293" t="s">
        <v>42</v>
      </c>
      <c r="G72" s="310" t="s">
        <v>51</v>
      </c>
      <c r="H72" s="311" t="s">
        <v>50</v>
      </c>
      <c r="I72" s="297" t="s">
        <v>202</v>
      </c>
      <c r="J72" s="292" t="s">
        <v>203</v>
      </c>
      <c r="K72" s="303" t="s">
        <v>204</v>
      </c>
    </row>
    <row r="73" spans="1:11" ht="12">
      <c r="A73" s="290">
        <v>25811</v>
      </c>
      <c r="B73" s="291" t="s">
        <v>210</v>
      </c>
      <c r="C73" s="292" t="s">
        <v>211</v>
      </c>
      <c r="D73" s="292" t="s">
        <v>212</v>
      </c>
      <c r="E73" s="292"/>
      <c r="F73" s="293" t="s">
        <v>42</v>
      </c>
      <c r="G73" s="310" t="s">
        <v>43</v>
      </c>
      <c r="H73" s="311" t="s">
        <v>44</v>
      </c>
      <c r="I73" s="292" t="s">
        <v>202</v>
      </c>
      <c r="J73" s="292" t="s">
        <v>203</v>
      </c>
      <c r="K73" s="303" t="s">
        <v>204</v>
      </c>
    </row>
    <row r="74" spans="1:11" ht="12">
      <c r="A74" s="290">
        <v>7761</v>
      </c>
      <c r="B74" s="291" t="s">
        <v>213</v>
      </c>
      <c r="C74" s="292" t="s">
        <v>214</v>
      </c>
      <c r="D74" s="292" t="s">
        <v>72</v>
      </c>
      <c r="E74" s="292"/>
      <c r="F74" s="293" t="s">
        <v>42</v>
      </c>
      <c r="G74" s="310" t="s">
        <v>57</v>
      </c>
      <c r="H74" s="311" t="s">
        <v>50</v>
      </c>
      <c r="I74" s="292" t="s">
        <v>202</v>
      </c>
      <c r="J74" s="292" t="s">
        <v>203</v>
      </c>
      <c r="K74" s="303" t="s">
        <v>204</v>
      </c>
    </row>
    <row r="75" spans="1:11" ht="12">
      <c r="A75" s="290">
        <v>7758</v>
      </c>
      <c r="B75" s="291" t="s">
        <v>215</v>
      </c>
      <c r="C75" s="292" t="s">
        <v>216</v>
      </c>
      <c r="D75" s="292" t="s">
        <v>166</v>
      </c>
      <c r="E75" s="292"/>
      <c r="F75" s="293" t="s">
        <v>48</v>
      </c>
      <c r="G75" s="310" t="s">
        <v>138</v>
      </c>
      <c r="H75" s="311" t="s">
        <v>65</v>
      </c>
      <c r="I75" s="292" t="s">
        <v>217</v>
      </c>
      <c r="J75" s="292" t="s">
        <v>203</v>
      </c>
      <c r="K75" s="303" t="s">
        <v>204</v>
      </c>
    </row>
    <row r="76" spans="1:11" ht="12">
      <c r="A76" s="290">
        <v>7754</v>
      </c>
      <c r="B76" s="291" t="s">
        <v>218</v>
      </c>
      <c r="C76" s="292" t="s">
        <v>219</v>
      </c>
      <c r="D76" s="292" t="s">
        <v>76</v>
      </c>
      <c r="E76" s="292"/>
      <c r="F76" s="293" t="s">
        <v>48</v>
      </c>
      <c r="G76" s="310" t="s">
        <v>49</v>
      </c>
      <c r="H76" s="311" t="s">
        <v>44</v>
      </c>
      <c r="I76" s="292" t="s">
        <v>217</v>
      </c>
      <c r="J76" s="292" t="s">
        <v>203</v>
      </c>
      <c r="K76" s="303" t="s">
        <v>204</v>
      </c>
    </row>
    <row r="77" spans="1:11" ht="12">
      <c r="A77" s="290">
        <v>7753</v>
      </c>
      <c r="B77" s="291" t="s">
        <v>220</v>
      </c>
      <c r="C77" s="292" t="s">
        <v>221</v>
      </c>
      <c r="D77" s="292" t="s">
        <v>222</v>
      </c>
      <c r="E77" s="292"/>
      <c r="F77" s="293" t="s">
        <v>48</v>
      </c>
      <c r="G77" s="310" t="s">
        <v>49</v>
      </c>
      <c r="H77" s="311" t="s">
        <v>65</v>
      </c>
      <c r="I77" s="292" t="s">
        <v>217</v>
      </c>
      <c r="J77" s="292" t="s">
        <v>203</v>
      </c>
      <c r="K77" s="303" t="s">
        <v>204</v>
      </c>
    </row>
    <row r="78" spans="1:11" ht="12">
      <c r="A78" s="290">
        <v>7757</v>
      </c>
      <c r="B78" s="291" t="s">
        <v>223</v>
      </c>
      <c r="C78" s="292" t="s">
        <v>224</v>
      </c>
      <c r="D78" s="292" t="s">
        <v>225</v>
      </c>
      <c r="E78" s="292"/>
      <c r="F78" s="293" t="s">
        <v>48</v>
      </c>
      <c r="G78" s="310" t="s">
        <v>138</v>
      </c>
      <c r="H78" s="311" t="s">
        <v>44</v>
      </c>
      <c r="I78" s="292" t="s">
        <v>217</v>
      </c>
      <c r="J78" s="292" t="s">
        <v>203</v>
      </c>
      <c r="K78" s="303" t="s">
        <v>204</v>
      </c>
    </row>
    <row r="79" spans="1:11" ht="12">
      <c r="A79" s="290">
        <v>7019</v>
      </c>
      <c r="B79" s="291" t="s">
        <v>2408</v>
      </c>
      <c r="C79" s="292" t="s">
        <v>226</v>
      </c>
      <c r="D79" s="292" t="s">
        <v>2409</v>
      </c>
      <c r="E79" s="292"/>
      <c r="F79" s="293" t="s">
        <v>48</v>
      </c>
      <c r="G79" s="298" t="s">
        <v>227</v>
      </c>
      <c r="H79" s="299">
        <v>0</v>
      </c>
      <c r="I79" s="292" t="s">
        <v>217</v>
      </c>
      <c r="J79" s="292" t="s">
        <v>203</v>
      </c>
      <c r="K79" s="303" t="s">
        <v>204</v>
      </c>
    </row>
    <row r="80" spans="1:11" ht="12">
      <c r="A80" s="290">
        <v>38560</v>
      </c>
      <c r="B80" s="291" t="s">
        <v>906</v>
      </c>
      <c r="C80" s="297" t="s">
        <v>907</v>
      </c>
      <c r="D80" s="297" t="s">
        <v>908</v>
      </c>
      <c r="E80" s="297" t="s">
        <v>2103</v>
      </c>
      <c r="F80" s="293" t="s">
        <v>48</v>
      </c>
      <c r="G80" s="310" t="s">
        <v>78</v>
      </c>
      <c r="H80" s="311" t="s">
        <v>65</v>
      </c>
      <c r="I80" s="297" t="s">
        <v>217</v>
      </c>
      <c r="J80" s="297" t="s">
        <v>203</v>
      </c>
      <c r="K80" s="303" t="s">
        <v>204</v>
      </c>
    </row>
    <row r="81" spans="1:17" ht="12">
      <c r="A81" s="290">
        <v>7755</v>
      </c>
      <c r="B81" s="291" t="s">
        <v>1871</v>
      </c>
      <c r="C81" s="292" t="s">
        <v>228</v>
      </c>
      <c r="D81" s="292" t="s">
        <v>229</v>
      </c>
      <c r="E81" s="292"/>
      <c r="F81" s="293" t="s">
        <v>48</v>
      </c>
      <c r="G81" s="294" t="s">
        <v>49</v>
      </c>
      <c r="H81" s="295">
        <v>0</v>
      </c>
      <c r="I81" s="292" t="s">
        <v>217</v>
      </c>
      <c r="J81" s="292" t="s">
        <v>203</v>
      </c>
      <c r="K81" s="303" t="s">
        <v>204</v>
      </c>
    </row>
    <row r="82" spans="1:17" ht="12">
      <c r="A82" s="290">
        <v>16245</v>
      </c>
      <c r="B82" s="291" t="s">
        <v>2410</v>
      </c>
      <c r="C82" s="292" t="s">
        <v>2411</v>
      </c>
      <c r="D82" s="292" t="s">
        <v>703</v>
      </c>
      <c r="E82" s="292"/>
      <c r="F82" s="293" t="s">
        <v>42</v>
      </c>
      <c r="G82" s="294" t="s">
        <v>51</v>
      </c>
      <c r="H82" s="295">
        <v>0</v>
      </c>
      <c r="I82" s="292" t="s">
        <v>231</v>
      </c>
      <c r="J82" s="292" t="s">
        <v>203</v>
      </c>
      <c r="K82" s="303" t="s">
        <v>204</v>
      </c>
    </row>
    <row r="83" spans="1:17" ht="12">
      <c r="A83" s="290">
        <v>16243</v>
      </c>
      <c r="B83" s="291" t="s">
        <v>2412</v>
      </c>
      <c r="C83" s="292" t="s">
        <v>236</v>
      </c>
      <c r="D83" s="292" t="s">
        <v>237</v>
      </c>
      <c r="E83" s="292"/>
      <c r="F83" s="293" t="s">
        <v>42</v>
      </c>
      <c r="G83" s="310" t="s">
        <v>43</v>
      </c>
      <c r="H83" s="311" t="s">
        <v>238</v>
      </c>
      <c r="I83" s="292" t="s">
        <v>231</v>
      </c>
      <c r="J83" s="292" t="s">
        <v>203</v>
      </c>
      <c r="K83" s="303" t="s">
        <v>204</v>
      </c>
    </row>
    <row r="84" spans="1:17" ht="12">
      <c r="A84" s="290">
        <v>16896</v>
      </c>
      <c r="B84" s="291" t="s">
        <v>244</v>
      </c>
      <c r="C84" s="297" t="s">
        <v>245</v>
      </c>
      <c r="D84" s="297" t="s">
        <v>98</v>
      </c>
      <c r="E84" s="297" t="s">
        <v>2103</v>
      </c>
      <c r="F84" s="293" t="s">
        <v>42</v>
      </c>
      <c r="G84" s="310" t="s">
        <v>43</v>
      </c>
      <c r="H84" s="311" t="s">
        <v>238</v>
      </c>
      <c r="I84" s="297" t="s">
        <v>231</v>
      </c>
      <c r="J84" s="297" t="s">
        <v>203</v>
      </c>
      <c r="K84" s="303" t="s">
        <v>204</v>
      </c>
      <c r="L84" s="26"/>
      <c r="M84" s="26"/>
      <c r="N84" s="26"/>
      <c r="Q84" s="30"/>
    </row>
    <row r="85" spans="1:17" ht="12">
      <c r="A85" s="290">
        <v>7102</v>
      </c>
      <c r="B85" s="291" t="s">
        <v>627</v>
      </c>
      <c r="C85" s="292" t="s">
        <v>628</v>
      </c>
      <c r="D85" s="292" t="s">
        <v>98</v>
      </c>
      <c r="E85" s="292"/>
      <c r="F85" s="293" t="s">
        <v>42</v>
      </c>
      <c r="G85" s="310" t="s">
        <v>43</v>
      </c>
      <c r="H85" s="311" t="s">
        <v>179</v>
      </c>
      <c r="I85" s="292" t="s">
        <v>231</v>
      </c>
      <c r="J85" s="292" t="s">
        <v>203</v>
      </c>
      <c r="K85" s="303" t="s">
        <v>204</v>
      </c>
      <c r="L85" s="26"/>
      <c r="M85" s="26"/>
      <c r="N85" s="26"/>
      <c r="Q85" s="30"/>
    </row>
    <row r="86" spans="1:17" ht="12">
      <c r="A86" s="290">
        <v>7724</v>
      </c>
      <c r="B86" s="291" t="s">
        <v>246</v>
      </c>
      <c r="C86" s="292" t="s">
        <v>247</v>
      </c>
      <c r="D86" s="292" t="s">
        <v>86</v>
      </c>
      <c r="E86" s="292"/>
      <c r="F86" s="293" t="s">
        <v>42</v>
      </c>
      <c r="G86" s="310" t="s">
        <v>43</v>
      </c>
      <c r="H86" s="311" t="s">
        <v>179</v>
      </c>
      <c r="I86" s="292" t="s">
        <v>231</v>
      </c>
      <c r="J86" s="292" t="s">
        <v>203</v>
      </c>
      <c r="K86" s="303" t="s">
        <v>204</v>
      </c>
      <c r="L86" s="26"/>
      <c r="M86" s="26"/>
      <c r="N86" s="26"/>
      <c r="Q86" s="30"/>
    </row>
    <row r="87" spans="1:17" ht="12">
      <c r="A87" s="290">
        <v>7725</v>
      </c>
      <c r="B87" s="291" t="s">
        <v>248</v>
      </c>
      <c r="C87" s="292" t="s">
        <v>249</v>
      </c>
      <c r="D87" s="292" t="s">
        <v>178</v>
      </c>
      <c r="E87" s="292"/>
      <c r="F87" s="293" t="s">
        <v>42</v>
      </c>
      <c r="G87" s="310" t="s">
        <v>43</v>
      </c>
      <c r="H87" s="311" t="s">
        <v>179</v>
      </c>
      <c r="I87" s="292" t="s">
        <v>231</v>
      </c>
      <c r="J87" s="292" t="s">
        <v>203</v>
      </c>
      <c r="K87" s="303" t="s">
        <v>204</v>
      </c>
      <c r="L87" s="26"/>
      <c r="M87" s="26"/>
      <c r="N87" s="26"/>
      <c r="Q87" s="30"/>
    </row>
    <row r="88" spans="1:17" ht="12">
      <c r="A88" s="290">
        <v>7734</v>
      </c>
      <c r="B88" s="291" t="s">
        <v>1138</v>
      </c>
      <c r="C88" s="292" t="s">
        <v>794</v>
      </c>
      <c r="D88" s="292" t="s">
        <v>1139</v>
      </c>
      <c r="E88" s="292"/>
      <c r="F88" s="293" t="s">
        <v>42</v>
      </c>
      <c r="G88" s="310" t="s">
        <v>43</v>
      </c>
      <c r="H88" s="311" t="s">
        <v>238</v>
      </c>
      <c r="I88" s="292" t="s">
        <v>231</v>
      </c>
      <c r="J88" s="292" t="s">
        <v>203</v>
      </c>
      <c r="K88" s="303" t="s">
        <v>204</v>
      </c>
      <c r="L88" s="26"/>
      <c r="M88" s="26"/>
      <c r="N88" s="26"/>
      <c r="Q88" s="30"/>
    </row>
    <row r="89" spans="1:17" ht="12">
      <c r="A89" s="290">
        <v>38906</v>
      </c>
      <c r="B89" s="291" t="s">
        <v>2413</v>
      </c>
      <c r="C89" s="292" t="s">
        <v>2414</v>
      </c>
      <c r="D89" s="292" t="s">
        <v>544</v>
      </c>
      <c r="E89" s="292"/>
      <c r="F89" s="293" t="s">
        <v>48</v>
      </c>
      <c r="G89" s="310" t="s">
        <v>78</v>
      </c>
      <c r="H89" s="311"/>
      <c r="I89" s="292" t="s">
        <v>254</v>
      </c>
      <c r="J89" s="292" t="s">
        <v>203</v>
      </c>
      <c r="K89" s="303" t="s">
        <v>204</v>
      </c>
      <c r="L89" s="26"/>
      <c r="M89" s="26"/>
      <c r="N89" s="26"/>
      <c r="Q89" s="30"/>
    </row>
    <row r="90" spans="1:17" ht="12">
      <c r="A90" s="290">
        <v>7742</v>
      </c>
      <c r="B90" s="291">
        <v>614207</v>
      </c>
      <c r="C90" s="292" t="s">
        <v>239</v>
      </c>
      <c r="D90" s="292" t="s">
        <v>96</v>
      </c>
      <c r="E90" s="292"/>
      <c r="F90" s="293" t="s">
        <v>42</v>
      </c>
      <c r="G90" s="294" t="s">
        <v>51</v>
      </c>
      <c r="H90" s="295">
        <v>0</v>
      </c>
      <c r="I90" s="292" t="s">
        <v>254</v>
      </c>
      <c r="J90" s="292" t="s">
        <v>203</v>
      </c>
      <c r="K90" s="303" t="s">
        <v>204</v>
      </c>
      <c r="L90" s="26"/>
      <c r="M90" s="26"/>
      <c r="N90" s="26"/>
      <c r="Q90" s="30"/>
    </row>
    <row r="91" spans="1:17" ht="12">
      <c r="A91" s="290">
        <v>7800</v>
      </c>
      <c r="B91" s="291">
        <v>663313</v>
      </c>
      <c r="C91" s="292" t="s">
        <v>239</v>
      </c>
      <c r="D91" s="292" t="s">
        <v>253</v>
      </c>
      <c r="E91" s="292"/>
      <c r="F91" s="293" t="s">
        <v>48</v>
      </c>
      <c r="G91" s="294" t="s">
        <v>138</v>
      </c>
      <c r="H91" s="295">
        <v>0</v>
      </c>
      <c r="I91" s="292" t="s">
        <v>254</v>
      </c>
      <c r="J91" s="292" t="s">
        <v>203</v>
      </c>
      <c r="K91" s="303" t="s">
        <v>204</v>
      </c>
      <c r="L91" s="26"/>
      <c r="M91" s="26"/>
      <c r="N91" s="26"/>
      <c r="Q91" s="30"/>
    </row>
    <row r="92" spans="1:17" ht="12">
      <c r="A92" s="290">
        <v>7005</v>
      </c>
      <c r="B92" s="291" t="s">
        <v>255</v>
      </c>
      <c r="C92" s="292" t="s">
        <v>226</v>
      </c>
      <c r="D92" s="292" t="s">
        <v>256</v>
      </c>
      <c r="E92" s="292"/>
      <c r="F92" s="293" t="s">
        <v>42</v>
      </c>
      <c r="G92" s="310" t="s">
        <v>57</v>
      </c>
      <c r="H92" s="311" t="s">
        <v>50</v>
      </c>
      <c r="I92" s="292" t="s">
        <v>254</v>
      </c>
      <c r="J92" s="292" t="s">
        <v>203</v>
      </c>
      <c r="K92" s="303" t="s">
        <v>204</v>
      </c>
      <c r="L92" s="26"/>
      <c r="M92" s="26"/>
      <c r="N92" s="26"/>
      <c r="Q92" s="30"/>
    </row>
    <row r="93" spans="1:17" ht="12">
      <c r="A93" s="290">
        <v>38931</v>
      </c>
      <c r="B93" s="291" t="s">
        <v>2415</v>
      </c>
      <c r="C93" s="292" t="s">
        <v>628</v>
      </c>
      <c r="D93" s="292" t="s">
        <v>2416</v>
      </c>
      <c r="E93" s="292"/>
      <c r="F93" s="293" t="s">
        <v>48</v>
      </c>
      <c r="G93" s="298" t="s">
        <v>78</v>
      </c>
      <c r="H93" s="299">
        <v>0</v>
      </c>
      <c r="I93" s="292" t="s">
        <v>254</v>
      </c>
      <c r="J93" s="292" t="s">
        <v>203</v>
      </c>
      <c r="K93" s="303" t="s">
        <v>204</v>
      </c>
      <c r="L93" s="26"/>
      <c r="M93" s="26"/>
      <c r="N93" s="26"/>
      <c r="Q93" s="30"/>
    </row>
    <row r="94" spans="1:17" ht="12">
      <c r="A94" s="290">
        <v>16080</v>
      </c>
      <c r="B94" s="291" t="s">
        <v>2283</v>
      </c>
      <c r="C94" s="292" t="s">
        <v>2284</v>
      </c>
      <c r="D94" s="292" t="s">
        <v>2285</v>
      </c>
      <c r="E94" s="292"/>
      <c r="F94" s="293" t="s">
        <v>42</v>
      </c>
      <c r="G94" s="310" t="s">
        <v>57</v>
      </c>
      <c r="H94" s="311" t="s">
        <v>65</v>
      </c>
      <c r="I94" s="292" t="s">
        <v>257</v>
      </c>
      <c r="J94" s="292" t="s">
        <v>258</v>
      </c>
      <c r="K94" s="303" t="s">
        <v>28</v>
      </c>
      <c r="L94" s="26"/>
      <c r="M94" s="26"/>
      <c r="N94" s="26"/>
      <c r="Q94" s="30"/>
    </row>
    <row r="95" spans="1:17" ht="12">
      <c r="A95" s="290">
        <v>38595</v>
      </c>
      <c r="B95" s="291" t="s">
        <v>260</v>
      </c>
      <c r="C95" s="292" t="s">
        <v>261</v>
      </c>
      <c r="D95" s="292" t="s">
        <v>262</v>
      </c>
      <c r="E95" s="292"/>
      <c r="F95" s="293" t="s">
        <v>42</v>
      </c>
      <c r="G95" s="310" t="s">
        <v>66</v>
      </c>
      <c r="H95" s="311" t="s">
        <v>103</v>
      </c>
      <c r="I95" s="292" t="s">
        <v>257</v>
      </c>
      <c r="J95" s="292" t="s">
        <v>258</v>
      </c>
      <c r="K95" s="303" t="s">
        <v>28</v>
      </c>
      <c r="L95" s="26"/>
      <c r="M95" s="26"/>
      <c r="N95" s="26"/>
      <c r="Q95" s="30"/>
    </row>
    <row r="96" spans="1:17" ht="12">
      <c r="A96" s="290">
        <v>38236</v>
      </c>
      <c r="B96" s="291" t="s">
        <v>2286</v>
      </c>
      <c r="C96" s="292" t="s">
        <v>79</v>
      </c>
      <c r="D96" s="292" t="s">
        <v>2287</v>
      </c>
      <c r="E96" s="292"/>
      <c r="F96" s="293" t="s">
        <v>42</v>
      </c>
      <c r="G96" s="310" t="s">
        <v>51</v>
      </c>
      <c r="H96" s="311" t="s">
        <v>50</v>
      </c>
      <c r="I96" s="297" t="s">
        <v>257</v>
      </c>
      <c r="J96" s="292" t="s">
        <v>258</v>
      </c>
      <c r="K96" s="303" t="s">
        <v>28</v>
      </c>
      <c r="L96" s="26"/>
      <c r="M96" s="26"/>
      <c r="N96" s="26"/>
      <c r="Q96" s="30"/>
    </row>
    <row r="97" spans="1:17" ht="12">
      <c r="A97" s="290">
        <v>16086</v>
      </c>
      <c r="B97" s="291" t="s">
        <v>2291</v>
      </c>
      <c r="C97" s="292" t="s">
        <v>2012</v>
      </c>
      <c r="D97" s="292" t="s">
        <v>98</v>
      </c>
      <c r="E97" s="292"/>
      <c r="F97" s="293" t="s">
        <v>42</v>
      </c>
      <c r="G97" s="310" t="s">
        <v>43</v>
      </c>
      <c r="H97" s="311" t="s">
        <v>179</v>
      </c>
      <c r="I97" s="292" t="s">
        <v>257</v>
      </c>
      <c r="J97" s="292" t="s">
        <v>258</v>
      </c>
      <c r="K97" s="303" t="s">
        <v>28</v>
      </c>
      <c r="L97" s="26"/>
      <c r="M97" s="26"/>
      <c r="N97" s="26"/>
      <c r="Q97" s="30"/>
    </row>
    <row r="98" spans="1:17" ht="12">
      <c r="A98" s="290">
        <v>38909</v>
      </c>
      <c r="B98" s="291" t="s">
        <v>2417</v>
      </c>
      <c r="C98" s="292" t="s">
        <v>2012</v>
      </c>
      <c r="D98" s="292" t="s">
        <v>991</v>
      </c>
      <c r="E98" s="292"/>
      <c r="F98" s="293" t="s">
        <v>42</v>
      </c>
      <c r="G98" s="310" t="s">
        <v>93</v>
      </c>
      <c r="H98" s="311"/>
      <c r="I98" s="292" t="s">
        <v>257</v>
      </c>
      <c r="J98" s="292" t="s">
        <v>258</v>
      </c>
      <c r="K98" s="303" t="s">
        <v>28</v>
      </c>
      <c r="L98" s="26"/>
      <c r="M98" s="26"/>
      <c r="N98" s="26"/>
      <c r="Q98" s="30"/>
    </row>
    <row r="99" spans="1:17" ht="12">
      <c r="A99" s="290">
        <v>16092</v>
      </c>
      <c r="B99" s="291" t="s">
        <v>2288</v>
      </c>
      <c r="C99" s="292" t="s">
        <v>2012</v>
      </c>
      <c r="D99" s="292" t="s">
        <v>2289</v>
      </c>
      <c r="E99" s="292"/>
      <c r="F99" s="293" t="s">
        <v>48</v>
      </c>
      <c r="G99" s="310" t="s">
        <v>227</v>
      </c>
      <c r="H99" s="311" t="s">
        <v>50</v>
      </c>
      <c r="I99" s="292" t="s">
        <v>257</v>
      </c>
      <c r="J99" s="292" t="s">
        <v>258</v>
      </c>
      <c r="K99" s="303" t="s">
        <v>28</v>
      </c>
      <c r="L99" s="26"/>
      <c r="M99" s="26"/>
      <c r="N99" s="26"/>
      <c r="Q99" s="30"/>
    </row>
    <row r="100" spans="1:17" ht="12">
      <c r="A100" s="290">
        <v>16088</v>
      </c>
      <c r="B100" s="291" t="s">
        <v>2290</v>
      </c>
      <c r="C100" s="292" t="s">
        <v>2012</v>
      </c>
      <c r="D100" s="292" t="s">
        <v>264</v>
      </c>
      <c r="E100" s="292"/>
      <c r="F100" s="293" t="s">
        <v>42</v>
      </c>
      <c r="G100" s="310" t="s">
        <v>43</v>
      </c>
      <c r="H100" s="311" t="s">
        <v>44</v>
      </c>
      <c r="I100" s="292" t="s">
        <v>257</v>
      </c>
      <c r="J100" s="292" t="s">
        <v>258</v>
      </c>
      <c r="K100" s="303" t="s">
        <v>28</v>
      </c>
      <c r="L100" s="26"/>
      <c r="M100" s="26"/>
      <c r="N100" s="26"/>
      <c r="Q100" s="30"/>
    </row>
    <row r="101" spans="1:17" ht="12">
      <c r="A101" s="290">
        <v>16083</v>
      </c>
      <c r="B101" s="291" t="s">
        <v>2013</v>
      </c>
      <c r="C101" s="292" t="s">
        <v>2012</v>
      </c>
      <c r="D101" s="292" t="s">
        <v>96</v>
      </c>
      <c r="E101" s="292"/>
      <c r="F101" s="293" t="s">
        <v>42</v>
      </c>
      <c r="G101" s="310" t="s">
        <v>57</v>
      </c>
      <c r="H101" s="311" t="s">
        <v>50</v>
      </c>
      <c r="I101" s="292" t="s">
        <v>257</v>
      </c>
      <c r="J101" s="292" t="s">
        <v>258</v>
      </c>
      <c r="K101" s="303" t="s">
        <v>28</v>
      </c>
    </row>
    <row r="102" spans="1:17" ht="12">
      <c r="A102" s="290">
        <v>38597</v>
      </c>
      <c r="B102" s="291" t="s">
        <v>265</v>
      </c>
      <c r="C102" s="292" t="s">
        <v>266</v>
      </c>
      <c r="D102" s="292" t="s">
        <v>267</v>
      </c>
      <c r="E102" s="292"/>
      <c r="F102" s="293" t="s">
        <v>42</v>
      </c>
      <c r="G102" s="310" t="s">
        <v>43</v>
      </c>
      <c r="H102" s="311" t="s">
        <v>44</v>
      </c>
      <c r="I102" s="292" t="s">
        <v>257</v>
      </c>
      <c r="J102" s="292" t="s">
        <v>258</v>
      </c>
      <c r="K102" s="303" t="s">
        <v>28</v>
      </c>
    </row>
    <row r="103" spans="1:17" ht="12">
      <c r="A103" s="290">
        <v>25731</v>
      </c>
      <c r="B103" s="291" t="s">
        <v>2292</v>
      </c>
      <c r="C103" s="292" t="s">
        <v>2293</v>
      </c>
      <c r="D103" s="292" t="s">
        <v>116</v>
      </c>
      <c r="E103" s="292"/>
      <c r="F103" s="293" t="s">
        <v>42</v>
      </c>
      <c r="G103" s="310" t="s">
        <v>43</v>
      </c>
      <c r="H103" s="311" t="s">
        <v>44</v>
      </c>
      <c r="I103" s="292" t="s">
        <v>257</v>
      </c>
      <c r="J103" s="292" t="s">
        <v>258</v>
      </c>
      <c r="K103" s="303" t="s">
        <v>28</v>
      </c>
      <c r="L103" s="26"/>
      <c r="M103" s="26"/>
      <c r="N103" s="26"/>
      <c r="Q103" s="30"/>
    </row>
    <row r="104" spans="1:17" ht="12">
      <c r="A104" s="290">
        <v>16999</v>
      </c>
      <c r="B104" s="291" t="s">
        <v>2418</v>
      </c>
      <c r="C104" s="292" t="s">
        <v>271</v>
      </c>
      <c r="D104" s="292" t="s">
        <v>119</v>
      </c>
      <c r="E104" s="292"/>
      <c r="F104" s="293" t="s">
        <v>42</v>
      </c>
      <c r="G104" s="310" t="s">
        <v>57</v>
      </c>
      <c r="H104" s="311"/>
      <c r="I104" s="292" t="s">
        <v>272</v>
      </c>
      <c r="J104" s="292" t="s">
        <v>273</v>
      </c>
      <c r="K104" s="303" t="s">
        <v>274</v>
      </c>
      <c r="L104" s="26"/>
      <c r="M104" s="26"/>
      <c r="N104" s="26"/>
      <c r="Q104" s="30"/>
    </row>
    <row r="105" spans="1:17" ht="12">
      <c r="A105" s="290">
        <v>25945</v>
      </c>
      <c r="B105" s="291" t="s">
        <v>2294</v>
      </c>
      <c r="C105" s="292" t="s">
        <v>2295</v>
      </c>
      <c r="D105" s="292" t="s">
        <v>621</v>
      </c>
      <c r="E105" s="292"/>
      <c r="F105" s="293" t="s">
        <v>42</v>
      </c>
      <c r="G105" s="310" t="s">
        <v>51</v>
      </c>
      <c r="H105" s="311" t="s">
        <v>44</v>
      </c>
      <c r="I105" s="292" t="s">
        <v>272</v>
      </c>
      <c r="J105" s="292" t="s">
        <v>273</v>
      </c>
      <c r="K105" s="303" t="s">
        <v>274</v>
      </c>
      <c r="L105" s="26"/>
      <c r="M105" s="26"/>
      <c r="N105" s="26"/>
      <c r="Q105" s="30"/>
    </row>
    <row r="106" spans="1:17" ht="12">
      <c r="A106" s="290">
        <v>38033</v>
      </c>
      <c r="B106" s="291" t="s">
        <v>275</v>
      </c>
      <c r="C106" s="292" t="s">
        <v>276</v>
      </c>
      <c r="D106" s="292" t="s">
        <v>98</v>
      </c>
      <c r="E106" s="292"/>
      <c r="F106" s="293" t="s">
        <v>42</v>
      </c>
      <c r="G106" s="310" t="s">
        <v>43</v>
      </c>
      <c r="H106" s="311" t="s">
        <v>65</v>
      </c>
      <c r="I106" s="292" t="s">
        <v>272</v>
      </c>
      <c r="J106" s="292" t="s">
        <v>273</v>
      </c>
      <c r="K106" s="303" t="s">
        <v>274</v>
      </c>
      <c r="L106" s="26"/>
      <c r="M106" s="26"/>
      <c r="N106" s="26"/>
      <c r="Q106" s="30"/>
    </row>
    <row r="107" spans="1:17" ht="12">
      <c r="A107" s="290">
        <v>38034</v>
      </c>
      <c r="B107" s="291" t="s">
        <v>277</v>
      </c>
      <c r="C107" s="292" t="s">
        <v>276</v>
      </c>
      <c r="D107" s="292" t="s">
        <v>63</v>
      </c>
      <c r="E107" s="292"/>
      <c r="F107" s="293" t="s">
        <v>42</v>
      </c>
      <c r="G107" s="310" t="s">
        <v>43</v>
      </c>
      <c r="H107" s="311" t="s">
        <v>65</v>
      </c>
      <c r="I107" s="292" t="s">
        <v>272</v>
      </c>
      <c r="J107" s="292" t="s">
        <v>273</v>
      </c>
      <c r="K107" s="303" t="s">
        <v>274</v>
      </c>
      <c r="L107" s="26"/>
      <c r="M107" s="26"/>
      <c r="N107" s="26"/>
      <c r="Q107" s="30"/>
    </row>
    <row r="108" spans="1:17" ht="12">
      <c r="A108" s="290">
        <v>38270</v>
      </c>
      <c r="B108" s="291" t="s">
        <v>608</v>
      </c>
      <c r="C108" s="292" t="s">
        <v>609</v>
      </c>
      <c r="D108" s="292" t="s">
        <v>131</v>
      </c>
      <c r="E108" s="292"/>
      <c r="F108" s="293" t="s">
        <v>42</v>
      </c>
      <c r="G108" s="310" t="s">
        <v>43</v>
      </c>
      <c r="H108" s="311" t="s">
        <v>65</v>
      </c>
      <c r="I108" s="292" t="s">
        <v>272</v>
      </c>
      <c r="J108" s="292" t="s">
        <v>273</v>
      </c>
      <c r="K108" s="303" t="s">
        <v>274</v>
      </c>
    </row>
    <row r="109" spans="1:17" ht="12">
      <c r="A109" s="290">
        <v>38565</v>
      </c>
      <c r="B109" s="291" t="s">
        <v>2419</v>
      </c>
      <c r="C109" s="292" t="s">
        <v>2420</v>
      </c>
      <c r="D109" s="292" t="s">
        <v>281</v>
      </c>
      <c r="E109" s="292"/>
      <c r="F109" s="293" t="s">
        <v>42</v>
      </c>
      <c r="G109" s="294" t="s">
        <v>43</v>
      </c>
      <c r="H109" s="295">
        <v>0</v>
      </c>
      <c r="I109" s="292" t="s">
        <v>272</v>
      </c>
      <c r="J109" s="292" t="s">
        <v>273</v>
      </c>
      <c r="K109" s="303" t="s">
        <v>274</v>
      </c>
    </row>
    <row r="110" spans="1:17" ht="12">
      <c r="A110" s="290">
        <v>38237</v>
      </c>
      <c r="B110" s="291" t="s">
        <v>282</v>
      </c>
      <c r="C110" s="292" t="s">
        <v>130</v>
      </c>
      <c r="D110" s="292" t="s">
        <v>63</v>
      </c>
      <c r="E110" s="292"/>
      <c r="F110" s="293" t="s">
        <v>42</v>
      </c>
      <c r="G110" s="310" t="s">
        <v>43</v>
      </c>
      <c r="H110" s="311" t="s">
        <v>44</v>
      </c>
      <c r="I110" s="292" t="s">
        <v>272</v>
      </c>
      <c r="J110" s="292" t="s">
        <v>273</v>
      </c>
      <c r="K110" s="303" t="s">
        <v>274</v>
      </c>
    </row>
    <row r="111" spans="1:17" ht="12">
      <c r="A111" s="290">
        <v>38322</v>
      </c>
      <c r="B111" s="291" t="s">
        <v>2296</v>
      </c>
      <c r="C111" s="292" t="s">
        <v>2297</v>
      </c>
      <c r="D111" s="292" t="s">
        <v>283</v>
      </c>
      <c r="E111" s="292"/>
      <c r="F111" s="293" t="s">
        <v>42</v>
      </c>
      <c r="G111" s="310" t="s">
        <v>57</v>
      </c>
      <c r="H111" s="311" t="s">
        <v>44</v>
      </c>
      <c r="I111" s="292" t="s">
        <v>272</v>
      </c>
      <c r="J111" s="292" t="s">
        <v>273</v>
      </c>
      <c r="K111" s="303" t="s">
        <v>274</v>
      </c>
    </row>
    <row r="112" spans="1:17" ht="12">
      <c r="A112" s="290">
        <v>38183</v>
      </c>
      <c r="B112" s="291" t="s">
        <v>2298</v>
      </c>
      <c r="C112" s="292" t="s">
        <v>2297</v>
      </c>
      <c r="D112" s="292" t="s">
        <v>284</v>
      </c>
      <c r="E112" s="292"/>
      <c r="F112" s="293" t="s">
        <v>42</v>
      </c>
      <c r="G112" s="310" t="s">
        <v>43</v>
      </c>
      <c r="H112" s="311" t="s">
        <v>179</v>
      </c>
      <c r="I112" s="292" t="s">
        <v>272</v>
      </c>
      <c r="J112" s="292" t="s">
        <v>273</v>
      </c>
      <c r="K112" s="303" t="s">
        <v>274</v>
      </c>
    </row>
    <row r="113" spans="1:17" ht="12">
      <c r="A113" s="290">
        <v>38250</v>
      </c>
      <c r="B113" s="291" t="s">
        <v>285</v>
      </c>
      <c r="C113" s="292" t="s">
        <v>286</v>
      </c>
      <c r="D113" s="292" t="s">
        <v>178</v>
      </c>
      <c r="E113" s="292"/>
      <c r="F113" s="293" t="s">
        <v>42</v>
      </c>
      <c r="G113" s="310" t="s">
        <v>43</v>
      </c>
      <c r="H113" s="311" t="s">
        <v>44</v>
      </c>
      <c r="I113" s="292" t="s">
        <v>272</v>
      </c>
      <c r="J113" s="292" t="s">
        <v>273</v>
      </c>
      <c r="K113" s="303" t="s">
        <v>274</v>
      </c>
    </row>
    <row r="114" spans="1:17" ht="12">
      <c r="A114" s="290">
        <v>38898</v>
      </c>
      <c r="B114" s="291" t="s">
        <v>2421</v>
      </c>
      <c r="C114" s="292" t="s">
        <v>2422</v>
      </c>
      <c r="D114" s="292" t="s">
        <v>597</v>
      </c>
      <c r="E114" s="292"/>
      <c r="F114" s="293" t="s">
        <v>42</v>
      </c>
      <c r="G114" s="310" t="s">
        <v>43</v>
      </c>
      <c r="H114" s="311"/>
      <c r="I114" s="292" t="s">
        <v>272</v>
      </c>
      <c r="J114" s="292" t="s">
        <v>273</v>
      </c>
      <c r="K114" s="303" t="s">
        <v>274</v>
      </c>
    </row>
    <row r="115" spans="1:17" ht="12">
      <c r="A115" s="290">
        <v>38899</v>
      </c>
      <c r="B115" s="291" t="s">
        <v>2423</v>
      </c>
      <c r="C115" s="292" t="s">
        <v>2424</v>
      </c>
      <c r="D115" s="292" t="s">
        <v>2425</v>
      </c>
      <c r="E115" s="292"/>
      <c r="F115" s="293" t="s">
        <v>48</v>
      </c>
      <c r="G115" s="294" t="s">
        <v>78</v>
      </c>
      <c r="H115" s="295">
        <v>0</v>
      </c>
      <c r="I115" s="292" t="s">
        <v>272</v>
      </c>
      <c r="J115" s="292" t="s">
        <v>273</v>
      </c>
      <c r="K115" s="303" t="s">
        <v>274</v>
      </c>
    </row>
    <row r="116" spans="1:17" ht="12">
      <c r="A116" s="290">
        <v>38789</v>
      </c>
      <c r="B116" s="291" t="s">
        <v>2112</v>
      </c>
      <c r="C116" s="292" t="s">
        <v>2113</v>
      </c>
      <c r="D116" s="292" t="s">
        <v>151</v>
      </c>
      <c r="E116" s="292"/>
      <c r="F116" s="293" t="s">
        <v>48</v>
      </c>
      <c r="G116" s="310" t="s">
        <v>78</v>
      </c>
      <c r="H116" s="311" t="s">
        <v>103</v>
      </c>
      <c r="I116" s="292" t="s">
        <v>272</v>
      </c>
      <c r="J116" s="292" t="s">
        <v>273</v>
      </c>
      <c r="K116" s="303" t="s">
        <v>274</v>
      </c>
      <c r="L116" s="26"/>
      <c r="M116" s="26"/>
      <c r="N116" s="26"/>
      <c r="Q116" s="30"/>
    </row>
    <row r="117" spans="1:17" ht="12">
      <c r="A117" s="290">
        <v>25064</v>
      </c>
      <c r="B117" s="291" t="s">
        <v>1878</v>
      </c>
      <c r="C117" s="292" t="s">
        <v>1269</v>
      </c>
      <c r="D117" s="292" t="s">
        <v>86</v>
      </c>
      <c r="E117" s="292"/>
      <c r="F117" s="293" t="s">
        <v>42</v>
      </c>
      <c r="G117" s="310" t="s">
        <v>43</v>
      </c>
      <c r="H117" s="311" t="s">
        <v>179</v>
      </c>
      <c r="I117" s="292" t="s">
        <v>272</v>
      </c>
      <c r="J117" s="292" t="s">
        <v>273</v>
      </c>
      <c r="K117" s="303" t="s">
        <v>274</v>
      </c>
    </row>
    <row r="118" spans="1:17" ht="12">
      <c r="A118" s="290">
        <v>38926</v>
      </c>
      <c r="B118" s="291" t="s">
        <v>2426</v>
      </c>
      <c r="C118" s="292" t="s">
        <v>289</v>
      </c>
      <c r="D118" s="292" t="s">
        <v>72</v>
      </c>
      <c r="E118" s="292"/>
      <c r="F118" s="293" t="s">
        <v>42</v>
      </c>
      <c r="G118" s="310" t="s">
        <v>51</v>
      </c>
      <c r="H118" s="311">
        <v>0</v>
      </c>
      <c r="I118" s="292" t="s">
        <v>272</v>
      </c>
      <c r="J118" s="292" t="s">
        <v>273</v>
      </c>
      <c r="K118" s="303" t="s">
        <v>274</v>
      </c>
    </row>
    <row r="119" spans="1:17" ht="12">
      <c r="A119" s="290">
        <v>38684</v>
      </c>
      <c r="B119" s="291" t="s">
        <v>288</v>
      </c>
      <c r="C119" s="292" t="s">
        <v>289</v>
      </c>
      <c r="D119" s="292" t="s">
        <v>290</v>
      </c>
      <c r="E119" s="292"/>
      <c r="F119" s="293" t="s">
        <v>42</v>
      </c>
      <c r="G119" s="310" t="s">
        <v>93</v>
      </c>
      <c r="H119" s="311" t="s">
        <v>65</v>
      </c>
      <c r="I119" s="292" t="s">
        <v>272</v>
      </c>
      <c r="J119" s="292" t="s">
        <v>273</v>
      </c>
      <c r="K119" s="303" t="s">
        <v>274</v>
      </c>
    </row>
    <row r="120" spans="1:17" ht="12">
      <c r="A120" s="290">
        <v>38731</v>
      </c>
      <c r="B120" s="291" t="s">
        <v>1872</v>
      </c>
      <c r="C120" s="292" t="s">
        <v>1873</v>
      </c>
      <c r="D120" s="292" t="s">
        <v>1874</v>
      </c>
      <c r="E120" s="292"/>
      <c r="F120" s="293" t="s">
        <v>42</v>
      </c>
      <c r="G120" s="310" t="s">
        <v>43</v>
      </c>
      <c r="H120" s="311" t="s">
        <v>50</v>
      </c>
      <c r="I120" s="292" t="s">
        <v>272</v>
      </c>
      <c r="J120" s="292" t="s">
        <v>273</v>
      </c>
      <c r="K120" s="303" t="s">
        <v>274</v>
      </c>
    </row>
    <row r="121" spans="1:17" ht="12">
      <c r="A121" s="290">
        <v>38631</v>
      </c>
      <c r="B121" s="291" t="s">
        <v>2427</v>
      </c>
      <c r="C121" s="292" t="s">
        <v>214</v>
      </c>
      <c r="D121" s="292" t="s">
        <v>1780</v>
      </c>
      <c r="E121" s="292"/>
      <c r="F121" s="293" t="s">
        <v>42</v>
      </c>
      <c r="G121" s="298" t="s">
        <v>43</v>
      </c>
      <c r="H121" s="299">
        <v>0</v>
      </c>
      <c r="I121" s="292" t="s">
        <v>272</v>
      </c>
      <c r="J121" s="292" t="s">
        <v>273</v>
      </c>
      <c r="K121" s="303" t="s">
        <v>274</v>
      </c>
    </row>
    <row r="122" spans="1:17" ht="12">
      <c r="A122" s="290">
        <v>38173</v>
      </c>
      <c r="B122" s="291" t="s">
        <v>291</v>
      </c>
      <c r="C122" s="292" t="s">
        <v>292</v>
      </c>
      <c r="D122" s="292" t="s">
        <v>293</v>
      </c>
      <c r="E122" s="292"/>
      <c r="F122" s="293" t="s">
        <v>48</v>
      </c>
      <c r="G122" s="310" t="s">
        <v>78</v>
      </c>
      <c r="H122" s="311" t="s">
        <v>44</v>
      </c>
      <c r="I122" s="292" t="s">
        <v>272</v>
      </c>
      <c r="J122" s="292" t="s">
        <v>273</v>
      </c>
      <c r="K122" s="303" t="s">
        <v>274</v>
      </c>
    </row>
    <row r="123" spans="1:17" ht="12">
      <c r="A123" s="290">
        <v>38172</v>
      </c>
      <c r="B123" s="291" t="s">
        <v>295</v>
      </c>
      <c r="C123" s="292" t="s">
        <v>296</v>
      </c>
      <c r="D123" s="292" t="s">
        <v>52</v>
      </c>
      <c r="E123" s="292"/>
      <c r="F123" s="293" t="s">
        <v>42</v>
      </c>
      <c r="G123" s="310" t="s">
        <v>43</v>
      </c>
      <c r="H123" s="311" t="s">
        <v>50</v>
      </c>
      <c r="I123" s="292" t="s">
        <v>272</v>
      </c>
      <c r="J123" s="292" t="s">
        <v>273</v>
      </c>
      <c r="K123" s="303" t="s">
        <v>274</v>
      </c>
    </row>
    <row r="124" spans="1:17" ht="12">
      <c r="A124" s="290">
        <v>7926</v>
      </c>
      <c r="B124" s="291" t="s">
        <v>297</v>
      </c>
      <c r="C124" s="292" t="s">
        <v>298</v>
      </c>
      <c r="D124" s="292" t="s">
        <v>299</v>
      </c>
      <c r="E124" s="292"/>
      <c r="F124" s="293" t="s">
        <v>42</v>
      </c>
      <c r="G124" s="310" t="s">
        <v>51</v>
      </c>
      <c r="H124" s="311"/>
      <c r="I124" s="292" t="s">
        <v>300</v>
      </c>
      <c r="J124" s="292" t="s">
        <v>301</v>
      </c>
      <c r="K124" s="303" t="s">
        <v>302</v>
      </c>
    </row>
    <row r="125" spans="1:17" ht="12">
      <c r="A125" s="290">
        <v>7928</v>
      </c>
      <c r="B125" s="291" t="s">
        <v>303</v>
      </c>
      <c r="C125" s="292" t="s">
        <v>263</v>
      </c>
      <c r="D125" s="292" t="s">
        <v>304</v>
      </c>
      <c r="E125" s="292"/>
      <c r="F125" s="293" t="s">
        <v>42</v>
      </c>
      <c r="G125" s="310" t="s">
        <v>43</v>
      </c>
      <c r="H125" s="311" t="s">
        <v>50</v>
      </c>
      <c r="I125" s="292" t="s">
        <v>300</v>
      </c>
      <c r="J125" s="292" t="s">
        <v>301</v>
      </c>
      <c r="K125" s="303" t="s">
        <v>302</v>
      </c>
    </row>
    <row r="126" spans="1:17" ht="12">
      <c r="A126" s="290">
        <v>7930</v>
      </c>
      <c r="B126" s="291" t="s">
        <v>305</v>
      </c>
      <c r="C126" s="292" t="s">
        <v>306</v>
      </c>
      <c r="D126" s="292" t="s">
        <v>307</v>
      </c>
      <c r="E126" s="292"/>
      <c r="F126" s="293" t="s">
        <v>48</v>
      </c>
      <c r="G126" s="310" t="s">
        <v>49</v>
      </c>
      <c r="H126" s="311" t="s">
        <v>44</v>
      </c>
      <c r="I126" s="292" t="s">
        <v>300</v>
      </c>
      <c r="J126" s="292" t="s">
        <v>301</v>
      </c>
      <c r="K126" s="303" t="s">
        <v>302</v>
      </c>
    </row>
    <row r="127" spans="1:17" ht="12">
      <c r="A127" s="290">
        <v>7927</v>
      </c>
      <c r="B127" s="291" t="s">
        <v>308</v>
      </c>
      <c r="C127" s="292" t="s">
        <v>309</v>
      </c>
      <c r="D127" s="292" t="s">
        <v>72</v>
      </c>
      <c r="E127" s="292"/>
      <c r="F127" s="293" t="s">
        <v>42</v>
      </c>
      <c r="G127" s="310" t="s">
        <v>51</v>
      </c>
      <c r="H127" s="311" t="s">
        <v>44</v>
      </c>
      <c r="I127" s="292" t="s">
        <v>300</v>
      </c>
      <c r="J127" s="292" t="s">
        <v>301</v>
      </c>
      <c r="K127" s="303" t="s">
        <v>302</v>
      </c>
    </row>
    <row r="128" spans="1:17" ht="12">
      <c r="A128" s="290">
        <v>16977</v>
      </c>
      <c r="B128" s="291" t="s">
        <v>310</v>
      </c>
      <c r="C128" s="297" t="s">
        <v>208</v>
      </c>
      <c r="D128" s="297" t="s">
        <v>52</v>
      </c>
      <c r="E128" s="297" t="s">
        <v>2103</v>
      </c>
      <c r="F128" s="293" t="s">
        <v>42</v>
      </c>
      <c r="G128" s="310" t="s">
        <v>43</v>
      </c>
      <c r="H128" s="311" t="s">
        <v>179</v>
      </c>
      <c r="I128" s="297" t="s">
        <v>300</v>
      </c>
      <c r="J128" s="297" t="s">
        <v>301</v>
      </c>
      <c r="K128" s="303" t="s">
        <v>302</v>
      </c>
    </row>
    <row r="129" spans="1:11" ht="12">
      <c r="A129" s="290">
        <v>7929</v>
      </c>
      <c r="B129" s="291" t="s">
        <v>311</v>
      </c>
      <c r="C129" s="292" t="s">
        <v>312</v>
      </c>
      <c r="D129" s="292" t="s">
        <v>313</v>
      </c>
      <c r="E129" s="292"/>
      <c r="F129" s="293" t="s">
        <v>48</v>
      </c>
      <c r="G129" s="300" t="s">
        <v>227</v>
      </c>
      <c r="H129" s="301">
        <v>0</v>
      </c>
      <c r="I129" s="292" t="s">
        <v>300</v>
      </c>
      <c r="J129" s="292" t="s">
        <v>301</v>
      </c>
      <c r="K129" s="303" t="s">
        <v>302</v>
      </c>
    </row>
    <row r="130" spans="1:11" ht="12">
      <c r="A130" s="290">
        <v>38882</v>
      </c>
      <c r="B130" s="291" t="s">
        <v>2428</v>
      </c>
      <c r="C130" s="292" t="s">
        <v>2429</v>
      </c>
      <c r="D130" s="292" t="s">
        <v>230</v>
      </c>
      <c r="E130" s="292"/>
      <c r="F130" s="293" t="s">
        <v>42</v>
      </c>
      <c r="G130" s="310" t="s">
        <v>66</v>
      </c>
      <c r="H130" s="311"/>
      <c r="I130" s="292" t="s">
        <v>300</v>
      </c>
      <c r="J130" s="292" t="s">
        <v>301</v>
      </c>
      <c r="K130" s="303" t="s">
        <v>302</v>
      </c>
    </row>
    <row r="131" spans="1:11" ht="12">
      <c r="A131" s="290">
        <v>38881</v>
      </c>
      <c r="B131" s="291" t="s">
        <v>2430</v>
      </c>
      <c r="C131" s="292" t="s">
        <v>2429</v>
      </c>
      <c r="D131" s="292" t="s">
        <v>2431</v>
      </c>
      <c r="E131" s="292"/>
      <c r="F131" s="293" t="s">
        <v>42</v>
      </c>
      <c r="G131" s="310" t="s">
        <v>43</v>
      </c>
      <c r="H131" s="311"/>
      <c r="I131" s="292" t="s">
        <v>300</v>
      </c>
      <c r="J131" s="292" t="s">
        <v>301</v>
      </c>
      <c r="K131" s="303" t="s">
        <v>302</v>
      </c>
    </row>
    <row r="132" spans="1:11" ht="12">
      <c r="A132" s="290">
        <v>38697</v>
      </c>
      <c r="B132" s="291" t="s">
        <v>315</v>
      </c>
      <c r="C132" s="292" t="s">
        <v>316</v>
      </c>
      <c r="D132" s="292" t="s">
        <v>317</v>
      </c>
      <c r="E132" s="292"/>
      <c r="F132" s="293" t="s">
        <v>48</v>
      </c>
      <c r="G132" s="310" t="s">
        <v>138</v>
      </c>
      <c r="H132" s="311" t="s">
        <v>50</v>
      </c>
      <c r="I132" s="292" t="s">
        <v>318</v>
      </c>
      <c r="J132" s="292" t="s">
        <v>301</v>
      </c>
      <c r="K132" s="303" t="s">
        <v>302</v>
      </c>
    </row>
    <row r="133" spans="1:11" ht="12">
      <c r="A133" s="290">
        <v>38512</v>
      </c>
      <c r="B133" s="291" t="s">
        <v>319</v>
      </c>
      <c r="C133" s="292" t="s">
        <v>320</v>
      </c>
      <c r="D133" s="292" t="s">
        <v>321</v>
      </c>
      <c r="E133" s="292"/>
      <c r="F133" s="293" t="s">
        <v>48</v>
      </c>
      <c r="G133" s="310" t="s">
        <v>227</v>
      </c>
      <c r="H133" s="311" t="s">
        <v>44</v>
      </c>
      <c r="I133" s="292" t="s">
        <v>318</v>
      </c>
      <c r="J133" s="292" t="s">
        <v>301</v>
      </c>
      <c r="K133" s="303" t="s">
        <v>302</v>
      </c>
    </row>
    <row r="134" spans="1:11" ht="12">
      <c r="A134" s="290">
        <v>7956</v>
      </c>
      <c r="B134" s="291" t="s">
        <v>322</v>
      </c>
      <c r="C134" s="292" t="s">
        <v>323</v>
      </c>
      <c r="D134" s="292" t="s">
        <v>166</v>
      </c>
      <c r="E134" s="292"/>
      <c r="F134" s="293" t="s">
        <v>48</v>
      </c>
      <c r="G134" s="310" t="s">
        <v>49</v>
      </c>
      <c r="H134" s="311" t="s">
        <v>50</v>
      </c>
      <c r="I134" s="292" t="s">
        <v>318</v>
      </c>
      <c r="J134" s="292" t="s">
        <v>301</v>
      </c>
      <c r="K134" s="303" t="s">
        <v>302</v>
      </c>
    </row>
    <row r="135" spans="1:11" ht="12">
      <c r="A135" s="290">
        <v>7946</v>
      </c>
      <c r="B135" s="291" t="s">
        <v>324</v>
      </c>
      <c r="C135" s="292" t="s">
        <v>323</v>
      </c>
      <c r="D135" s="292" t="s">
        <v>72</v>
      </c>
      <c r="E135" s="292"/>
      <c r="F135" s="293" t="s">
        <v>42</v>
      </c>
      <c r="G135" s="310" t="s">
        <v>51</v>
      </c>
      <c r="H135" s="311" t="s">
        <v>103</v>
      </c>
      <c r="I135" s="292" t="s">
        <v>318</v>
      </c>
      <c r="J135" s="292" t="s">
        <v>301</v>
      </c>
      <c r="K135" s="303" t="s">
        <v>302</v>
      </c>
    </row>
    <row r="136" spans="1:11" ht="12">
      <c r="A136" s="290">
        <v>7952</v>
      </c>
      <c r="B136" s="291" t="s">
        <v>325</v>
      </c>
      <c r="C136" s="292" t="s">
        <v>326</v>
      </c>
      <c r="D136" s="292" t="s">
        <v>327</v>
      </c>
      <c r="E136" s="292"/>
      <c r="F136" s="293" t="s">
        <v>48</v>
      </c>
      <c r="G136" s="310" t="s">
        <v>227</v>
      </c>
      <c r="H136" s="311"/>
      <c r="I136" s="292" t="s">
        <v>318</v>
      </c>
      <c r="J136" s="292" t="s">
        <v>301</v>
      </c>
      <c r="K136" s="303" t="s">
        <v>302</v>
      </c>
    </row>
    <row r="137" spans="1:11" ht="12">
      <c r="A137" s="290">
        <v>25310</v>
      </c>
      <c r="B137" s="291" t="s">
        <v>328</v>
      </c>
      <c r="C137" s="297" t="s">
        <v>329</v>
      </c>
      <c r="D137" s="297" t="s">
        <v>330</v>
      </c>
      <c r="E137" s="297" t="s">
        <v>2103</v>
      </c>
      <c r="F137" s="293" t="s">
        <v>42</v>
      </c>
      <c r="G137" s="310" t="s">
        <v>43</v>
      </c>
      <c r="H137" s="311" t="s">
        <v>50</v>
      </c>
      <c r="I137" s="297" t="s">
        <v>318</v>
      </c>
      <c r="J137" s="297" t="s">
        <v>301</v>
      </c>
      <c r="K137" s="303" t="s">
        <v>302</v>
      </c>
    </row>
    <row r="138" spans="1:11" ht="12">
      <c r="A138" s="290">
        <v>38879</v>
      </c>
      <c r="B138" s="291" t="s">
        <v>2334</v>
      </c>
      <c r="C138" s="292" t="s">
        <v>2115</v>
      </c>
      <c r="D138" s="292" t="s">
        <v>490</v>
      </c>
      <c r="E138" s="292"/>
      <c r="F138" s="293" t="s">
        <v>42</v>
      </c>
      <c r="G138" s="310" t="s">
        <v>359</v>
      </c>
      <c r="H138" s="311" t="s">
        <v>103</v>
      </c>
      <c r="I138" s="292" t="s">
        <v>318</v>
      </c>
      <c r="J138" s="292" t="s">
        <v>301</v>
      </c>
      <c r="K138" s="303" t="s">
        <v>302</v>
      </c>
    </row>
    <row r="139" spans="1:11" ht="12">
      <c r="A139" s="290">
        <v>38790</v>
      </c>
      <c r="B139" s="291" t="s">
        <v>2114</v>
      </c>
      <c r="C139" s="292" t="s">
        <v>2115</v>
      </c>
      <c r="D139" s="292" t="s">
        <v>1481</v>
      </c>
      <c r="E139" s="292"/>
      <c r="F139" s="293" t="s">
        <v>48</v>
      </c>
      <c r="G139" s="310" t="s">
        <v>138</v>
      </c>
      <c r="H139" s="311"/>
      <c r="I139" s="292" t="s">
        <v>318</v>
      </c>
      <c r="J139" s="292" t="s">
        <v>301</v>
      </c>
      <c r="K139" s="303" t="s">
        <v>302</v>
      </c>
    </row>
    <row r="140" spans="1:11" ht="12">
      <c r="A140" s="290">
        <v>38880</v>
      </c>
      <c r="B140" s="291" t="s">
        <v>2432</v>
      </c>
      <c r="C140" s="292" t="s">
        <v>2117</v>
      </c>
      <c r="D140" s="292" t="s">
        <v>98</v>
      </c>
      <c r="E140" s="292"/>
      <c r="F140" s="293" t="s">
        <v>42</v>
      </c>
      <c r="G140" s="310" t="s">
        <v>66</v>
      </c>
      <c r="H140" s="311" t="s">
        <v>50</v>
      </c>
      <c r="I140" s="292" t="s">
        <v>318</v>
      </c>
      <c r="J140" s="292" t="s">
        <v>301</v>
      </c>
      <c r="K140" s="303" t="s">
        <v>302</v>
      </c>
    </row>
    <row r="141" spans="1:11" ht="12">
      <c r="A141" s="290">
        <v>38825</v>
      </c>
      <c r="B141" s="291" t="s">
        <v>2116</v>
      </c>
      <c r="C141" s="292" t="s">
        <v>2117</v>
      </c>
      <c r="D141" s="292" t="s">
        <v>2118</v>
      </c>
      <c r="E141" s="292"/>
      <c r="F141" s="293" t="s">
        <v>48</v>
      </c>
      <c r="G141" s="310" t="s">
        <v>227</v>
      </c>
      <c r="H141" s="311" t="s">
        <v>44</v>
      </c>
      <c r="I141" s="292" t="s">
        <v>318</v>
      </c>
      <c r="J141" s="292" t="s">
        <v>301</v>
      </c>
      <c r="K141" s="303" t="s">
        <v>302</v>
      </c>
    </row>
    <row r="142" spans="1:11" ht="12">
      <c r="A142" s="290">
        <v>7945</v>
      </c>
      <c r="B142" s="291" t="s">
        <v>331</v>
      </c>
      <c r="C142" s="292" t="s">
        <v>294</v>
      </c>
      <c r="D142" s="292" t="s">
        <v>332</v>
      </c>
      <c r="E142" s="292"/>
      <c r="F142" s="293" t="s">
        <v>42</v>
      </c>
      <c r="G142" s="310" t="s">
        <v>51</v>
      </c>
      <c r="H142" s="311"/>
      <c r="I142" s="292" t="s">
        <v>318</v>
      </c>
      <c r="J142" s="292" t="s">
        <v>301</v>
      </c>
      <c r="K142" s="303" t="s">
        <v>302</v>
      </c>
    </row>
    <row r="143" spans="1:11" ht="12">
      <c r="A143" s="290">
        <v>7947</v>
      </c>
      <c r="B143" s="291" t="s">
        <v>1960</v>
      </c>
      <c r="C143" s="297" t="s">
        <v>344</v>
      </c>
      <c r="D143" s="297" t="s">
        <v>205</v>
      </c>
      <c r="E143" s="297" t="s">
        <v>2103</v>
      </c>
      <c r="F143" s="293" t="s">
        <v>42</v>
      </c>
      <c r="G143" s="310" t="s">
        <v>51</v>
      </c>
      <c r="H143" s="311" t="s">
        <v>50</v>
      </c>
      <c r="I143" s="297" t="s">
        <v>342</v>
      </c>
      <c r="J143" s="297" t="s">
        <v>301</v>
      </c>
      <c r="K143" s="303" t="s">
        <v>302</v>
      </c>
    </row>
    <row r="144" spans="1:11" ht="12">
      <c r="A144" s="290">
        <v>7937</v>
      </c>
      <c r="B144" s="291" t="s">
        <v>343</v>
      </c>
      <c r="C144" s="292" t="s">
        <v>344</v>
      </c>
      <c r="D144" s="292" t="s">
        <v>345</v>
      </c>
      <c r="E144" s="292"/>
      <c r="F144" s="293" t="s">
        <v>42</v>
      </c>
      <c r="G144" s="310" t="s">
        <v>43</v>
      </c>
      <c r="H144" s="311" t="s">
        <v>238</v>
      </c>
      <c r="I144" s="292" t="s">
        <v>342</v>
      </c>
      <c r="J144" s="292" t="s">
        <v>301</v>
      </c>
      <c r="K144" s="303" t="s">
        <v>302</v>
      </c>
    </row>
    <row r="145" spans="1:11" ht="12">
      <c r="A145" s="290">
        <v>7746</v>
      </c>
      <c r="B145" s="291" t="s">
        <v>346</v>
      </c>
      <c r="C145" s="292" t="s">
        <v>347</v>
      </c>
      <c r="D145" s="292" t="s">
        <v>56</v>
      </c>
      <c r="E145" s="292"/>
      <c r="F145" s="293" t="s">
        <v>42</v>
      </c>
      <c r="G145" s="310" t="s">
        <v>66</v>
      </c>
      <c r="H145" s="311" t="s">
        <v>179</v>
      </c>
      <c r="I145" s="292" t="s">
        <v>342</v>
      </c>
      <c r="J145" s="292" t="s">
        <v>301</v>
      </c>
      <c r="K145" s="303" t="s">
        <v>302</v>
      </c>
    </row>
    <row r="146" spans="1:11" ht="12">
      <c r="A146" s="290">
        <v>7977</v>
      </c>
      <c r="B146" s="291" t="s">
        <v>348</v>
      </c>
      <c r="C146" s="292" t="s">
        <v>349</v>
      </c>
      <c r="D146" s="292" t="s">
        <v>350</v>
      </c>
      <c r="E146" s="292"/>
      <c r="F146" s="293" t="s">
        <v>48</v>
      </c>
      <c r="G146" s="310" t="s">
        <v>138</v>
      </c>
      <c r="H146" s="311" t="s">
        <v>179</v>
      </c>
      <c r="I146" s="292" t="s">
        <v>342</v>
      </c>
      <c r="J146" s="292" t="s">
        <v>301</v>
      </c>
      <c r="K146" s="303" t="s">
        <v>302</v>
      </c>
    </row>
    <row r="147" spans="1:11" ht="12">
      <c r="A147" s="290">
        <v>38257</v>
      </c>
      <c r="B147" s="291" t="s">
        <v>351</v>
      </c>
      <c r="C147" s="292" t="s">
        <v>352</v>
      </c>
      <c r="D147" s="292" t="s">
        <v>353</v>
      </c>
      <c r="E147" s="292"/>
      <c r="F147" s="293" t="s">
        <v>42</v>
      </c>
      <c r="G147" s="310" t="s">
        <v>66</v>
      </c>
      <c r="H147" s="311" t="s">
        <v>44</v>
      </c>
      <c r="I147" s="292" t="s">
        <v>342</v>
      </c>
      <c r="J147" s="292" t="s">
        <v>301</v>
      </c>
      <c r="K147" s="303" t="s">
        <v>302</v>
      </c>
    </row>
    <row r="148" spans="1:11" ht="12">
      <c r="A148" s="290">
        <v>16469</v>
      </c>
      <c r="B148" s="291" t="s">
        <v>1961</v>
      </c>
      <c r="C148" s="297" t="s">
        <v>1962</v>
      </c>
      <c r="D148" s="297" t="s">
        <v>1963</v>
      </c>
      <c r="E148" s="297" t="s">
        <v>2103</v>
      </c>
      <c r="F148" s="293" t="s">
        <v>42</v>
      </c>
      <c r="G148" s="310" t="s">
        <v>66</v>
      </c>
      <c r="H148" s="311" t="s">
        <v>179</v>
      </c>
      <c r="I148" s="297" t="s">
        <v>342</v>
      </c>
      <c r="J148" s="297" t="s">
        <v>301</v>
      </c>
      <c r="K148" s="303" t="s">
        <v>302</v>
      </c>
    </row>
    <row r="149" spans="1:11" ht="12">
      <c r="A149" s="290">
        <v>38184</v>
      </c>
      <c r="B149" s="291" t="s">
        <v>354</v>
      </c>
      <c r="C149" s="292" t="s">
        <v>355</v>
      </c>
      <c r="D149" s="292" t="s">
        <v>356</v>
      </c>
      <c r="E149" s="292"/>
      <c r="F149" s="293" t="s">
        <v>42</v>
      </c>
      <c r="G149" s="310" t="s">
        <v>57</v>
      </c>
      <c r="H149" s="311" t="s">
        <v>65</v>
      </c>
      <c r="I149" s="292" t="s">
        <v>342</v>
      </c>
      <c r="J149" s="292" t="s">
        <v>301</v>
      </c>
      <c r="K149" s="303" t="s">
        <v>302</v>
      </c>
    </row>
    <row r="150" spans="1:11" ht="12">
      <c r="A150" s="290">
        <v>38469</v>
      </c>
      <c r="B150" s="291" t="s">
        <v>360</v>
      </c>
      <c r="C150" s="292" t="s">
        <v>357</v>
      </c>
      <c r="D150" s="292" t="s">
        <v>361</v>
      </c>
      <c r="E150" s="292"/>
      <c r="F150" s="293" t="s">
        <v>42</v>
      </c>
      <c r="G150" s="310" t="s">
        <v>66</v>
      </c>
      <c r="H150" s="311" t="s">
        <v>44</v>
      </c>
      <c r="I150" s="292" t="s">
        <v>342</v>
      </c>
      <c r="J150" s="292" t="s">
        <v>301</v>
      </c>
      <c r="K150" s="303" t="s">
        <v>302</v>
      </c>
    </row>
    <row r="151" spans="1:11" ht="12">
      <c r="A151" s="290">
        <v>38443</v>
      </c>
      <c r="B151" s="291" t="s">
        <v>362</v>
      </c>
      <c r="C151" s="292" t="s">
        <v>357</v>
      </c>
      <c r="D151" s="292" t="s">
        <v>363</v>
      </c>
      <c r="E151" s="292"/>
      <c r="F151" s="293" t="s">
        <v>42</v>
      </c>
      <c r="G151" s="310" t="s">
        <v>93</v>
      </c>
      <c r="H151" s="311" t="s">
        <v>50</v>
      </c>
      <c r="I151" s="292" t="s">
        <v>342</v>
      </c>
      <c r="J151" s="292" t="s">
        <v>301</v>
      </c>
      <c r="K151" s="303" t="s">
        <v>302</v>
      </c>
    </row>
    <row r="152" spans="1:11" ht="12">
      <c r="A152" s="290">
        <v>7965</v>
      </c>
      <c r="B152" s="291" t="s">
        <v>364</v>
      </c>
      <c r="C152" s="292" t="s">
        <v>365</v>
      </c>
      <c r="D152" s="292" t="s">
        <v>366</v>
      </c>
      <c r="E152" s="292"/>
      <c r="F152" s="293" t="s">
        <v>42</v>
      </c>
      <c r="G152" s="310" t="s">
        <v>66</v>
      </c>
      <c r="H152" s="311" t="s">
        <v>179</v>
      </c>
      <c r="I152" s="292" t="s">
        <v>342</v>
      </c>
      <c r="J152" s="292" t="s">
        <v>301</v>
      </c>
      <c r="K152" s="303" t="s">
        <v>302</v>
      </c>
    </row>
    <row r="153" spans="1:11" ht="12">
      <c r="A153" s="290">
        <v>7438</v>
      </c>
      <c r="B153" s="291">
        <v>9099133</v>
      </c>
      <c r="C153" s="292" t="s">
        <v>367</v>
      </c>
      <c r="D153" s="292" t="s">
        <v>368</v>
      </c>
      <c r="E153" s="292"/>
      <c r="F153" s="293" t="s">
        <v>48</v>
      </c>
      <c r="G153" s="310" t="s">
        <v>78</v>
      </c>
      <c r="H153" s="311" t="s">
        <v>238</v>
      </c>
      <c r="I153" s="292" t="s">
        <v>342</v>
      </c>
      <c r="J153" s="292" t="s">
        <v>301</v>
      </c>
      <c r="K153" s="303" t="s">
        <v>302</v>
      </c>
    </row>
    <row r="154" spans="1:11" ht="12">
      <c r="A154" s="290">
        <v>7741</v>
      </c>
      <c r="B154" s="291" t="s">
        <v>235</v>
      </c>
      <c r="C154" s="292" t="s">
        <v>135</v>
      </c>
      <c r="D154" s="292" t="s">
        <v>142</v>
      </c>
      <c r="E154" s="292"/>
      <c r="F154" s="293" t="s">
        <v>42</v>
      </c>
      <c r="G154" s="310" t="s">
        <v>66</v>
      </c>
      <c r="H154" s="311" t="s">
        <v>44</v>
      </c>
      <c r="I154" s="292" t="s">
        <v>342</v>
      </c>
      <c r="J154" s="292" t="s">
        <v>301</v>
      </c>
      <c r="K154" s="303" t="s">
        <v>302</v>
      </c>
    </row>
    <row r="155" spans="1:11" ht="12">
      <c r="A155" s="290">
        <v>38671</v>
      </c>
      <c r="B155" s="291" t="s">
        <v>427</v>
      </c>
      <c r="C155" s="297" t="s">
        <v>2433</v>
      </c>
      <c r="D155" s="297" t="s">
        <v>287</v>
      </c>
      <c r="E155" s="297" t="s">
        <v>2103</v>
      </c>
      <c r="F155" s="293" t="s">
        <v>42</v>
      </c>
      <c r="G155" s="310" t="s">
        <v>43</v>
      </c>
      <c r="H155" s="311"/>
      <c r="I155" s="297" t="s">
        <v>342</v>
      </c>
      <c r="J155" s="297" t="s">
        <v>301</v>
      </c>
      <c r="K155" s="303" t="s">
        <v>302</v>
      </c>
    </row>
    <row r="156" spans="1:11" ht="12">
      <c r="A156" s="290">
        <v>13166</v>
      </c>
      <c r="B156" s="291" t="s">
        <v>369</v>
      </c>
      <c r="C156" s="297" t="s">
        <v>370</v>
      </c>
      <c r="D156" s="297" t="s">
        <v>86</v>
      </c>
      <c r="E156" s="297" t="s">
        <v>2103</v>
      </c>
      <c r="F156" s="293" t="s">
        <v>42</v>
      </c>
      <c r="G156" s="310" t="s">
        <v>43</v>
      </c>
      <c r="H156" s="311" t="s">
        <v>44</v>
      </c>
      <c r="I156" s="297" t="s">
        <v>342</v>
      </c>
      <c r="J156" s="297" t="s">
        <v>301</v>
      </c>
      <c r="K156" s="303" t="s">
        <v>302</v>
      </c>
    </row>
    <row r="157" spans="1:11" ht="12">
      <c r="A157" s="290">
        <v>7958</v>
      </c>
      <c r="B157" s="291">
        <v>9111157</v>
      </c>
      <c r="C157" s="292" t="s">
        <v>371</v>
      </c>
      <c r="D157" s="292" t="s">
        <v>372</v>
      </c>
      <c r="E157" s="292"/>
      <c r="F157" s="293" t="s">
        <v>42</v>
      </c>
      <c r="G157" s="310" t="s">
        <v>57</v>
      </c>
      <c r="H157" s="311" t="s">
        <v>44</v>
      </c>
      <c r="I157" s="292" t="s">
        <v>342</v>
      </c>
      <c r="J157" s="292" t="s">
        <v>301</v>
      </c>
      <c r="K157" s="303" t="s">
        <v>302</v>
      </c>
    </row>
    <row r="158" spans="1:11" ht="12">
      <c r="A158" s="290">
        <v>7972</v>
      </c>
      <c r="B158" s="291" t="s">
        <v>2434</v>
      </c>
      <c r="C158" s="292" t="s">
        <v>371</v>
      </c>
      <c r="D158" s="292" t="s">
        <v>225</v>
      </c>
      <c r="E158" s="292"/>
      <c r="F158" s="293" t="s">
        <v>48</v>
      </c>
      <c r="G158" s="310" t="s">
        <v>49</v>
      </c>
      <c r="H158" s="311" t="s">
        <v>44</v>
      </c>
      <c r="I158" s="292" t="s">
        <v>342</v>
      </c>
      <c r="J158" s="292" t="s">
        <v>301</v>
      </c>
      <c r="K158" s="303" t="s">
        <v>302</v>
      </c>
    </row>
    <row r="159" spans="1:11" ht="12">
      <c r="A159" s="290">
        <v>36237</v>
      </c>
      <c r="B159" s="291" t="s">
        <v>373</v>
      </c>
      <c r="C159" s="292" t="s">
        <v>374</v>
      </c>
      <c r="D159" s="292" t="s">
        <v>375</v>
      </c>
      <c r="E159" s="292"/>
      <c r="F159" s="293" t="s">
        <v>42</v>
      </c>
      <c r="G159" s="310" t="s">
        <v>57</v>
      </c>
      <c r="H159" s="311" t="s">
        <v>50</v>
      </c>
      <c r="I159" s="292" t="s">
        <v>342</v>
      </c>
      <c r="J159" s="292" t="s">
        <v>301</v>
      </c>
      <c r="K159" s="303" t="s">
        <v>302</v>
      </c>
    </row>
    <row r="160" spans="1:11" ht="12">
      <c r="A160" s="290">
        <v>16263</v>
      </c>
      <c r="B160" s="291" t="s">
        <v>614</v>
      </c>
      <c r="C160" s="292" t="s">
        <v>615</v>
      </c>
      <c r="D160" s="292" t="s">
        <v>616</v>
      </c>
      <c r="E160" s="292"/>
      <c r="F160" s="293" t="s">
        <v>42</v>
      </c>
      <c r="G160" s="310" t="s">
        <v>51</v>
      </c>
      <c r="H160" s="311" t="s">
        <v>179</v>
      </c>
      <c r="I160" s="292" t="s">
        <v>342</v>
      </c>
      <c r="J160" s="292" t="s">
        <v>301</v>
      </c>
      <c r="K160" s="303" t="s">
        <v>302</v>
      </c>
    </row>
    <row r="161" spans="1:17" ht="12">
      <c r="A161" s="290">
        <v>7735</v>
      </c>
      <c r="B161" s="291" t="s">
        <v>241</v>
      </c>
      <c r="C161" s="292" t="s">
        <v>242</v>
      </c>
      <c r="D161" s="292" t="s">
        <v>243</v>
      </c>
      <c r="E161" s="292"/>
      <c r="F161" s="293" t="s">
        <v>42</v>
      </c>
      <c r="G161" s="310" t="s">
        <v>51</v>
      </c>
      <c r="H161" s="311" t="s">
        <v>238</v>
      </c>
      <c r="I161" s="292" t="s">
        <v>342</v>
      </c>
      <c r="J161" s="292" t="s">
        <v>301</v>
      </c>
      <c r="K161" s="303" t="s">
        <v>302</v>
      </c>
    </row>
    <row r="162" spans="1:17" ht="12">
      <c r="A162" s="290">
        <v>10124</v>
      </c>
      <c r="B162" s="291" t="s">
        <v>1688</v>
      </c>
      <c r="C162" s="292" t="s">
        <v>334</v>
      </c>
      <c r="D162" s="292" t="s">
        <v>106</v>
      </c>
      <c r="E162" s="292"/>
      <c r="F162" s="293" t="s">
        <v>42</v>
      </c>
      <c r="G162" s="310" t="s">
        <v>43</v>
      </c>
      <c r="H162" s="311" t="s">
        <v>238</v>
      </c>
      <c r="I162" s="297" t="s">
        <v>342</v>
      </c>
      <c r="J162" s="292" t="s">
        <v>301</v>
      </c>
      <c r="K162" s="303" t="s">
        <v>302</v>
      </c>
    </row>
    <row r="163" spans="1:17" ht="12">
      <c r="A163" s="290">
        <v>16475</v>
      </c>
      <c r="B163" s="291" t="s">
        <v>1966</v>
      </c>
      <c r="C163" s="297" t="s">
        <v>1967</v>
      </c>
      <c r="D163" s="297" t="s">
        <v>1968</v>
      </c>
      <c r="E163" s="297" t="s">
        <v>2103</v>
      </c>
      <c r="F163" s="293" t="s">
        <v>48</v>
      </c>
      <c r="G163" s="310" t="s">
        <v>49</v>
      </c>
      <c r="H163" s="311" t="s">
        <v>44</v>
      </c>
      <c r="I163" s="297" t="s">
        <v>342</v>
      </c>
      <c r="J163" s="297" t="s">
        <v>301</v>
      </c>
      <c r="K163" s="303" t="s">
        <v>302</v>
      </c>
    </row>
    <row r="164" spans="1:17" ht="12">
      <c r="A164" s="290">
        <v>7083</v>
      </c>
      <c r="B164" s="291" t="s">
        <v>381</v>
      </c>
      <c r="C164" s="292" t="s">
        <v>382</v>
      </c>
      <c r="D164" s="292" t="s">
        <v>383</v>
      </c>
      <c r="E164" s="292"/>
      <c r="F164" s="293" t="s">
        <v>48</v>
      </c>
      <c r="G164" s="310" t="s">
        <v>78</v>
      </c>
      <c r="H164" s="311" t="s">
        <v>238</v>
      </c>
      <c r="I164" s="292" t="s">
        <v>342</v>
      </c>
      <c r="J164" s="292" t="s">
        <v>301</v>
      </c>
      <c r="K164" s="303" t="s">
        <v>302</v>
      </c>
    </row>
    <row r="165" spans="1:17" ht="12">
      <c r="A165" s="290">
        <v>38616</v>
      </c>
      <c r="B165" s="291" t="s">
        <v>384</v>
      </c>
      <c r="C165" s="297" t="s">
        <v>385</v>
      </c>
      <c r="D165" s="297" t="s">
        <v>386</v>
      </c>
      <c r="E165" s="297" t="s">
        <v>2103</v>
      </c>
      <c r="F165" s="293" t="s">
        <v>42</v>
      </c>
      <c r="G165" s="310" t="s">
        <v>51</v>
      </c>
      <c r="H165" s="311" t="s">
        <v>65</v>
      </c>
      <c r="I165" s="297" t="s">
        <v>342</v>
      </c>
      <c r="J165" s="297" t="s">
        <v>301</v>
      </c>
      <c r="K165" s="303" t="s">
        <v>302</v>
      </c>
    </row>
    <row r="166" spans="1:17" ht="12">
      <c r="A166" s="290">
        <v>7976</v>
      </c>
      <c r="B166" s="291" t="s">
        <v>387</v>
      </c>
      <c r="C166" s="292" t="s">
        <v>385</v>
      </c>
      <c r="D166" s="292" t="s">
        <v>229</v>
      </c>
      <c r="E166" s="292"/>
      <c r="F166" s="293" t="s">
        <v>48</v>
      </c>
      <c r="G166" s="310" t="s">
        <v>49</v>
      </c>
      <c r="H166" s="311" t="s">
        <v>44</v>
      </c>
      <c r="I166" s="292" t="s">
        <v>342</v>
      </c>
      <c r="J166" s="292" t="s">
        <v>301</v>
      </c>
      <c r="K166" s="303" t="s">
        <v>302</v>
      </c>
    </row>
    <row r="167" spans="1:17" ht="12">
      <c r="A167" s="290">
        <v>38256</v>
      </c>
      <c r="B167" s="291" t="s">
        <v>388</v>
      </c>
      <c r="C167" s="292" t="s">
        <v>389</v>
      </c>
      <c r="D167" s="292" t="s">
        <v>390</v>
      </c>
      <c r="E167" s="292"/>
      <c r="F167" s="293" t="s">
        <v>48</v>
      </c>
      <c r="G167" s="310" t="s">
        <v>138</v>
      </c>
      <c r="H167" s="311" t="s">
        <v>50</v>
      </c>
      <c r="I167" s="292" t="s">
        <v>342</v>
      </c>
      <c r="J167" s="292" t="s">
        <v>301</v>
      </c>
      <c r="K167" s="303" t="s">
        <v>302</v>
      </c>
    </row>
    <row r="168" spans="1:17" ht="12">
      <c r="A168" s="290">
        <v>38255</v>
      </c>
      <c r="B168" s="291" t="s">
        <v>391</v>
      </c>
      <c r="C168" s="292" t="s">
        <v>389</v>
      </c>
      <c r="D168" s="292" t="s">
        <v>392</v>
      </c>
      <c r="E168" s="292"/>
      <c r="F168" s="293" t="s">
        <v>42</v>
      </c>
      <c r="G168" s="310" t="s">
        <v>43</v>
      </c>
      <c r="H168" s="311" t="s">
        <v>65</v>
      </c>
      <c r="I168" s="292" t="s">
        <v>342</v>
      </c>
      <c r="J168" s="292" t="s">
        <v>301</v>
      </c>
      <c r="K168" s="303" t="s">
        <v>302</v>
      </c>
    </row>
    <row r="169" spans="1:17" ht="12">
      <c r="A169" s="290">
        <v>7740</v>
      </c>
      <c r="B169" s="291" t="s">
        <v>393</v>
      </c>
      <c r="C169" s="292" t="s">
        <v>394</v>
      </c>
      <c r="D169" s="292" t="s">
        <v>97</v>
      </c>
      <c r="E169" s="292"/>
      <c r="F169" s="293" t="s">
        <v>42</v>
      </c>
      <c r="G169" s="310" t="s">
        <v>51</v>
      </c>
      <c r="H169" s="311" t="s">
        <v>44</v>
      </c>
      <c r="I169" s="292" t="s">
        <v>342</v>
      </c>
      <c r="J169" s="292" t="s">
        <v>301</v>
      </c>
      <c r="K169" s="303" t="s">
        <v>302</v>
      </c>
    </row>
    <row r="170" spans="1:17" ht="12">
      <c r="A170" s="290">
        <v>38376</v>
      </c>
      <c r="B170" s="291" t="s">
        <v>395</v>
      </c>
      <c r="C170" s="292" t="s">
        <v>396</v>
      </c>
      <c r="D170" s="292" t="s">
        <v>135</v>
      </c>
      <c r="E170" s="292"/>
      <c r="F170" s="293" t="s">
        <v>42</v>
      </c>
      <c r="G170" s="310" t="s">
        <v>51</v>
      </c>
      <c r="H170" s="311" t="s">
        <v>50</v>
      </c>
      <c r="I170" s="292" t="s">
        <v>342</v>
      </c>
      <c r="J170" s="292" t="s">
        <v>301</v>
      </c>
      <c r="K170" s="303" t="s">
        <v>302</v>
      </c>
    </row>
    <row r="171" spans="1:17" ht="12">
      <c r="A171" s="290">
        <v>38824</v>
      </c>
      <c r="B171" s="291" t="s">
        <v>2119</v>
      </c>
      <c r="C171" s="297" t="s">
        <v>2120</v>
      </c>
      <c r="D171" s="297" t="s">
        <v>124</v>
      </c>
      <c r="E171" s="297" t="s">
        <v>2103</v>
      </c>
      <c r="F171" s="293" t="s">
        <v>42</v>
      </c>
      <c r="G171" s="310" t="s">
        <v>43</v>
      </c>
      <c r="H171" s="311" t="s">
        <v>50</v>
      </c>
      <c r="I171" s="297" t="s">
        <v>342</v>
      </c>
      <c r="J171" s="297" t="s">
        <v>301</v>
      </c>
      <c r="K171" s="303" t="s">
        <v>302</v>
      </c>
    </row>
    <row r="172" spans="1:17" ht="12">
      <c r="A172" s="290">
        <v>38907</v>
      </c>
      <c r="B172" s="291" t="s">
        <v>2435</v>
      </c>
      <c r="C172" s="297" t="s">
        <v>2436</v>
      </c>
      <c r="D172" s="297" t="s">
        <v>142</v>
      </c>
      <c r="E172" s="297" t="s">
        <v>2103</v>
      </c>
      <c r="F172" s="293" t="s">
        <v>42</v>
      </c>
      <c r="G172" s="310" t="s">
        <v>43</v>
      </c>
      <c r="H172" s="311"/>
      <c r="I172" s="297" t="s">
        <v>342</v>
      </c>
      <c r="J172" s="297" t="s">
        <v>301</v>
      </c>
      <c r="K172" s="303" t="s">
        <v>302</v>
      </c>
      <c r="L172" s="26"/>
      <c r="M172" s="26"/>
      <c r="N172" s="26"/>
      <c r="Q172" s="30"/>
    </row>
    <row r="173" spans="1:17" ht="12">
      <c r="A173" s="290">
        <v>7959</v>
      </c>
      <c r="B173" s="291" t="s">
        <v>400</v>
      </c>
      <c r="C173" s="297" t="s">
        <v>401</v>
      </c>
      <c r="D173" s="297" t="s">
        <v>402</v>
      </c>
      <c r="E173" s="297" t="s">
        <v>2103</v>
      </c>
      <c r="F173" s="293" t="s">
        <v>42</v>
      </c>
      <c r="G173" s="310" t="s">
        <v>43</v>
      </c>
      <c r="H173" s="311" t="s">
        <v>65</v>
      </c>
      <c r="I173" s="297" t="s">
        <v>342</v>
      </c>
      <c r="J173" s="297" t="s">
        <v>301</v>
      </c>
      <c r="K173" s="303" t="s">
        <v>302</v>
      </c>
    </row>
    <row r="174" spans="1:17" ht="12">
      <c r="A174" s="290">
        <v>38377</v>
      </c>
      <c r="B174" s="291" t="s">
        <v>403</v>
      </c>
      <c r="C174" s="292" t="s">
        <v>404</v>
      </c>
      <c r="D174" s="292" t="s">
        <v>253</v>
      </c>
      <c r="E174" s="292"/>
      <c r="F174" s="293" t="s">
        <v>48</v>
      </c>
      <c r="G174" s="310" t="s">
        <v>138</v>
      </c>
      <c r="H174" s="311" t="s">
        <v>50</v>
      </c>
      <c r="I174" s="292" t="s">
        <v>342</v>
      </c>
      <c r="J174" s="292" t="s">
        <v>301</v>
      </c>
      <c r="K174" s="303" t="s">
        <v>302</v>
      </c>
    </row>
    <row r="175" spans="1:17" ht="12">
      <c r="A175" s="290">
        <v>25753</v>
      </c>
      <c r="B175" s="291" t="s">
        <v>405</v>
      </c>
      <c r="C175" s="297" t="s">
        <v>404</v>
      </c>
      <c r="D175" s="297" t="s">
        <v>194</v>
      </c>
      <c r="E175" s="297" t="s">
        <v>2103</v>
      </c>
      <c r="F175" s="293" t="s">
        <v>42</v>
      </c>
      <c r="G175" s="310" t="s">
        <v>43</v>
      </c>
      <c r="H175" s="311" t="s">
        <v>44</v>
      </c>
      <c r="I175" s="297" t="s">
        <v>342</v>
      </c>
      <c r="J175" s="297" t="s">
        <v>301</v>
      </c>
      <c r="K175" s="303" t="s">
        <v>302</v>
      </c>
    </row>
    <row r="176" spans="1:17" ht="12">
      <c r="A176" s="290">
        <v>16782</v>
      </c>
      <c r="B176" s="291" t="s">
        <v>406</v>
      </c>
      <c r="C176" s="292" t="s">
        <v>407</v>
      </c>
      <c r="D176" s="292" t="s">
        <v>380</v>
      </c>
      <c r="E176" s="292"/>
      <c r="F176" s="293" t="s">
        <v>42</v>
      </c>
      <c r="G176" s="310" t="s">
        <v>66</v>
      </c>
      <c r="H176" s="311" t="s">
        <v>65</v>
      </c>
      <c r="I176" s="292" t="s">
        <v>342</v>
      </c>
      <c r="J176" s="292" t="s">
        <v>301</v>
      </c>
      <c r="K176" s="303" t="s">
        <v>302</v>
      </c>
    </row>
    <row r="177" spans="1:17" ht="12">
      <c r="A177" s="290">
        <v>25982</v>
      </c>
      <c r="B177" s="291" t="s">
        <v>408</v>
      </c>
      <c r="C177" s="292" t="s">
        <v>409</v>
      </c>
      <c r="D177" s="292" t="s">
        <v>410</v>
      </c>
      <c r="E177" s="292"/>
      <c r="F177" s="293" t="s">
        <v>48</v>
      </c>
      <c r="G177" s="310" t="s">
        <v>78</v>
      </c>
      <c r="H177" s="311" t="s">
        <v>65</v>
      </c>
      <c r="I177" s="292" t="s">
        <v>342</v>
      </c>
      <c r="J177" s="292" t="s">
        <v>301</v>
      </c>
      <c r="K177" s="303" t="s">
        <v>302</v>
      </c>
    </row>
    <row r="178" spans="1:17" ht="12">
      <c r="A178" s="290">
        <v>36696</v>
      </c>
      <c r="B178" s="291" t="s">
        <v>2203</v>
      </c>
      <c r="C178" s="292" t="s">
        <v>2204</v>
      </c>
      <c r="D178" s="292" t="s">
        <v>2205</v>
      </c>
      <c r="E178" s="292"/>
      <c r="F178" s="293" t="s">
        <v>48</v>
      </c>
      <c r="G178" s="310" t="s">
        <v>78</v>
      </c>
      <c r="H178" s="311" t="s">
        <v>179</v>
      </c>
      <c r="I178" s="292" t="s">
        <v>342</v>
      </c>
      <c r="J178" s="292" t="s">
        <v>301</v>
      </c>
      <c r="K178" s="303" t="s">
        <v>302</v>
      </c>
    </row>
    <row r="179" spans="1:17" ht="12">
      <c r="A179" s="290">
        <v>7975</v>
      </c>
      <c r="B179" s="291" t="s">
        <v>411</v>
      </c>
      <c r="C179" s="292" t="s">
        <v>412</v>
      </c>
      <c r="D179" s="292" t="s">
        <v>317</v>
      </c>
      <c r="E179" s="292"/>
      <c r="F179" s="293" t="s">
        <v>48</v>
      </c>
      <c r="G179" s="310" t="s">
        <v>49</v>
      </c>
      <c r="H179" s="311" t="s">
        <v>65</v>
      </c>
      <c r="I179" s="292" t="s">
        <v>342</v>
      </c>
      <c r="J179" s="292" t="s">
        <v>301</v>
      </c>
      <c r="K179" s="303" t="s">
        <v>302</v>
      </c>
    </row>
    <row r="180" spans="1:17" ht="12">
      <c r="A180" s="290">
        <v>16641</v>
      </c>
      <c r="B180" s="291">
        <v>9111159</v>
      </c>
      <c r="C180" s="292" t="s">
        <v>413</v>
      </c>
      <c r="D180" s="292" t="s">
        <v>56</v>
      </c>
      <c r="E180" s="292"/>
      <c r="F180" s="293" t="s">
        <v>42</v>
      </c>
      <c r="G180" s="310" t="s">
        <v>57</v>
      </c>
      <c r="H180" s="311" t="s">
        <v>65</v>
      </c>
      <c r="I180" s="292" t="s">
        <v>342</v>
      </c>
      <c r="J180" s="292" t="s">
        <v>301</v>
      </c>
      <c r="K180" s="303" t="s">
        <v>302</v>
      </c>
      <c r="L180" s="26"/>
      <c r="M180" s="26"/>
      <c r="N180" s="26"/>
      <c r="Q180" s="30"/>
    </row>
    <row r="181" spans="1:17" ht="12">
      <c r="A181" s="290">
        <v>16454</v>
      </c>
      <c r="B181" s="291" t="s">
        <v>414</v>
      </c>
      <c r="C181" s="292" t="s">
        <v>415</v>
      </c>
      <c r="D181" s="292" t="s">
        <v>60</v>
      </c>
      <c r="E181" s="292"/>
      <c r="F181" s="293" t="s">
        <v>42</v>
      </c>
      <c r="G181" s="310" t="s">
        <v>43</v>
      </c>
      <c r="H181" s="311"/>
      <c r="I181" s="292" t="s">
        <v>342</v>
      </c>
      <c r="J181" s="292" t="s">
        <v>301</v>
      </c>
      <c r="K181" s="303" t="s">
        <v>302</v>
      </c>
    </row>
    <row r="182" spans="1:17" ht="12">
      <c r="A182" s="290">
        <v>7974</v>
      </c>
      <c r="B182" s="291" t="s">
        <v>416</v>
      </c>
      <c r="C182" s="292" t="s">
        <v>214</v>
      </c>
      <c r="D182" s="292" t="s">
        <v>417</v>
      </c>
      <c r="E182" s="292"/>
      <c r="F182" s="293" t="s">
        <v>48</v>
      </c>
      <c r="G182" s="310" t="s">
        <v>227</v>
      </c>
      <c r="H182" s="311" t="s">
        <v>44</v>
      </c>
      <c r="I182" s="292" t="s">
        <v>342</v>
      </c>
      <c r="J182" s="292" t="s">
        <v>301</v>
      </c>
      <c r="K182" s="303" t="s">
        <v>302</v>
      </c>
    </row>
    <row r="183" spans="1:17" ht="12">
      <c r="A183" s="290">
        <v>7961</v>
      </c>
      <c r="B183" s="291" t="s">
        <v>418</v>
      </c>
      <c r="C183" s="292" t="s">
        <v>214</v>
      </c>
      <c r="D183" s="292" t="s">
        <v>116</v>
      </c>
      <c r="E183" s="292"/>
      <c r="F183" s="293" t="s">
        <v>42</v>
      </c>
      <c r="G183" s="310" t="s">
        <v>51</v>
      </c>
      <c r="H183" s="311" t="s">
        <v>44</v>
      </c>
      <c r="I183" s="292" t="s">
        <v>342</v>
      </c>
      <c r="J183" s="292" t="s">
        <v>301</v>
      </c>
      <c r="K183" s="303" t="s">
        <v>302</v>
      </c>
    </row>
    <row r="184" spans="1:17" ht="12">
      <c r="A184" s="290">
        <v>26201</v>
      </c>
      <c r="B184" s="291" t="s">
        <v>422</v>
      </c>
      <c r="C184" s="297" t="s">
        <v>423</v>
      </c>
      <c r="D184" s="297" t="s">
        <v>424</v>
      </c>
      <c r="E184" s="297" t="s">
        <v>2103</v>
      </c>
      <c r="F184" s="293" t="s">
        <v>48</v>
      </c>
      <c r="G184" s="310" t="s">
        <v>78</v>
      </c>
      <c r="H184" s="311" t="s">
        <v>179</v>
      </c>
      <c r="I184" s="297" t="s">
        <v>342</v>
      </c>
      <c r="J184" s="297" t="s">
        <v>301</v>
      </c>
      <c r="K184" s="303" t="s">
        <v>302</v>
      </c>
    </row>
    <row r="185" spans="1:17" ht="12">
      <c r="A185" s="290">
        <v>7738</v>
      </c>
      <c r="B185" s="291" t="s">
        <v>425</v>
      </c>
      <c r="C185" s="292" t="s">
        <v>426</v>
      </c>
      <c r="D185" s="292" t="s">
        <v>116</v>
      </c>
      <c r="E185" s="292"/>
      <c r="F185" s="293" t="s">
        <v>42</v>
      </c>
      <c r="G185" s="310" t="s">
        <v>51</v>
      </c>
      <c r="H185" s="311" t="s">
        <v>179</v>
      </c>
      <c r="I185" s="292" t="s">
        <v>342</v>
      </c>
      <c r="J185" s="292" t="s">
        <v>301</v>
      </c>
      <c r="K185" s="303" t="s">
        <v>302</v>
      </c>
    </row>
    <row r="186" spans="1:17" ht="12">
      <c r="A186" s="290">
        <v>38513</v>
      </c>
      <c r="B186" s="291" t="s">
        <v>428</v>
      </c>
      <c r="C186" s="292" t="s">
        <v>429</v>
      </c>
      <c r="D186" s="292" t="s">
        <v>430</v>
      </c>
      <c r="E186" s="292"/>
      <c r="F186" s="293" t="s">
        <v>48</v>
      </c>
      <c r="G186" s="310" t="s">
        <v>78</v>
      </c>
      <c r="H186" s="311" t="s">
        <v>44</v>
      </c>
      <c r="I186" s="292" t="s">
        <v>342</v>
      </c>
      <c r="J186" s="292" t="s">
        <v>301</v>
      </c>
      <c r="K186" s="303" t="s">
        <v>302</v>
      </c>
    </row>
    <row r="187" spans="1:17" ht="12">
      <c r="A187" s="290">
        <v>25551</v>
      </c>
      <c r="B187" s="291" t="s">
        <v>431</v>
      </c>
      <c r="C187" s="292" t="s">
        <v>432</v>
      </c>
      <c r="D187" s="292" t="s">
        <v>383</v>
      </c>
      <c r="E187" s="292"/>
      <c r="F187" s="293" t="s">
        <v>48</v>
      </c>
      <c r="G187" s="310" t="s">
        <v>78</v>
      </c>
      <c r="H187" s="311" t="s">
        <v>65</v>
      </c>
      <c r="I187" s="297" t="s">
        <v>342</v>
      </c>
      <c r="J187" s="292" t="s">
        <v>301</v>
      </c>
      <c r="K187" s="303" t="s">
        <v>302</v>
      </c>
    </row>
    <row r="188" spans="1:17" ht="12">
      <c r="A188" s="290">
        <v>25465</v>
      </c>
      <c r="B188" s="291" t="s">
        <v>433</v>
      </c>
      <c r="C188" s="292" t="s">
        <v>432</v>
      </c>
      <c r="D188" s="292" t="s">
        <v>434</v>
      </c>
      <c r="E188" s="292"/>
      <c r="F188" s="293" t="s">
        <v>42</v>
      </c>
      <c r="G188" s="310" t="s">
        <v>43</v>
      </c>
      <c r="H188" s="311" t="s">
        <v>179</v>
      </c>
      <c r="I188" s="297" t="s">
        <v>342</v>
      </c>
      <c r="J188" s="292" t="s">
        <v>301</v>
      </c>
      <c r="K188" s="303" t="s">
        <v>302</v>
      </c>
    </row>
    <row r="189" spans="1:17" ht="12">
      <c r="A189" s="290">
        <v>25350</v>
      </c>
      <c r="B189" s="291" t="s">
        <v>250</v>
      </c>
      <c r="C189" s="297" t="s">
        <v>251</v>
      </c>
      <c r="D189" s="297" t="s">
        <v>252</v>
      </c>
      <c r="E189" s="297" t="s">
        <v>2103</v>
      </c>
      <c r="F189" s="293" t="s">
        <v>42</v>
      </c>
      <c r="G189" s="310" t="s">
        <v>66</v>
      </c>
      <c r="H189" s="311" t="s">
        <v>65</v>
      </c>
      <c r="I189" s="297" t="s">
        <v>342</v>
      </c>
      <c r="J189" s="297" t="s">
        <v>301</v>
      </c>
      <c r="K189" s="303" t="s">
        <v>302</v>
      </c>
    </row>
    <row r="190" spans="1:17" ht="12">
      <c r="A190" s="290">
        <v>38045</v>
      </c>
      <c r="B190" s="291" t="s">
        <v>333</v>
      </c>
      <c r="C190" s="292" t="s">
        <v>334</v>
      </c>
      <c r="D190" s="292" t="s">
        <v>335</v>
      </c>
      <c r="E190" s="292"/>
      <c r="F190" s="293" t="s">
        <v>48</v>
      </c>
      <c r="G190" s="310" t="s">
        <v>78</v>
      </c>
      <c r="H190" s="311" t="s">
        <v>238</v>
      </c>
      <c r="I190" s="292" t="s">
        <v>254</v>
      </c>
      <c r="J190" s="292" t="s">
        <v>301</v>
      </c>
      <c r="K190" s="303" t="s">
        <v>302</v>
      </c>
    </row>
    <row r="191" spans="1:17" ht="12">
      <c r="A191" s="290">
        <v>25329</v>
      </c>
      <c r="B191" s="291" t="s">
        <v>336</v>
      </c>
      <c r="C191" s="292" t="s">
        <v>337</v>
      </c>
      <c r="D191" s="292" t="s">
        <v>338</v>
      </c>
      <c r="E191" s="292"/>
      <c r="F191" s="293" t="s">
        <v>48</v>
      </c>
      <c r="G191" s="294" t="s">
        <v>78</v>
      </c>
      <c r="H191" s="295">
        <v>0</v>
      </c>
      <c r="I191" s="292" t="s">
        <v>254</v>
      </c>
      <c r="J191" s="292" t="s">
        <v>301</v>
      </c>
      <c r="K191" s="303" t="s">
        <v>302</v>
      </c>
    </row>
    <row r="192" spans="1:17" ht="12">
      <c r="A192" s="290">
        <v>7981</v>
      </c>
      <c r="B192" s="291" t="s">
        <v>435</v>
      </c>
      <c r="C192" s="292" t="s">
        <v>436</v>
      </c>
      <c r="D192" s="292" t="s">
        <v>437</v>
      </c>
      <c r="E192" s="292"/>
      <c r="F192" s="293" t="s">
        <v>48</v>
      </c>
      <c r="G192" s="310" t="s">
        <v>138</v>
      </c>
      <c r="H192" s="311"/>
      <c r="I192" s="292" t="s">
        <v>438</v>
      </c>
      <c r="J192" s="292" t="s">
        <v>439</v>
      </c>
      <c r="K192" s="303" t="s">
        <v>440</v>
      </c>
    </row>
    <row r="193" spans="1:17" ht="12">
      <c r="A193" s="290">
        <v>25408</v>
      </c>
      <c r="B193" s="291" t="s">
        <v>441</v>
      </c>
      <c r="C193" s="292" t="s">
        <v>442</v>
      </c>
      <c r="D193" s="292" t="s">
        <v>443</v>
      </c>
      <c r="E193" s="292"/>
      <c r="F193" s="293" t="s">
        <v>42</v>
      </c>
      <c r="G193" s="310" t="s">
        <v>43</v>
      </c>
      <c r="H193" s="311" t="s">
        <v>65</v>
      </c>
      <c r="I193" s="292" t="s">
        <v>438</v>
      </c>
      <c r="J193" s="292" t="s">
        <v>439</v>
      </c>
      <c r="K193" s="303" t="s">
        <v>440</v>
      </c>
    </row>
    <row r="194" spans="1:17" ht="12">
      <c r="A194" s="290">
        <v>38110</v>
      </c>
      <c r="B194" s="291" t="s">
        <v>444</v>
      </c>
      <c r="C194" s="292" t="s">
        <v>445</v>
      </c>
      <c r="D194" s="292" t="s">
        <v>178</v>
      </c>
      <c r="E194" s="292"/>
      <c r="F194" s="293" t="s">
        <v>42</v>
      </c>
      <c r="G194" s="310" t="s">
        <v>43</v>
      </c>
      <c r="H194" s="311" t="s">
        <v>179</v>
      </c>
      <c r="I194" s="292" t="s">
        <v>438</v>
      </c>
      <c r="J194" s="292" t="s">
        <v>439</v>
      </c>
      <c r="K194" s="303" t="s">
        <v>440</v>
      </c>
      <c r="L194" s="26"/>
      <c r="M194" s="26"/>
      <c r="N194" s="26"/>
      <c r="Q194" s="30"/>
    </row>
    <row r="195" spans="1:17" ht="12">
      <c r="A195" s="290">
        <v>25543</v>
      </c>
      <c r="B195" s="291" t="s">
        <v>446</v>
      </c>
      <c r="C195" s="292" t="s">
        <v>447</v>
      </c>
      <c r="D195" s="292" t="s">
        <v>448</v>
      </c>
      <c r="E195" s="292"/>
      <c r="F195" s="293" t="s">
        <v>42</v>
      </c>
      <c r="G195" s="310" t="s">
        <v>57</v>
      </c>
      <c r="H195" s="311" t="s">
        <v>44</v>
      </c>
      <c r="I195" s="292" t="s">
        <v>438</v>
      </c>
      <c r="J195" s="292" t="s">
        <v>439</v>
      </c>
      <c r="K195" s="303" t="s">
        <v>440</v>
      </c>
    </row>
    <row r="196" spans="1:17" ht="12">
      <c r="A196" s="290">
        <v>25542</v>
      </c>
      <c r="B196" s="291" t="s">
        <v>449</v>
      </c>
      <c r="C196" s="292" t="s">
        <v>450</v>
      </c>
      <c r="D196" s="292" t="s">
        <v>451</v>
      </c>
      <c r="E196" s="292"/>
      <c r="F196" s="293" t="s">
        <v>48</v>
      </c>
      <c r="G196" s="310" t="s">
        <v>49</v>
      </c>
      <c r="H196" s="311" t="s">
        <v>50</v>
      </c>
      <c r="I196" s="292" t="s">
        <v>438</v>
      </c>
      <c r="J196" s="292" t="s">
        <v>439</v>
      </c>
      <c r="K196" s="303" t="s">
        <v>440</v>
      </c>
    </row>
    <row r="197" spans="1:17" ht="12">
      <c r="A197" s="290">
        <v>24731</v>
      </c>
      <c r="B197" s="291" t="s">
        <v>453</v>
      </c>
      <c r="C197" s="292" t="s">
        <v>454</v>
      </c>
      <c r="D197" s="292" t="s">
        <v>81</v>
      </c>
      <c r="E197" s="292"/>
      <c r="F197" s="293" t="s">
        <v>42</v>
      </c>
      <c r="G197" s="310" t="s">
        <v>43</v>
      </c>
      <c r="H197" s="311" t="s">
        <v>44</v>
      </c>
      <c r="I197" s="292" t="s">
        <v>438</v>
      </c>
      <c r="J197" s="292" t="s">
        <v>439</v>
      </c>
      <c r="K197" s="303" t="s">
        <v>440</v>
      </c>
    </row>
    <row r="198" spans="1:17" ht="12">
      <c r="A198" s="290">
        <v>38827</v>
      </c>
      <c r="B198" s="291" t="s">
        <v>2121</v>
      </c>
      <c r="C198" s="292" t="s">
        <v>2122</v>
      </c>
      <c r="D198" s="292" t="s">
        <v>2123</v>
      </c>
      <c r="E198" s="292"/>
      <c r="F198" s="293" t="s">
        <v>42</v>
      </c>
      <c r="G198" s="310" t="s">
        <v>43</v>
      </c>
      <c r="H198" s="311" t="s">
        <v>65</v>
      </c>
      <c r="I198" s="292" t="s">
        <v>438</v>
      </c>
      <c r="J198" s="292" t="s">
        <v>439</v>
      </c>
      <c r="K198" s="303" t="s">
        <v>440</v>
      </c>
    </row>
    <row r="199" spans="1:17" ht="12">
      <c r="A199" s="290">
        <v>25138</v>
      </c>
      <c r="B199" s="291" t="s">
        <v>459</v>
      </c>
      <c r="C199" s="292" t="s">
        <v>326</v>
      </c>
      <c r="D199" s="292" t="s">
        <v>460</v>
      </c>
      <c r="E199" s="292"/>
      <c r="F199" s="293" t="s">
        <v>42</v>
      </c>
      <c r="G199" s="310" t="s">
        <v>51</v>
      </c>
      <c r="H199" s="311" t="s">
        <v>44</v>
      </c>
      <c r="I199" s="292" t="s">
        <v>438</v>
      </c>
      <c r="J199" s="292" t="s">
        <v>439</v>
      </c>
      <c r="K199" s="303" t="s">
        <v>440</v>
      </c>
    </row>
    <row r="200" spans="1:17" ht="12">
      <c r="A200" s="290">
        <v>16633</v>
      </c>
      <c r="B200" s="291" t="s">
        <v>461</v>
      </c>
      <c r="C200" s="292" t="s">
        <v>462</v>
      </c>
      <c r="D200" s="292" t="s">
        <v>304</v>
      </c>
      <c r="E200" s="292"/>
      <c r="F200" s="293" t="s">
        <v>42</v>
      </c>
      <c r="G200" s="310" t="s">
        <v>66</v>
      </c>
      <c r="H200" s="311"/>
      <c r="I200" s="292" t="s">
        <v>438</v>
      </c>
      <c r="J200" s="292" t="s">
        <v>439</v>
      </c>
      <c r="K200" s="303" t="s">
        <v>440</v>
      </c>
    </row>
    <row r="201" spans="1:17" ht="12">
      <c r="A201" s="290">
        <v>38665</v>
      </c>
      <c r="B201" s="291" t="s">
        <v>463</v>
      </c>
      <c r="C201" s="292" t="s">
        <v>139</v>
      </c>
      <c r="D201" s="292" t="s">
        <v>230</v>
      </c>
      <c r="E201" s="292"/>
      <c r="F201" s="293" t="s">
        <v>42</v>
      </c>
      <c r="G201" s="310" t="s">
        <v>43</v>
      </c>
      <c r="H201" s="311" t="s">
        <v>65</v>
      </c>
      <c r="I201" s="292" t="s">
        <v>438</v>
      </c>
      <c r="J201" s="292" t="s">
        <v>439</v>
      </c>
      <c r="K201" s="303" t="s">
        <v>440</v>
      </c>
    </row>
    <row r="202" spans="1:17" ht="12">
      <c r="A202" s="290">
        <v>38842</v>
      </c>
      <c r="B202" s="291" t="s">
        <v>2124</v>
      </c>
      <c r="C202" s="292" t="s">
        <v>2125</v>
      </c>
      <c r="D202" s="292" t="s">
        <v>345</v>
      </c>
      <c r="E202" s="292"/>
      <c r="F202" s="293" t="s">
        <v>42</v>
      </c>
      <c r="G202" s="310" t="s">
        <v>43</v>
      </c>
      <c r="H202" s="311" t="s">
        <v>65</v>
      </c>
      <c r="I202" s="292" t="s">
        <v>438</v>
      </c>
      <c r="J202" s="292" t="s">
        <v>439</v>
      </c>
      <c r="K202" s="303" t="s">
        <v>440</v>
      </c>
    </row>
    <row r="203" spans="1:17" ht="12">
      <c r="A203" s="290">
        <v>16064</v>
      </c>
      <c r="B203" s="291" t="s">
        <v>464</v>
      </c>
      <c r="C203" s="292" t="s">
        <v>465</v>
      </c>
      <c r="D203" s="292" t="s">
        <v>72</v>
      </c>
      <c r="E203" s="292"/>
      <c r="F203" s="293" t="s">
        <v>42</v>
      </c>
      <c r="G203" s="310" t="s">
        <v>51</v>
      </c>
      <c r="H203" s="311" t="s">
        <v>65</v>
      </c>
      <c r="I203" s="292" t="s">
        <v>438</v>
      </c>
      <c r="J203" s="292" t="s">
        <v>439</v>
      </c>
      <c r="K203" s="303" t="s">
        <v>440</v>
      </c>
    </row>
    <row r="204" spans="1:17" ht="12">
      <c r="A204" s="290">
        <v>16044</v>
      </c>
      <c r="B204" s="291" t="s">
        <v>466</v>
      </c>
      <c r="C204" s="292" t="s">
        <v>467</v>
      </c>
      <c r="D204" s="292" t="s">
        <v>86</v>
      </c>
      <c r="E204" s="292"/>
      <c r="F204" s="293" t="s">
        <v>42</v>
      </c>
      <c r="G204" s="294" t="s">
        <v>43</v>
      </c>
      <c r="H204" s="295">
        <v>0</v>
      </c>
      <c r="I204" s="292" t="s">
        <v>438</v>
      </c>
      <c r="J204" s="292" t="s">
        <v>439</v>
      </c>
      <c r="K204" s="303" t="s">
        <v>440</v>
      </c>
    </row>
    <row r="205" spans="1:17" ht="12">
      <c r="A205" s="290">
        <v>38829</v>
      </c>
      <c r="B205" s="291" t="s">
        <v>2126</v>
      </c>
      <c r="C205" s="292" t="s">
        <v>2127</v>
      </c>
      <c r="D205" s="292" t="s">
        <v>2128</v>
      </c>
      <c r="E205" s="292"/>
      <c r="F205" s="293" t="s">
        <v>42</v>
      </c>
      <c r="G205" s="310" t="s">
        <v>43</v>
      </c>
      <c r="H205" s="311"/>
      <c r="I205" s="292" t="s">
        <v>438</v>
      </c>
      <c r="J205" s="292" t="s">
        <v>439</v>
      </c>
      <c r="K205" s="303" t="s">
        <v>440</v>
      </c>
    </row>
    <row r="206" spans="1:17" ht="12">
      <c r="A206" s="290">
        <v>38696</v>
      </c>
      <c r="B206" s="291" t="s">
        <v>468</v>
      </c>
      <c r="C206" s="292" t="s">
        <v>469</v>
      </c>
      <c r="D206" s="292" t="s">
        <v>281</v>
      </c>
      <c r="E206" s="292"/>
      <c r="F206" s="293" t="s">
        <v>42</v>
      </c>
      <c r="G206" s="310" t="s">
        <v>43</v>
      </c>
      <c r="H206" s="311"/>
      <c r="I206" s="292" t="s">
        <v>438</v>
      </c>
      <c r="J206" s="292" t="s">
        <v>439</v>
      </c>
      <c r="K206" s="303" t="s">
        <v>440</v>
      </c>
    </row>
    <row r="207" spans="1:17" ht="12">
      <c r="A207" s="290">
        <v>7985</v>
      </c>
      <c r="B207" s="291" t="s">
        <v>470</v>
      </c>
      <c r="C207" s="292" t="s">
        <v>471</v>
      </c>
      <c r="D207" s="292" t="s">
        <v>472</v>
      </c>
      <c r="E207" s="292"/>
      <c r="F207" s="293" t="s">
        <v>48</v>
      </c>
      <c r="G207" s="310" t="s">
        <v>227</v>
      </c>
      <c r="H207" s="311"/>
      <c r="I207" s="292" t="s">
        <v>438</v>
      </c>
      <c r="J207" s="292" t="s">
        <v>439</v>
      </c>
      <c r="K207" s="303" t="s">
        <v>440</v>
      </c>
    </row>
    <row r="208" spans="1:17" ht="12">
      <c r="A208" s="290">
        <v>38703</v>
      </c>
      <c r="B208" s="291" t="s">
        <v>473</v>
      </c>
      <c r="C208" s="292" t="s">
        <v>474</v>
      </c>
      <c r="D208" s="292" t="s">
        <v>475</v>
      </c>
      <c r="E208" s="292"/>
      <c r="F208" s="293" t="s">
        <v>48</v>
      </c>
      <c r="G208" s="310" t="s">
        <v>78</v>
      </c>
      <c r="H208" s="311"/>
      <c r="I208" s="292" t="s">
        <v>438</v>
      </c>
      <c r="J208" s="292" t="s">
        <v>439</v>
      </c>
      <c r="K208" s="303" t="s">
        <v>440</v>
      </c>
    </row>
    <row r="209" spans="1:17" ht="12">
      <c r="A209" s="290">
        <v>38568</v>
      </c>
      <c r="B209" s="291" t="s">
        <v>477</v>
      </c>
      <c r="C209" s="292" t="s">
        <v>478</v>
      </c>
      <c r="D209" s="292" t="s">
        <v>98</v>
      </c>
      <c r="E209" s="292"/>
      <c r="F209" s="293" t="s">
        <v>42</v>
      </c>
      <c r="G209" s="310" t="s">
        <v>43</v>
      </c>
      <c r="H209" s="311" t="s">
        <v>65</v>
      </c>
      <c r="I209" s="292" t="s">
        <v>438</v>
      </c>
      <c r="J209" s="292" t="s">
        <v>439</v>
      </c>
      <c r="K209" s="303" t="s">
        <v>440</v>
      </c>
    </row>
    <row r="210" spans="1:17" ht="12">
      <c r="A210" s="290">
        <v>16069</v>
      </c>
      <c r="B210" s="291" t="s">
        <v>479</v>
      </c>
      <c r="C210" s="292" t="s">
        <v>478</v>
      </c>
      <c r="D210" s="292" t="s">
        <v>480</v>
      </c>
      <c r="E210" s="292"/>
      <c r="F210" s="293" t="s">
        <v>42</v>
      </c>
      <c r="G210" s="310" t="s">
        <v>51</v>
      </c>
      <c r="H210" s="311"/>
      <c r="I210" s="292" t="s">
        <v>438</v>
      </c>
      <c r="J210" s="292" t="s">
        <v>439</v>
      </c>
      <c r="K210" s="303" t="s">
        <v>440</v>
      </c>
    </row>
    <row r="211" spans="1:17" ht="12">
      <c r="A211" s="290">
        <v>38911</v>
      </c>
      <c r="B211" s="291" t="s">
        <v>2437</v>
      </c>
      <c r="C211" s="292" t="s">
        <v>2438</v>
      </c>
      <c r="D211" s="292" t="s">
        <v>151</v>
      </c>
      <c r="E211" s="292"/>
      <c r="F211" s="293" t="s">
        <v>48</v>
      </c>
      <c r="G211" s="294" t="s">
        <v>78</v>
      </c>
      <c r="H211" s="295">
        <v>0</v>
      </c>
      <c r="I211" s="292" t="s">
        <v>438</v>
      </c>
      <c r="J211" s="292" t="s">
        <v>439</v>
      </c>
      <c r="K211" s="303" t="s">
        <v>440</v>
      </c>
    </row>
    <row r="212" spans="1:17" ht="12">
      <c r="A212" s="290">
        <v>38707</v>
      </c>
      <c r="B212" s="291" t="s">
        <v>481</v>
      </c>
      <c r="C212" s="292" t="s">
        <v>482</v>
      </c>
      <c r="D212" s="292" t="s">
        <v>131</v>
      </c>
      <c r="E212" s="292"/>
      <c r="F212" s="293" t="s">
        <v>42</v>
      </c>
      <c r="G212" s="310" t="s">
        <v>43</v>
      </c>
      <c r="H212" s="311"/>
      <c r="I212" s="292" t="s">
        <v>438</v>
      </c>
      <c r="J212" s="292" t="s">
        <v>439</v>
      </c>
      <c r="K212" s="303" t="s">
        <v>440</v>
      </c>
    </row>
    <row r="213" spans="1:17" ht="12">
      <c r="A213" s="290">
        <v>38828</v>
      </c>
      <c r="B213" s="291" t="s">
        <v>2129</v>
      </c>
      <c r="C213" s="292" t="s">
        <v>2130</v>
      </c>
      <c r="D213" s="292" t="s">
        <v>194</v>
      </c>
      <c r="E213" s="292"/>
      <c r="F213" s="293" t="s">
        <v>42</v>
      </c>
      <c r="G213" s="310" t="s">
        <v>43</v>
      </c>
      <c r="H213" s="311"/>
      <c r="I213" s="292" t="s">
        <v>438</v>
      </c>
      <c r="J213" s="292" t="s">
        <v>439</v>
      </c>
      <c r="K213" s="303" t="s">
        <v>440</v>
      </c>
    </row>
    <row r="214" spans="1:17" ht="12">
      <c r="A214" s="290">
        <v>16051</v>
      </c>
      <c r="B214" s="291" t="s">
        <v>483</v>
      </c>
      <c r="C214" s="292" t="s">
        <v>484</v>
      </c>
      <c r="D214" s="292" t="s">
        <v>237</v>
      </c>
      <c r="E214" s="292"/>
      <c r="F214" s="293" t="s">
        <v>42</v>
      </c>
      <c r="G214" s="310" t="s">
        <v>43</v>
      </c>
      <c r="H214" s="311" t="s">
        <v>179</v>
      </c>
      <c r="I214" s="292" t="s">
        <v>485</v>
      </c>
      <c r="J214" s="292" t="s">
        <v>439</v>
      </c>
      <c r="K214" s="303" t="s">
        <v>440</v>
      </c>
    </row>
    <row r="215" spans="1:17" ht="12">
      <c r="A215" s="290">
        <v>16024</v>
      </c>
      <c r="B215" s="291" t="s">
        <v>486</v>
      </c>
      <c r="C215" s="292" t="s">
        <v>484</v>
      </c>
      <c r="D215" s="292" t="s">
        <v>487</v>
      </c>
      <c r="E215" s="292"/>
      <c r="F215" s="293" t="s">
        <v>42</v>
      </c>
      <c r="G215" s="310" t="s">
        <v>43</v>
      </c>
      <c r="H215" s="311" t="s">
        <v>179</v>
      </c>
      <c r="I215" s="292" t="s">
        <v>485</v>
      </c>
      <c r="J215" s="292" t="s">
        <v>439</v>
      </c>
      <c r="K215" s="303" t="s">
        <v>440</v>
      </c>
    </row>
    <row r="216" spans="1:17" ht="12">
      <c r="A216" s="290">
        <v>25229</v>
      </c>
      <c r="B216" s="291" t="s">
        <v>917</v>
      </c>
      <c r="C216" s="292" t="s">
        <v>918</v>
      </c>
      <c r="D216" s="292" t="s">
        <v>621</v>
      </c>
      <c r="E216" s="292"/>
      <c r="F216" s="293" t="s">
        <v>42</v>
      </c>
      <c r="G216" s="310" t="s">
        <v>43</v>
      </c>
      <c r="H216" s="311" t="s">
        <v>65</v>
      </c>
      <c r="I216" s="292" t="s">
        <v>485</v>
      </c>
      <c r="J216" s="292" t="s">
        <v>439</v>
      </c>
      <c r="K216" s="303" t="s">
        <v>440</v>
      </c>
      <c r="L216" s="26"/>
      <c r="M216" s="26"/>
      <c r="N216" s="26"/>
      <c r="Q216" s="30"/>
    </row>
    <row r="217" spans="1:17" ht="12">
      <c r="A217" s="290">
        <v>7587</v>
      </c>
      <c r="B217" s="291" t="s">
        <v>488</v>
      </c>
      <c r="C217" s="292" t="s">
        <v>489</v>
      </c>
      <c r="D217" s="292" t="s">
        <v>490</v>
      </c>
      <c r="E217" s="292"/>
      <c r="F217" s="293" t="s">
        <v>42</v>
      </c>
      <c r="G217" s="310" t="s">
        <v>43</v>
      </c>
      <c r="H217" s="311" t="s">
        <v>238</v>
      </c>
      <c r="I217" s="292" t="s">
        <v>485</v>
      </c>
      <c r="J217" s="292" t="s">
        <v>439</v>
      </c>
      <c r="K217" s="303" t="s">
        <v>440</v>
      </c>
    </row>
    <row r="218" spans="1:17" ht="12">
      <c r="A218" s="290">
        <v>7018</v>
      </c>
      <c r="B218" s="291" t="s">
        <v>491</v>
      </c>
      <c r="C218" s="292" t="s">
        <v>492</v>
      </c>
      <c r="D218" s="292" t="s">
        <v>493</v>
      </c>
      <c r="E218" s="292"/>
      <c r="F218" s="293" t="s">
        <v>42</v>
      </c>
      <c r="G218" s="310" t="s">
        <v>43</v>
      </c>
      <c r="H218" s="311"/>
      <c r="I218" s="292" t="s">
        <v>485</v>
      </c>
      <c r="J218" s="292" t="s">
        <v>439</v>
      </c>
      <c r="K218" s="303" t="s">
        <v>440</v>
      </c>
      <c r="L218" s="26"/>
      <c r="M218" s="26"/>
      <c r="N218" s="26"/>
      <c r="Q218" s="30"/>
    </row>
    <row r="219" spans="1:17" ht="12">
      <c r="A219" s="290">
        <v>16002</v>
      </c>
      <c r="B219" s="291" t="s">
        <v>494</v>
      </c>
      <c r="C219" s="292" t="s">
        <v>495</v>
      </c>
      <c r="D219" s="292" t="s">
        <v>496</v>
      </c>
      <c r="E219" s="292"/>
      <c r="F219" s="293" t="s">
        <v>42</v>
      </c>
      <c r="G219" s="310" t="s">
        <v>66</v>
      </c>
      <c r="H219" s="311" t="s">
        <v>44</v>
      </c>
      <c r="I219" s="292" t="s">
        <v>485</v>
      </c>
      <c r="J219" s="292" t="s">
        <v>439</v>
      </c>
      <c r="K219" s="303" t="s">
        <v>440</v>
      </c>
    </row>
    <row r="220" spans="1:17" ht="12">
      <c r="A220" s="290">
        <v>7590</v>
      </c>
      <c r="B220" s="291" t="s">
        <v>501</v>
      </c>
      <c r="C220" s="292" t="s">
        <v>502</v>
      </c>
      <c r="D220" s="292" t="s">
        <v>503</v>
      </c>
      <c r="E220" s="292"/>
      <c r="F220" s="293" t="s">
        <v>42</v>
      </c>
      <c r="G220" s="294" t="s">
        <v>51</v>
      </c>
      <c r="H220" s="295">
        <v>0</v>
      </c>
      <c r="I220" s="292" t="s">
        <v>254</v>
      </c>
      <c r="J220" s="292" t="s">
        <v>439</v>
      </c>
      <c r="K220" s="303" t="s">
        <v>440</v>
      </c>
      <c r="L220" s="26"/>
      <c r="M220" s="26"/>
      <c r="N220" s="26"/>
      <c r="Q220" s="30"/>
    </row>
    <row r="221" spans="1:17" ht="12">
      <c r="A221" s="290">
        <v>38701</v>
      </c>
      <c r="B221" s="291" t="s">
        <v>504</v>
      </c>
      <c r="C221" s="292" t="s">
        <v>505</v>
      </c>
      <c r="D221" s="292" t="s">
        <v>506</v>
      </c>
      <c r="E221" s="292"/>
      <c r="F221" s="293" t="s">
        <v>48</v>
      </c>
      <c r="G221" s="310" t="s">
        <v>78</v>
      </c>
      <c r="H221" s="311" t="s">
        <v>50</v>
      </c>
      <c r="I221" s="292" t="s">
        <v>507</v>
      </c>
      <c r="J221" s="292" t="s">
        <v>508</v>
      </c>
      <c r="K221" s="303" t="s">
        <v>509</v>
      </c>
      <c r="L221" s="26"/>
      <c r="M221" s="26"/>
      <c r="N221" s="26"/>
      <c r="Q221" s="30"/>
    </row>
    <row r="222" spans="1:17" ht="12">
      <c r="A222" s="290">
        <v>25784</v>
      </c>
      <c r="B222" s="291" t="s">
        <v>510</v>
      </c>
      <c r="C222" s="292" t="s">
        <v>511</v>
      </c>
      <c r="D222" s="292" t="s">
        <v>476</v>
      </c>
      <c r="E222" s="292"/>
      <c r="F222" s="293" t="s">
        <v>42</v>
      </c>
      <c r="G222" s="300" t="s">
        <v>66</v>
      </c>
      <c r="H222" s="301">
        <v>0</v>
      </c>
      <c r="I222" s="292" t="s">
        <v>507</v>
      </c>
      <c r="J222" s="292" t="s">
        <v>508</v>
      </c>
      <c r="K222" s="303" t="s">
        <v>509</v>
      </c>
      <c r="L222" s="26"/>
      <c r="M222" s="26"/>
      <c r="N222" s="26"/>
      <c r="Q222" s="30"/>
    </row>
    <row r="223" spans="1:17" ht="12">
      <c r="A223" s="290">
        <v>38359</v>
      </c>
      <c r="B223" s="291" t="s">
        <v>512</v>
      </c>
      <c r="C223" s="292" t="s">
        <v>513</v>
      </c>
      <c r="D223" s="292" t="s">
        <v>135</v>
      </c>
      <c r="E223" s="292"/>
      <c r="F223" s="293" t="s">
        <v>42</v>
      </c>
      <c r="G223" s="298" t="s">
        <v>51</v>
      </c>
      <c r="H223" s="299">
        <v>0</v>
      </c>
      <c r="I223" s="292" t="s">
        <v>507</v>
      </c>
      <c r="J223" s="292" t="s">
        <v>508</v>
      </c>
      <c r="K223" s="303" t="s">
        <v>509</v>
      </c>
      <c r="L223" s="26"/>
      <c r="M223" s="26"/>
      <c r="N223" s="26"/>
      <c r="Q223" s="30"/>
    </row>
    <row r="224" spans="1:17" ht="12">
      <c r="A224" s="290">
        <v>16341</v>
      </c>
      <c r="B224" s="291" t="s">
        <v>514</v>
      </c>
      <c r="C224" s="292" t="s">
        <v>515</v>
      </c>
      <c r="D224" s="292" t="s">
        <v>253</v>
      </c>
      <c r="E224" s="292"/>
      <c r="F224" s="293" t="s">
        <v>48</v>
      </c>
      <c r="G224" s="300" t="s">
        <v>138</v>
      </c>
      <c r="H224" s="301">
        <v>0</v>
      </c>
      <c r="I224" s="292" t="s">
        <v>507</v>
      </c>
      <c r="J224" s="292" t="s">
        <v>508</v>
      </c>
      <c r="K224" s="303" t="s">
        <v>509</v>
      </c>
      <c r="L224" s="26"/>
      <c r="M224" s="26"/>
      <c r="N224" s="26"/>
      <c r="Q224" s="30"/>
    </row>
    <row r="225" spans="1:17" ht="12">
      <c r="A225" s="290">
        <v>16338</v>
      </c>
      <c r="B225" s="291" t="s">
        <v>516</v>
      </c>
      <c r="C225" s="292" t="s">
        <v>517</v>
      </c>
      <c r="D225" s="292" t="s">
        <v>142</v>
      </c>
      <c r="E225" s="292"/>
      <c r="F225" s="293" t="s">
        <v>42</v>
      </c>
      <c r="G225" s="310" t="s">
        <v>66</v>
      </c>
      <c r="H225" s="311" t="s">
        <v>44</v>
      </c>
      <c r="I225" s="292" t="s">
        <v>507</v>
      </c>
      <c r="J225" s="292" t="s">
        <v>508</v>
      </c>
      <c r="K225" s="303" t="s">
        <v>509</v>
      </c>
      <c r="L225" s="26"/>
      <c r="M225" s="26"/>
      <c r="N225" s="26"/>
      <c r="Q225" s="30"/>
    </row>
    <row r="226" spans="1:17" ht="12">
      <c r="A226" s="290">
        <v>38472</v>
      </c>
      <c r="B226" s="291" t="s">
        <v>518</v>
      </c>
      <c r="C226" s="297" t="s">
        <v>519</v>
      </c>
      <c r="D226" s="297" t="s">
        <v>106</v>
      </c>
      <c r="E226" s="297" t="s">
        <v>2103</v>
      </c>
      <c r="F226" s="293" t="s">
        <v>42</v>
      </c>
      <c r="G226" s="310" t="s">
        <v>51</v>
      </c>
      <c r="H226" s="311" t="s">
        <v>44</v>
      </c>
      <c r="I226" s="297" t="s">
        <v>507</v>
      </c>
      <c r="J226" s="297" t="s">
        <v>508</v>
      </c>
      <c r="K226" s="303" t="s">
        <v>509</v>
      </c>
      <c r="L226" s="26"/>
      <c r="M226" s="26"/>
      <c r="N226" s="26"/>
      <c r="Q226" s="30"/>
    </row>
    <row r="227" spans="1:17" ht="12">
      <c r="A227" s="290">
        <v>16335</v>
      </c>
      <c r="B227" s="291" t="s">
        <v>520</v>
      </c>
      <c r="C227" s="292" t="s">
        <v>95</v>
      </c>
      <c r="D227" s="292" t="s">
        <v>521</v>
      </c>
      <c r="E227" s="292"/>
      <c r="F227" s="293" t="s">
        <v>42</v>
      </c>
      <c r="G227" s="300" t="s">
        <v>57</v>
      </c>
      <c r="H227" s="301">
        <v>0</v>
      </c>
      <c r="I227" s="292" t="s">
        <v>507</v>
      </c>
      <c r="J227" s="292" t="s">
        <v>508</v>
      </c>
      <c r="K227" s="303" t="s">
        <v>509</v>
      </c>
      <c r="L227" s="26"/>
      <c r="M227" s="26"/>
      <c r="N227" s="26"/>
      <c r="Q227" s="30"/>
    </row>
    <row r="228" spans="1:17" ht="12">
      <c r="A228" s="290">
        <v>16342</v>
      </c>
      <c r="B228" s="291" t="s">
        <v>522</v>
      </c>
      <c r="C228" s="292" t="s">
        <v>95</v>
      </c>
      <c r="D228" s="292" t="s">
        <v>523</v>
      </c>
      <c r="E228" s="292"/>
      <c r="F228" s="293" t="s">
        <v>48</v>
      </c>
      <c r="G228" s="294" t="s">
        <v>227</v>
      </c>
      <c r="H228" s="295">
        <v>0</v>
      </c>
      <c r="I228" s="292" t="s">
        <v>507</v>
      </c>
      <c r="J228" s="292" t="s">
        <v>508</v>
      </c>
      <c r="K228" s="303" t="s">
        <v>509</v>
      </c>
      <c r="L228" s="26"/>
      <c r="M228" s="26"/>
      <c r="N228" s="26"/>
      <c r="Q228" s="30"/>
    </row>
    <row r="229" spans="1:17" ht="12">
      <c r="A229" s="290">
        <v>38892</v>
      </c>
      <c r="B229" s="291" t="s">
        <v>2439</v>
      </c>
      <c r="C229" s="292" t="s">
        <v>2440</v>
      </c>
      <c r="D229" s="292" t="s">
        <v>667</v>
      </c>
      <c r="E229" s="292"/>
      <c r="F229" s="293" t="s">
        <v>42</v>
      </c>
      <c r="G229" s="310" t="s">
        <v>93</v>
      </c>
      <c r="H229" s="311" t="s">
        <v>50</v>
      </c>
      <c r="I229" s="292" t="s">
        <v>507</v>
      </c>
      <c r="J229" s="292" t="s">
        <v>508</v>
      </c>
      <c r="K229" s="303" t="s">
        <v>509</v>
      </c>
      <c r="L229" s="26"/>
      <c r="M229" s="26"/>
      <c r="N229" s="26"/>
      <c r="Q229" s="30"/>
    </row>
    <row r="230" spans="1:17" ht="12">
      <c r="A230" s="290">
        <v>16324</v>
      </c>
      <c r="B230" s="291" t="s">
        <v>524</v>
      </c>
      <c r="C230" s="292" t="s">
        <v>525</v>
      </c>
      <c r="D230" s="292" t="s">
        <v>526</v>
      </c>
      <c r="E230" s="292"/>
      <c r="F230" s="293" t="s">
        <v>42</v>
      </c>
      <c r="G230" s="310" t="s">
        <v>51</v>
      </c>
      <c r="H230" s="311" t="s">
        <v>65</v>
      </c>
      <c r="I230" s="292" t="s">
        <v>507</v>
      </c>
      <c r="J230" s="292" t="s">
        <v>508</v>
      </c>
      <c r="K230" s="303" t="s">
        <v>509</v>
      </c>
    </row>
    <row r="231" spans="1:17" ht="12">
      <c r="A231" s="290">
        <v>7372</v>
      </c>
      <c r="B231" s="291" t="s">
        <v>529</v>
      </c>
      <c r="C231" s="292" t="s">
        <v>527</v>
      </c>
      <c r="D231" s="292" t="s">
        <v>530</v>
      </c>
      <c r="E231" s="292"/>
      <c r="F231" s="293" t="s">
        <v>48</v>
      </c>
      <c r="G231" s="310" t="s">
        <v>78</v>
      </c>
      <c r="H231" s="311" t="s">
        <v>179</v>
      </c>
      <c r="I231" s="292" t="s">
        <v>507</v>
      </c>
      <c r="J231" s="292" t="s">
        <v>508</v>
      </c>
      <c r="K231" s="303" t="s">
        <v>509</v>
      </c>
      <c r="L231" s="26"/>
      <c r="M231" s="26"/>
      <c r="N231" s="26"/>
      <c r="Q231" s="30"/>
    </row>
    <row r="232" spans="1:17" ht="12">
      <c r="A232" s="290">
        <v>25178</v>
      </c>
      <c r="B232" s="291" t="s">
        <v>531</v>
      </c>
      <c r="C232" s="292" t="s">
        <v>532</v>
      </c>
      <c r="D232" s="292" t="s">
        <v>533</v>
      </c>
      <c r="E232" s="292"/>
      <c r="F232" s="293" t="s">
        <v>48</v>
      </c>
      <c r="G232" s="310" t="s">
        <v>78</v>
      </c>
      <c r="H232" s="311"/>
      <c r="I232" s="292" t="s">
        <v>507</v>
      </c>
      <c r="J232" s="292" t="s">
        <v>508</v>
      </c>
      <c r="K232" s="303" t="s">
        <v>509</v>
      </c>
      <c r="L232" s="26"/>
      <c r="M232" s="26"/>
      <c r="N232" s="26"/>
      <c r="Q232" s="30"/>
    </row>
    <row r="233" spans="1:17" ht="12">
      <c r="A233" s="290">
        <v>25351</v>
      </c>
      <c r="B233" s="291" t="s">
        <v>537</v>
      </c>
      <c r="C233" s="292" t="s">
        <v>538</v>
      </c>
      <c r="D233" s="292" t="s">
        <v>69</v>
      </c>
      <c r="E233" s="292"/>
      <c r="F233" s="293" t="s">
        <v>42</v>
      </c>
      <c r="G233" s="310" t="s">
        <v>51</v>
      </c>
      <c r="H233" s="311" t="s">
        <v>44</v>
      </c>
      <c r="I233" s="292" t="s">
        <v>507</v>
      </c>
      <c r="J233" s="292" t="s">
        <v>508</v>
      </c>
      <c r="K233" s="303" t="s">
        <v>509</v>
      </c>
      <c r="L233" s="26"/>
      <c r="M233" s="26"/>
      <c r="N233" s="26"/>
      <c r="Q233" s="30"/>
    </row>
    <row r="234" spans="1:17" ht="12">
      <c r="A234" s="290">
        <v>16805</v>
      </c>
      <c r="B234" s="291" t="s">
        <v>540</v>
      </c>
      <c r="C234" s="292" t="s">
        <v>541</v>
      </c>
      <c r="D234" s="292" t="s">
        <v>530</v>
      </c>
      <c r="E234" s="292"/>
      <c r="F234" s="293" t="s">
        <v>48</v>
      </c>
      <c r="G234" s="310" t="s">
        <v>78</v>
      </c>
      <c r="H234" s="311" t="s">
        <v>65</v>
      </c>
      <c r="I234" s="292" t="s">
        <v>507</v>
      </c>
      <c r="J234" s="292" t="s">
        <v>508</v>
      </c>
      <c r="K234" s="303" t="s">
        <v>509</v>
      </c>
      <c r="L234" s="26"/>
      <c r="M234" s="26"/>
      <c r="N234" s="26"/>
      <c r="Q234" s="30"/>
    </row>
    <row r="235" spans="1:17" ht="12">
      <c r="A235" s="290">
        <v>38416</v>
      </c>
      <c r="B235" s="291" t="s">
        <v>542</v>
      </c>
      <c r="C235" s="297" t="s">
        <v>543</v>
      </c>
      <c r="D235" s="297" t="s">
        <v>544</v>
      </c>
      <c r="E235" s="297" t="s">
        <v>2103</v>
      </c>
      <c r="F235" s="293" t="s">
        <v>48</v>
      </c>
      <c r="G235" s="310" t="s">
        <v>138</v>
      </c>
      <c r="H235" s="311" t="s">
        <v>50</v>
      </c>
      <c r="I235" s="297" t="s">
        <v>507</v>
      </c>
      <c r="J235" s="297" t="s">
        <v>508</v>
      </c>
      <c r="K235" s="303" t="s">
        <v>509</v>
      </c>
      <c r="L235" s="26"/>
      <c r="M235" s="26"/>
      <c r="N235" s="26"/>
      <c r="Q235" s="30"/>
    </row>
    <row r="236" spans="1:17" ht="12">
      <c r="A236" s="290">
        <v>38702</v>
      </c>
      <c r="B236" s="291" t="s">
        <v>545</v>
      </c>
      <c r="C236" s="292" t="s">
        <v>546</v>
      </c>
      <c r="D236" s="292" t="s">
        <v>106</v>
      </c>
      <c r="E236" s="292"/>
      <c r="F236" s="293" t="s">
        <v>42</v>
      </c>
      <c r="G236" s="310" t="s">
        <v>43</v>
      </c>
      <c r="H236" s="311" t="s">
        <v>44</v>
      </c>
      <c r="I236" s="292" t="s">
        <v>507</v>
      </c>
      <c r="J236" s="292" t="s">
        <v>508</v>
      </c>
      <c r="K236" s="303" t="s">
        <v>509</v>
      </c>
      <c r="L236" s="26"/>
      <c r="M236" s="26"/>
      <c r="N236" s="26"/>
      <c r="Q236" s="30"/>
    </row>
    <row r="237" spans="1:17" ht="12">
      <c r="A237" s="290">
        <v>38908</v>
      </c>
      <c r="B237" s="291" t="s">
        <v>2441</v>
      </c>
      <c r="C237" s="292" t="s">
        <v>2189</v>
      </c>
      <c r="D237" s="292" t="s">
        <v>124</v>
      </c>
      <c r="E237" s="292"/>
      <c r="F237" s="293" t="s">
        <v>42</v>
      </c>
      <c r="G237" s="310" t="s">
        <v>93</v>
      </c>
      <c r="H237" s="311"/>
      <c r="I237" s="292" t="s">
        <v>507</v>
      </c>
      <c r="J237" s="292" t="s">
        <v>508</v>
      </c>
      <c r="K237" s="303" t="s">
        <v>509</v>
      </c>
      <c r="L237" s="26"/>
      <c r="M237" s="26"/>
      <c r="N237" s="26"/>
      <c r="Q237" s="30"/>
    </row>
    <row r="238" spans="1:17" ht="12">
      <c r="A238" s="290">
        <v>13606</v>
      </c>
      <c r="B238" s="291" t="s">
        <v>550</v>
      </c>
      <c r="C238" s="292" t="s">
        <v>551</v>
      </c>
      <c r="D238" s="292" t="s">
        <v>317</v>
      </c>
      <c r="E238" s="292"/>
      <c r="F238" s="293" t="s">
        <v>48</v>
      </c>
      <c r="G238" s="310" t="s">
        <v>49</v>
      </c>
      <c r="H238" s="311"/>
      <c r="I238" s="292" t="s">
        <v>507</v>
      </c>
      <c r="J238" s="292" t="s">
        <v>508</v>
      </c>
      <c r="K238" s="303" t="s">
        <v>509</v>
      </c>
    </row>
    <row r="239" spans="1:17" ht="12">
      <c r="A239" s="290">
        <v>16327</v>
      </c>
      <c r="B239" s="291" t="s">
        <v>552</v>
      </c>
      <c r="C239" s="292" t="s">
        <v>142</v>
      </c>
      <c r="D239" s="292" t="s">
        <v>175</v>
      </c>
      <c r="E239" s="292"/>
      <c r="F239" s="293" t="s">
        <v>42</v>
      </c>
      <c r="G239" s="310" t="s">
        <v>51</v>
      </c>
      <c r="H239" s="311" t="s">
        <v>44</v>
      </c>
      <c r="I239" s="292" t="s">
        <v>507</v>
      </c>
      <c r="J239" s="292" t="s">
        <v>508</v>
      </c>
      <c r="K239" s="303" t="s">
        <v>509</v>
      </c>
    </row>
    <row r="240" spans="1:17" ht="12">
      <c r="A240" s="290">
        <v>16714</v>
      </c>
      <c r="B240" s="291" t="s">
        <v>1204</v>
      </c>
      <c r="C240" s="292" t="s">
        <v>988</v>
      </c>
      <c r="D240" s="292" t="s">
        <v>1205</v>
      </c>
      <c r="E240" s="292"/>
      <c r="F240" s="293" t="s">
        <v>42</v>
      </c>
      <c r="G240" s="294" t="s">
        <v>57</v>
      </c>
      <c r="H240" s="295">
        <v>0</v>
      </c>
      <c r="I240" s="292" t="s">
        <v>507</v>
      </c>
      <c r="J240" s="292" t="s">
        <v>508</v>
      </c>
      <c r="K240" s="303" t="s">
        <v>509</v>
      </c>
      <c r="L240" s="26"/>
      <c r="M240" s="26"/>
      <c r="N240" s="26"/>
      <c r="Q240" s="30"/>
    </row>
    <row r="241" spans="1:17" ht="12">
      <c r="A241" s="290">
        <v>7330</v>
      </c>
      <c r="B241" s="291" t="s">
        <v>553</v>
      </c>
      <c r="C241" s="292" t="s">
        <v>554</v>
      </c>
      <c r="D241" s="292" t="s">
        <v>555</v>
      </c>
      <c r="E241" s="292"/>
      <c r="F241" s="293" t="s">
        <v>42</v>
      </c>
      <c r="G241" s="298" t="s">
        <v>57</v>
      </c>
      <c r="H241" s="299">
        <v>0</v>
      </c>
      <c r="I241" s="292" t="s">
        <v>507</v>
      </c>
      <c r="J241" s="292" t="s">
        <v>508</v>
      </c>
      <c r="K241" s="303" t="s">
        <v>509</v>
      </c>
      <c r="L241" s="26"/>
      <c r="M241" s="26"/>
      <c r="N241" s="26"/>
      <c r="Q241" s="30"/>
    </row>
    <row r="242" spans="1:17" ht="12">
      <c r="A242" s="290">
        <v>16333</v>
      </c>
      <c r="B242" s="291" t="s">
        <v>556</v>
      </c>
      <c r="C242" s="292" t="s">
        <v>557</v>
      </c>
      <c r="D242" s="292" t="s">
        <v>98</v>
      </c>
      <c r="E242" s="292"/>
      <c r="F242" s="293" t="s">
        <v>42</v>
      </c>
      <c r="G242" s="310" t="s">
        <v>66</v>
      </c>
      <c r="H242" s="311"/>
      <c r="I242" s="292" t="s">
        <v>507</v>
      </c>
      <c r="J242" s="292" t="s">
        <v>508</v>
      </c>
      <c r="K242" s="303" t="s">
        <v>509</v>
      </c>
    </row>
    <row r="243" spans="1:17" ht="12">
      <c r="A243" s="290">
        <v>16085</v>
      </c>
      <c r="B243" s="291" t="s">
        <v>562</v>
      </c>
      <c r="C243" s="292" t="s">
        <v>563</v>
      </c>
      <c r="D243" s="292" t="s">
        <v>205</v>
      </c>
      <c r="E243" s="292"/>
      <c r="F243" s="293" t="s">
        <v>42</v>
      </c>
      <c r="G243" s="310" t="s">
        <v>66</v>
      </c>
      <c r="H243" s="311" t="s">
        <v>44</v>
      </c>
      <c r="I243" s="292" t="s">
        <v>560</v>
      </c>
      <c r="J243" s="292" t="s">
        <v>561</v>
      </c>
      <c r="K243" s="303" t="s">
        <v>23</v>
      </c>
    </row>
    <row r="244" spans="1:17" ht="12">
      <c r="A244" s="290">
        <v>38240</v>
      </c>
      <c r="B244" s="291" t="s">
        <v>564</v>
      </c>
      <c r="C244" s="292" t="s">
        <v>565</v>
      </c>
      <c r="D244" s="292" t="s">
        <v>402</v>
      </c>
      <c r="E244" s="292"/>
      <c r="F244" s="293" t="s">
        <v>42</v>
      </c>
      <c r="G244" s="310" t="s">
        <v>43</v>
      </c>
      <c r="H244" s="311" t="s">
        <v>44</v>
      </c>
      <c r="I244" s="292" t="s">
        <v>560</v>
      </c>
      <c r="J244" s="292" t="s">
        <v>561</v>
      </c>
      <c r="K244" s="303" t="s">
        <v>23</v>
      </c>
    </row>
    <row r="245" spans="1:17" ht="12">
      <c r="A245" s="290">
        <v>10662</v>
      </c>
      <c r="B245" s="291" t="s">
        <v>2442</v>
      </c>
      <c r="C245" s="292" t="s">
        <v>2443</v>
      </c>
      <c r="D245" s="292" t="s">
        <v>92</v>
      </c>
      <c r="E245" s="292"/>
      <c r="F245" s="293" t="s">
        <v>42</v>
      </c>
      <c r="G245" s="294" t="s">
        <v>43</v>
      </c>
      <c r="H245" s="295">
        <v>0</v>
      </c>
      <c r="I245" s="292" t="s">
        <v>560</v>
      </c>
      <c r="J245" s="292" t="s">
        <v>561</v>
      </c>
      <c r="K245" s="303" t="s">
        <v>23</v>
      </c>
    </row>
    <row r="246" spans="1:17" ht="12">
      <c r="A246" s="290">
        <v>16224</v>
      </c>
      <c r="B246" s="291" t="s">
        <v>566</v>
      </c>
      <c r="C246" s="297" t="s">
        <v>567</v>
      </c>
      <c r="D246" s="297" t="s">
        <v>568</v>
      </c>
      <c r="E246" s="297" t="s">
        <v>2103</v>
      </c>
      <c r="F246" s="293" t="s">
        <v>42</v>
      </c>
      <c r="G246" s="310" t="s">
        <v>57</v>
      </c>
      <c r="H246" s="311" t="s">
        <v>44</v>
      </c>
      <c r="I246" s="297" t="s">
        <v>560</v>
      </c>
      <c r="J246" s="297" t="s">
        <v>561</v>
      </c>
      <c r="K246" s="303" t="s">
        <v>23</v>
      </c>
    </row>
    <row r="247" spans="1:17" ht="12">
      <c r="A247" s="290">
        <v>16120</v>
      </c>
      <c r="B247" s="291" t="s">
        <v>570</v>
      </c>
      <c r="C247" s="292" t="s">
        <v>571</v>
      </c>
      <c r="D247" s="292" t="s">
        <v>225</v>
      </c>
      <c r="E247" s="292"/>
      <c r="F247" s="293" t="s">
        <v>48</v>
      </c>
      <c r="G247" s="310" t="s">
        <v>49</v>
      </c>
      <c r="H247" s="311" t="s">
        <v>65</v>
      </c>
      <c r="I247" s="292" t="s">
        <v>560</v>
      </c>
      <c r="J247" s="292" t="s">
        <v>561</v>
      </c>
      <c r="K247" s="303" t="s">
        <v>23</v>
      </c>
    </row>
    <row r="248" spans="1:17" ht="12">
      <c r="A248" s="290">
        <v>25911</v>
      </c>
      <c r="B248" s="291" t="s">
        <v>2444</v>
      </c>
      <c r="C248" s="292" t="s">
        <v>572</v>
      </c>
      <c r="D248" s="292" t="s">
        <v>116</v>
      </c>
      <c r="E248" s="292"/>
      <c r="F248" s="293" t="s">
        <v>42</v>
      </c>
      <c r="G248" s="310" t="s">
        <v>51</v>
      </c>
      <c r="H248" s="311" t="s">
        <v>103</v>
      </c>
      <c r="I248" s="292" t="s">
        <v>560</v>
      </c>
      <c r="J248" s="292" t="s">
        <v>561</v>
      </c>
      <c r="K248" s="303" t="s">
        <v>23</v>
      </c>
    </row>
    <row r="249" spans="1:17" ht="12">
      <c r="A249" s="290">
        <v>38287</v>
      </c>
      <c r="B249" s="291" t="s">
        <v>573</v>
      </c>
      <c r="C249" s="292" t="s">
        <v>574</v>
      </c>
      <c r="D249" s="292" t="s">
        <v>60</v>
      </c>
      <c r="E249" s="292"/>
      <c r="F249" s="293" t="s">
        <v>42</v>
      </c>
      <c r="G249" s="310" t="s">
        <v>66</v>
      </c>
      <c r="H249" s="311" t="s">
        <v>44</v>
      </c>
      <c r="I249" s="292" t="s">
        <v>560</v>
      </c>
      <c r="J249" s="292" t="s">
        <v>561</v>
      </c>
      <c r="K249" s="303" t="s">
        <v>23</v>
      </c>
    </row>
    <row r="250" spans="1:17" ht="12">
      <c r="A250" s="290">
        <v>16121</v>
      </c>
      <c r="B250" s="291" t="s">
        <v>575</v>
      </c>
      <c r="C250" s="292" t="s">
        <v>576</v>
      </c>
      <c r="D250" s="292" t="s">
        <v>577</v>
      </c>
      <c r="E250" s="292"/>
      <c r="F250" s="293" t="s">
        <v>48</v>
      </c>
      <c r="G250" s="310" t="s">
        <v>49</v>
      </c>
      <c r="H250" s="311"/>
      <c r="I250" s="292" t="s">
        <v>560</v>
      </c>
      <c r="J250" s="292" t="s">
        <v>561</v>
      </c>
      <c r="K250" s="303" t="s">
        <v>23</v>
      </c>
    </row>
    <row r="251" spans="1:17" ht="12">
      <c r="A251" s="290">
        <v>16214</v>
      </c>
      <c r="B251" s="291" t="s">
        <v>578</v>
      </c>
      <c r="C251" s="292" t="s">
        <v>576</v>
      </c>
      <c r="D251" s="292" t="s">
        <v>579</v>
      </c>
      <c r="E251" s="292"/>
      <c r="F251" s="293" t="s">
        <v>42</v>
      </c>
      <c r="G251" s="310" t="s">
        <v>57</v>
      </c>
      <c r="H251" s="311"/>
      <c r="I251" s="292" t="s">
        <v>560</v>
      </c>
      <c r="J251" s="292" t="s">
        <v>561</v>
      </c>
      <c r="K251" s="303" t="s">
        <v>23</v>
      </c>
    </row>
    <row r="252" spans="1:17" ht="12">
      <c r="A252" s="290">
        <v>38380</v>
      </c>
      <c r="B252" s="291" t="s">
        <v>580</v>
      </c>
      <c r="C252" s="292" t="s">
        <v>165</v>
      </c>
      <c r="D252" s="292" t="s">
        <v>581</v>
      </c>
      <c r="E252" s="292"/>
      <c r="F252" s="293" t="s">
        <v>42</v>
      </c>
      <c r="G252" s="310" t="s">
        <v>51</v>
      </c>
      <c r="H252" s="311" t="s">
        <v>44</v>
      </c>
      <c r="I252" s="292" t="s">
        <v>560</v>
      </c>
      <c r="J252" s="292" t="s">
        <v>561</v>
      </c>
      <c r="K252" s="303" t="s">
        <v>23</v>
      </c>
    </row>
    <row r="253" spans="1:17" ht="12">
      <c r="A253" s="290">
        <v>38838</v>
      </c>
      <c r="B253" s="291" t="s">
        <v>2131</v>
      </c>
      <c r="C253" s="292" t="s">
        <v>2132</v>
      </c>
      <c r="D253" s="292" t="s">
        <v>230</v>
      </c>
      <c r="E253" s="292"/>
      <c r="F253" s="293" t="s">
        <v>42</v>
      </c>
      <c r="G253" s="310" t="s">
        <v>93</v>
      </c>
      <c r="H253" s="311"/>
      <c r="I253" s="292" t="s">
        <v>560</v>
      </c>
      <c r="J253" s="292" t="s">
        <v>561</v>
      </c>
      <c r="K253" s="303" t="s">
        <v>23</v>
      </c>
    </row>
    <row r="254" spans="1:17" ht="12">
      <c r="A254" s="290">
        <v>25266</v>
      </c>
      <c r="B254" s="291" t="s">
        <v>582</v>
      </c>
      <c r="C254" s="297" t="s">
        <v>583</v>
      </c>
      <c r="D254" s="297" t="s">
        <v>584</v>
      </c>
      <c r="E254" s="297" t="s">
        <v>2103</v>
      </c>
      <c r="F254" s="293" t="s">
        <v>42</v>
      </c>
      <c r="G254" s="310" t="s">
        <v>66</v>
      </c>
      <c r="H254" s="311" t="s">
        <v>179</v>
      </c>
      <c r="I254" s="297" t="s">
        <v>560</v>
      </c>
      <c r="J254" s="297" t="s">
        <v>561</v>
      </c>
      <c r="K254" s="303" t="s">
        <v>23</v>
      </c>
    </row>
    <row r="255" spans="1:17" ht="12">
      <c r="A255" s="290">
        <v>29466</v>
      </c>
      <c r="B255" s="291" t="s">
        <v>2445</v>
      </c>
      <c r="C255" s="292" t="s">
        <v>2446</v>
      </c>
      <c r="D255" s="292" t="s">
        <v>142</v>
      </c>
      <c r="E255" s="292"/>
      <c r="F255" s="293" t="s">
        <v>42</v>
      </c>
      <c r="G255" s="310" t="s">
        <v>66</v>
      </c>
      <c r="H255" s="311" t="s">
        <v>65</v>
      </c>
      <c r="I255" s="292" t="s">
        <v>560</v>
      </c>
      <c r="J255" s="292" t="s">
        <v>561</v>
      </c>
      <c r="K255" s="303" t="s">
        <v>23</v>
      </c>
    </row>
    <row r="256" spans="1:17" ht="12">
      <c r="A256" s="290">
        <v>38556</v>
      </c>
      <c r="B256" s="291" t="s">
        <v>585</v>
      </c>
      <c r="C256" s="292" t="s">
        <v>586</v>
      </c>
      <c r="D256" s="292" t="s">
        <v>587</v>
      </c>
      <c r="E256" s="292"/>
      <c r="F256" s="293" t="s">
        <v>42</v>
      </c>
      <c r="G256" s="310" t="s">
        <v>43</v>
      </c>
      <c r="H256" s="311" t="s">
        <v>44</v>
      </c>
      <c r="I256" s="292" t="s">
        <v>560</v>
      </c>
      <c r="J256" s="292" t="s">
        <v>561</v>
      </c>
      <c r="K256" s="303" t="s">
        <v>23</v>
      </c>
    </row>
    <row r="257" spans="1:17" ht="12">
      <c r="A257" s="290">
        <v>16220</v>
      </c>
      <c r="B257" s="291" t="s">
        <v>588</v>
      </c>
      <c r="C257" s="292" t="s">
        <v>589</v>
      </c>
      <c r="D257" s="292" t="s">
        <v>96</v>
      </c>
      <c r="E257" s="292"/>
      <c r="F257" s="293" t="s">
        <v>42</v>
      </c>
      <c r="G257" s="310" t="s">
        <v>57</v>
      </c>
      <c r="H257" s="311" t="s">
        <v>44</v>
      </c>
      <c r="I257" s="292" t="s">
        <v>560</v>
      </c>
      <c r="J257" s="292" t="s">
        <v>561</v>
      </c>
      <c r="K257" s="303" t="s">
        <v>23</v>
      </c>
    </row>
    <row r="258" spans="1:17" ht="12">
      <c r="A258" s="290">
        <v>16218</v>
      </c>
      <c r="B258" s="291" t="s">
        <v>590</v>
      </c>
      <c r="C258" s="292" t="s">
        <v>591</v>
      </c>
      <c r="D258" s="292" t="s">
        <v>142</v>
      </c>
      <c r="E258" s="292"/>
      <c r="F258" s="293" t="s">
        <v>42</v>
      </c>
      <c r="G258" s="310" t="s">
        <v>51</v>
      </c>
      <c r="H258" s="311" t="s">
        <v>50</v>
      </c>
      <c r="I258" s="292" t="s">
        <v>560</v>
      </c>
      <c r="J258" s="292" t="s">
        <v>561</v>
      </c>
      <c r="K258" s="303" t="s">
        <v>23</v>
      </c>
    </row>
    <row r="259" spans="1:17" ht="12">
      <c r="A259" s="290">
        <v>38379</v>
      </c>
      <c r="B259" s="291" t="s">
        <v>592</v>
      </c>
      <c r="C259" s="292" t="s">
        <v>593</v>
      </c>
      <c r="D259" s="292" t="s">
        <v>594</v>
      </c>
      <c r="E259" s="292"/>
      <c r="F259" s="293" t="s">
        <v>42</v>
      </c>
      <c r="G259" s="310" t="s">
        <v>51</v>
      </c>
      <c r="H259" s="311" t="s">
        <v>50</v>
      </c>
      <c r="I259" s="292" t="s">
        <v>560</v>
      </c>
      <c r="J259" s="292" t="s">
        <v>561</v>
      </c>
      <c r="K259" s="303" t="s">
        <v>23</v>
      </c>
    </row>
    <row r="260" spans="1:17" ht="12">
      <c r="A260" s="290">
        <v>31583</v>
      </c>
      <c r="B260" s="291" t="s">
        <v>595</v>
      </c>
      <c r="C260" s="292" t="s">
        <v>596</v>
      </c>
      <c r="D260" s="292" t="s">
        <v>597</v>
      </c>
      <c r="E260" s="292"/>
      <c r="F260" s="293" t="s">
        <v>42</v>
      </c>
      <c r="G260" s="310" t="s">
        <v>43</v>
      </c>
      <c r="H260" s="311" t="s">
        <v>44</v>
      </c>
      <c r="I260" s="292" t="s">
        <v>560</v>
      </c>
      <c r="J260" s="292" t="s">
        <v>561</v>
      </c>
      <c r="K260" s="303" t="s">
        <v>23</v>
      </c>
    </row>
    <row r="261" spans="1:17" ht="12">
      <c r="A261" s="290">
        <v>38734</v>
      </c>
      <c r="B261" s="291" t="s">
        <v>1875</v>
      </c>
      <c r="C261" s="292" t="s">
        <v>599</v>
      </c>
      <c r="D261" s="292" t="s">
        <v>1376</v>
      </c>
      <c r="E261" s="292"/>
      <c r="F261" s="293" t="s">
        <v>42</v>
      </c>
      <c r="G261" s="310" t="s">
        <v>359</v>
      </c>
      <c r="H261" s="311" t="s">
        <v>50</v>
      </c>
      <c r="I261" s="292" t="s">
        <v>560</v>
      </c>
      <c r="J261" s="292" t="s">
        <v>561</v>
      </c>
      <c r="K261" s="303" t="s">
        <v>23</v>
      </c>
    </row>
    <row r="262" spans="1:17" ht="12">
      <c r="A262" s="290">
        <v>38733</v>
      </c>
      <c r="B262" s="291" t="s">
        <v>1876</v>
      </c>
      <c r="C262" s="292" t="s">
        <v>599</v>
      </c>
      <c r="D262" s="292" t="s">
        <v>1877</v>
      </c>
      <c r="E262" s="292"/>
      <c r="F262" s="293" t="s">
        <v>42</v>
      </c>
      <c r="G262" s="310" t="s">
        <v>43</v>
      </c>
      <c r="H262" s="311" t="s">
        <v>50</v>
      </c>
      <c r="I262" s="292" t="s">
        <v>560</v>
      </c>
      <c r="J262" s="292" t="s">
        <v>561</v>
      </c>
      <c r="K262" s="303" t="s">
        <v>23</v>
      </c>
      <c r="L262" s="26"/>
      <c r="M262" s="26"/>
      <c r="N262" s="26"/>
      <c r="Q262" s="30"/>
    </row>
    <row r="263" spans="1:17" ht="12">
      <c r="A263" s="290">
        <v>16292</v>
      </c>
      <c r="B263" s="291" t="s">
        <v>598</v>
      </c>
      <c r="C263" s="292" t="s">
        <v>599</v>
      </c>
      <c r="D263" s="292" t="s">
        <v>124</v>
      </c>
      <c r="E263" s="292"/>
      <c r="F263" s="293" t="s">
        <v>42</v>
      </c>
      <c r="G263" s="310" t="s">
        <v>43</v>
      </c>
      <c r="H263" s="311" t="s">
        <v>179</v>
      </c>
      <c r="I263" s="292" t="s">
        <v>560</v>
      </c>
      <c r="J263" s="292" t="s">
        <v>561</v>
      </c>
      <c r="K263" s="303" t="s">
        <v>23</v>
      </c>
      <c r="L263" s="26"/>
      <c r="M263" s="26"/>
      <c r="N263" s="26"/>
      <c r="Q263" s="30"/>
    </row>
    <row r="264" spans="1:17" ht="12">
      <c r="A264" s="290">
        <v>16215</v>
      </c>
      <c r="B264" s="291" t="s">
        <v>600</v>
      </c>
      <c r="C264" s="292" t="s">
        <v>601</v>
      </c>
      <c r="D264" s="292" t="s">
        <v>237</v>
      </c>
      <c r="E264" s="292"/>
      <c r="F264" s="293" t="s">
        <v>42</v>
      </c>
      <c r="G264" s="310" t="s">
        <v>43</v>
      </c>
      <c r="H264" s="311" t="s">
        <v>238</v>
      </c>
      <c r="I264" s="292" t="s">
        <v>560</v>
      </c>
      <c r="J264" s="292" t="s">
        <v>561</v>
      </c>
      <c r="K264" s="303" t="s">
        <v>23</v>
      </c>
    </row>
    <row r="265" spans="1:17" ht="12">
      <c r="A265" s="290">
        <v>38874</v>
      </c>
      <c r="B265" s="291" t="s">
        <v>2447</v>
      </c>
      <c r="C265" s="292" t="s">
        <v>2448</v>
      </c>
      <c r="D265" s="292" t="s">
        <v>434</v>
      </c>
      <c r="E265" s="292"/>
      <c r="F265" s="293" t="s">
        <v>42</v>
      </c>
      <c r="G265" s="298" t="s">
        <v>43</v>
      </c>
      <c r="H265" s="299">
        <v>0</v>
      </c>
      <c r="I265" s="292" t="s">
        <v>560</v>
      </c>
      <c r="J265" s="292" t="s">
        <v>561</v>
      </c>
      <c r="K265" s="303" t="s">
        <v>23</v>
      </c>
    </row>
    <row r="266" spans="1:17" ht="12">
      <c r="A266" s="290">
        <v>18884</v>
      </c>
      <c r="B266" s="291" t="s">
        <v>2133</v>
      </c>
      <c r="C266" s="292" t="s">
        <v>2134</v>
      </c>
      <c r="D266" s="292" t="s">
        <v>142</v>
      </c>
      <c r="E266" s="292"/>
      <c r="F266" s="293" t="s">
        <v>42</v>
      </c>
      <c r="G266" s="310" t="s">
        <v>66</v>
      </c>
      <c r="H266" s="311" t="s">
        <v>44</v>
      </c>
      <c r="I266" s="292" t="s">
        <v>560</v>
      </c>
      <c r="J266" s="292" t="s">
        <v>561</v>
      </c>
      <c r="K266" s="303" t="s">
        <v>23</v>
      </c>
    </row>
    <row r="267" spans="1:17" ht="12">
      <c r="A267" s="290">
        <v>38467</v>
      </c>
      <c r="B267" s="291" t="s">
        <v>602</v>
      </c>
      <c r="C267" s="292" t="s">
        <v>198</v>
      </c>
      <c r="D267" s="292" t="s">
        <v>603</v>
      </c>
      <c r="E267" s="292"/>
      <c r="F267" s="293" t="s">
        <v>42</v>
      </c>
      <c r="G267" s="310" t="s">
        <v>43</v>
      </c>
      <c r="H267" s="311" t="s">
        <v>65</v>
      </c>
      <c r="I267" s="292" t="s">
        <v>560</v>
      </c>
      <c r="J267" s="292" t="s">
        <v>561</v>
      </c>
      <c r="K267" s="303" t="s">
        <v>23</v>
      </c>
    </row>
    <row r="268" spans="1:17" ht="12">
      <c r="A268" s="290">
        <v>16722</v>
      </c>
      <c r="B268" s="291" t="s">
        <v>2449</v>
      </c>
      <c r="C268" s="292" t="s">
        <v>2450</v>
      </c>
      <c r="D268" s="292" t="s">
        <v>178</v>
      </c>
      <c r="E268" s="292"/>
      <c r="F268" s="293" t="s">
        <v>42</v>
      </c>
      <c r="G268" s="294" t="s">
        <v>43</v>
      </c>
      <c r="H268" s="295">
        <v>0</v>
      </c>
      <c r="I268" s="292" t="s">
        <v>560</v>
      </c>
      <c r="J268" s="292" t="s">
        <v>561</v>
      </c>
      <c r="K268" s="303" t="s">
        <v>23</v>
      </c>
    </row>
    <row r="269" spans="1:17" ht="12">
      <c r="A269" s="290">
        <v>38043</v>
      </c>
      <c r="B269" s="291" t="s">
        <v>606</v>
      </c>
      <c r="C269" s="292" t="s">
        <v>607</v>
      </c>
      <c r="D269" s="292" t="s">
        <v>237</v>
      </c>
      <c r="E269" s="292"/>
      <c r="F269" s="293" t="s">
        <v>42</v>
      </c>
      <c r="G269" s="310" t="s">
        <v>43</v>
      </c>
      <c r="H269" s="311" t="s">
        <v>179</v>
      </c>
      <c r="I269" s="292" t="s">
        <v>633</v>
      </c>
      <c r="J269" s="292" t="s">
        <v>634</v>
      </c>
      <c r="K269" s="303" t="s">
        <v>635</v>
      </c>
      <c r="L269" s="26"/>
      <c r="M269" s="26"/>
      <c r="N269" s="26"/>
      <c r="Q269" s="30"/>
    </row>
    <row r="270" spans="1:17" ht="12">
      <c r="A270" s="290">
        <v>16247</v>
      </c>
      <c r="B270" s="291" t="s">
        <v>278</v>
      </c>
      <c r="C270" s="292" t="s">
        <v>279</v>
      </c>
      <c r="D270" s="292" t="s">
        <v>280</v>
      </c>
      <c r="E270" s="292"/>
      <c r="F270" s="293" t="s">
        <v>42</v>
      </c>
      <c r="G270" s="310" t="s">
        <v>66</v>
      </c>
      <c r="H270" s="311" t="s">
        <v>50</v>
      </c>
      <c r="I270" s="292" t="s">
        <v>633</v>
      </c>
      <c r="J270" s="292" t="s">
        <v>634</v>
      </c>
      <c r="K270" s="303" t="s">
        <v>635</v>
      </c>
    </row>
    <row r="271" spans="1:17" ht="12">
      <c r="A271" s="290">
        <v>38249</v>
      </c>
      <c r="B271" s="291" t="s">
        <v>610</v>
      </c>
      <c r="C271" s="292" t="s">
        <v>611</v>
      </c>
      <c r="D271" s="292" t="s">
        <v>60</v>
      </c>
      <c r="E271" s="292"/>
      <c r="F271" s="293" t="s">
        <v>42</v>
      </c>
      <c r="G271" s="310" t="s">
        <v>43</v>
      </c>
      <c r="H271" s="311" t="s">
        <v>44</v>
      </c>
      <c r="I271" s="292" t="s">
        <v>633</v>
      </c>
      <c r="J271" s="292" t="s">
        <v>634</v>
      </c>
      <c r="K271" s="303" t="s">
        <v>635</v>
      </c>
    </row>
    <row r="272" spans="1:17" ht="12">
      <c r="A272" s="290">
        <v>7099</v>
      </c>
      <c r="B272" s="291">
        <v>9111146</v>
      </c>
      <c r="C272" s="292" t="s">
        <v>612</v>
      </c>
      <c r="D272" s="292" t="s">
        <v>81</v>
      </c>
      <c r="E272" s="292"/>
      <c r="F272" s="293" t="s">
        <v>42</v>
      </c>
      <c r="G272" s="310" t="s">
        <v>43</v>
      </c>
      <c r="H272" s="311" t="s">
        <v>238</v>
      </c>
      <c r="I272" s="292" t="s">
        <v>633</v>
      </c>
      <c r="J272" s="292" t="s">
        <v>634</v>
      </c>
      <c r="K272" s="303" t="s">
        <v>635</v>
      </c>
    </row>
    <row r="273" spans="1:11" ht="12">
      <c r="A273" s="290">
        <v>16533</v>
      </c>
      <c r="B273" s="291" t="s">
        <v>636</v>
      </c>
      <c r="C273" s="292" t="s">
        <v>637</v>
      </c>
      <c r="D273" s="292" t="s">
        <v>434</v>
      </c>
      <c r="E273" s="292"/>
      <c r="F273" s="293" t="s">
        <v>42</v>
      </c>
      <c r="G273" s="310" t="s">
        <v>43</v>
      </c>
      <c r="H273" s="311"/>
      <c r="I273" s="292" t="s">
        <v>633</v>
      </c>
      <c r="J273" s="292" t="s">
        <v>634</v>
      </c>
      <c r="K273" s="303" t="s">
        <v>635</v>
      </c>
    </row>
    <row r="274" spans="1:11" ht="12">
      <c r="A274" s="290">
        <v>16545</v>
      </c>
      <c r="B274" s="291" t="s">
        <v>638</v>
      </c>
      <c r="C274" s="292" t="s">
        <v>639</v>
      </c>
      <c r="D274" s="292" t="s">
        <v>262</v>
      </c>
      <c r="E274" s="292"/>
      <c r="F274" s="293" t="s">
        <v>42</v>
      </c>
      <c r="G274" s="310" t="s">
        <v>57</v>
      </c>
      <c r="H274" s="311" t="s">
        <v>44</v>
      </c>
      <c r="I274" s="292" t="s">
        <v>633</v>
      </c>
      <c r="J274" s="292" t="s">
        <v>634</v>
      </c>
      <c r="K274" s="303" t="s">
        <v>635</v>
      </c>
    </row>
    <row r="275" spans="1:11" ht="12">
      <c r="A275" s="290">
        <v>16532</v>
      </c>
      <c r="B275" s="291" t="s">
        <v>640</v>
      </c>
      <c r="C275" s="292" t="s">
        <v>639</v>
      </c>
      <c r="D275" s="292" t="s">
        <v>641</v>
      </c>
      <c r="E275" s="292"/>
      <c r="F275" s="293" t="s">
        <v>42</v>
      </c>
      <c r="G275" s="310" t="s">
        <v>66</v>
      </c>
      <c r="H275" s="311" t="s">
        <v>65</v>
      </c>
      <c r="I275" s="292" t="s">
        <v>633</v>
      </c>
      <c r="J275" s="292" t="s">
        <v>634</v>
      </c>
      <c r="K275" s="303" t="s">
        <v>635</v>
      </c>
    </row>
    <row r="276" spans="1:11" ht="12">
      <c r="A276" s="290">
        <v>16874</v>
      </c>
      <c r="B276" s="291" t="s">
        <v>642</v>
      </c>
      <c r="C276" s="292" t="s">
        <v>643</v>
      </c>
      <c r="D276" s="292" t="s">
        <v>644</v>
      </c>
      <c r="E276" s="292"/>
      <c r="F276" s="293" t="s">
        <v>42</v>
      </c>
      <c r="G276" s="310" t="s">
        <v>51</v>
      </c>
      <c r="H276" s="311"/>
      <c r="I276" s="292" t="s">
        <v>633</v>
      </c>
      <c r="J276" s="292" t="s">
        <v>634</v>
      </c>
      <c r="K276" s="303" t="s">
        <v>635</v>
      </c>
    </row>
    <row r="277" spans="1:11" ht="12">
      <c r="A277" s="290">
        <v>16534</v>
      </c>
      <c r="B277" s="291" t="s">
        <v>645</v>
      </c>
      <c r="C277" s="292" t="s">
        <v>646</v>
      </c>
      <c r="D277" s="292" t="s">
        <v>119</v>
      </c>
      <c r="E277" s="292"/>
      <c r="F277" s="293" t="s">
        <v>42</v>
      </c>
      <c r="G277" s="310" t="s">
        <v>66</v>
      </c>
      <c r="H277" s="311" t="s">
        <v>65</v>
      </c>
      <c r="I277" s="292" t="s">
        <v>633</v>
      </c>
      <c r="J277" s="292" t="s">
        <v>634</v>
      </c>
      <c r="K277" s="303" t="s">
        <v>635</v>
      </c>
    </row>
    <row r="278" spans="1:11" ht="12">
      <c r="A278" s="290">
        <v>25516</v>
      </c>
      <c r="B278" s="291" t="s">
        <v>2451</v>
      </c>
      <c r="C278" s="292" t="s">
        <v>2452</v>
      </c>
      <c r="D278" s="292" t="s">
        <v>142</v>
      </c>
      <c r="E278" s="292"/>
      <c r="F278" s="293" t="s">
        <v>42</v>
      </c>
      <c r="G278" s="310" t="s">
        <v>43</v>
      </c>
      <c r="H278" s="311" t="s">
        <v>179</v>
      </c>
      <c r="I278" s="292" t="s">
        <v>633</v>
      </c>
      <c r="J278" s="292" t="s">
        <v>634</v>
      </c>
      <c r="K278" s="303" t="s">
        <v>635</v>
      </c>
    </row>
    <row r="279" spans="1:11" ht="12">
      <c r="A279" s="290">
        <v>16873</v>
      </c>
      <c r="B279" s="291">
        <v>9019474</v>
      </c>
      <c r="C279" s="292" t="s">
        <v>1715</v>
      </c>
      <c r="D279" s="292" t="s">
        <v>1716</v>
      </c>
      <c r="E279" s="292"/>
      <c r="F279" s="293" t="s">
        <v>42</v>
      </c>
      <c r="G279" s="310" t="s">
        <v>51</v>
      </c>
      <c r="H279" s="311" t="s">
        <v>65</v>
      </c>
      <c r="I279" s="292" t="s">
        <v>633</v>
      </c>
      <c r="J279" s="292" t="s">
        <v>634</v>
      </c>
      <c r="K279" s="303" t="s">
        <v>635</v>
      </c>
    </row>
    <row r="280" spans="1:11" ht="12">
      <c r="A280" s="290">
        <v>16251</v>
      </c>
      <c r="B280" s="291" t="s">
        <v>624</v>
      </c>
      <c r="C280" s="292" t="s">
        <v>625</v>
      </c>
      <c r="D280" s="292" t="s">
        <v>124</v>
      </c>
      <c r="E280" s="292"/>
      <c r="F280" s="293" t="s">
        <v>42</v>
      </c>
      <c r="G280" s="294" t="s">
        <v>66</v>
      </c>
      <c r="H280" s="295">
        <v>0</v>
      </c>
      <c r="I280" s="292" t="s">
        <v>633</v>
      </c>
      <c r="J280" s="292" t="s">
        <v>634</v>
      </c>
      <c r="K280" s="303" t="s">
        <v>635</v>
      </c>
    </row>
    <row r="281" spans="1:11" ht="12">
      <c r="A281" s="290">
        <v>38041</v>
      </c>
      <c r="B281" s="291">
        <v>9019458</v>
      </c>
      <c r="C281" s="292" t="s">
        <v>626</v>
      </c>
      <c r="D281" s="292" t="s">
        <v>252</v>
      </c>
      <c r="E281" s="292"/>
      <c r="F281" s="293" t="s">
        <v>42</v>
      </c>
      <c r="G281" s="310" t="s">
        <v>43</v>
      </c>
      <c r="H281" s="311" t="s">
        <v>179</v>
      </c>
      <c r="I281" s="292" t="s">
        <v>633</v>
      </c>
      <c r="J281" s="292" t="s">
        <v>634</v>
      </c>
      <c r="K281" s="303" t="s">
        <v>635</v>
      </c>
    </row>
    <row r="282" spans="1:11" ht="12">
      <c r="A282" s="290">
        <v>38688</v>
      </c>
      <c r="B282" s="291" t="s">
        <v>647</v>
      </c>
      <c r="C282" s="297" t="s">
        <v>648</v>
      </c>
      <c r="D282" s="297" t="s">
        <v>164</v>
      </c>
      <c r="E282" s="297" t="s">
        <v>2103</v>
      </c>
      <c r="F282" s="293" t="s">
        <v>42</v>
      </c>
      <c r="G282" s="310" t="s">
        <v>43</v>
      </c>
      <c r="H282" s="311" t="s">
        <v>50</v>
      </c>
      <c r="I282" s="297" t="s">
        <v>633</v>
      </c>
      <c r="J282" s="297" t="s">
        <v>634</v>
      </c>
      <c r="K282" s="303" t="s">
        <v>635</v>
      </c>
    </row>
    <row r="283" spans="1:11" ht="12">
      <c r="A283" s="290">
        <v>25883</v>
      </c>
      <c r="B283" s="291">
        <v>9111262</v>
      </c>
      <c r="C283" s="292" t="s">
        <v>649</v>
      </c>
      <c r="D283" s="292" t="s">
        <v>650</v>
      </c>
      <c r="E283" s="292"/>
      <c r="F283" s="293" t="s">
        <v>42</v>
      </c>
      <c r="G283" s="310" t="s">
        <v>51</v>
      </c>
      <c r="H283" s="311" t="s">
        <v>50</v>
      </c>
      <c r="I283" s="292" t="s">
        <v>633</v>
      </c>
      <c r="J283" s="292" t="s">
        <v>634</v>
      </c>
      <c r="K283" s="303" t="s">
        <v>635</v>
      </c>
    </row>
    <row r="284" spans="1:11" ht="12">
      <c r="A284" s="290">
        <v>16535</v>
      </c>
      <c r="B284" s="291" t="s">
        <v>651</v>
      </c>
      <c r="C284" s="292" t="s">
        <v>652</v>
      </c>
      <c r="D284" s="292" t="s">
        <v>653</v>
      </c>
      <c r="E284" s="292"/>
      <c r="F284" s="293" t="s">
        <v>42</v>
      </c>
      <c r="G284" s="310" t="s">
        <v>51</v>
      </c>
      <c r="H284" s="311" t="s">
        <v>50</v>
      </c>
      <c r="I284" s="292" t="s">
        <v>633</v>
      </c>
      <c r="J284" s="292" t="s">
        <v>634</v>
      </c>
      <c r="K284" s="303" t="s">
        <v>635</v>
      </c>
    </row>
    <row r="285" spans="1:11" ht="12">
      <c r="A285" s="290">
        <v>25063</v>
      </c>
      <c r="B285" s="291" t="s">
        <v>654</v>
      </c>
      <c r="C285" s="292" t="s">
        <v>655</v>
      </c>
      <c r="D285" s="292" t="s">
        <v>656</v>
      </c>
      <c r="E285" s="292"/>
      <c r="F285" s="293" t="s">
        <v>42</v>
      </c>
      <c r="G285" s="310" t="s">
        <v>51</v>
      </c>
      <c r="H285" s="311" t="s">
        <v>44</v>
      </c>
      <c r="I285" s="292" t="s">
        <v>633</v>
      </c>
      <c r="J285" s="292" t="s">
        <v>634</v>
      </c>
      <c r="K285" s="303" t="s">
        <v>635</v>
      </c>
    </row>
    <row r="286" spans="1:11" ht="12">
      <c r="A286" s="290">
        <v>25250</v>
      </c>
      <c r="B286" s="291" t="s">
        <v>2014</v>
      </c>
      <c r="C286" s="292" t="s">
        <v>655</v>
      </c>
      <c r="D286" s="292" t="s">
        <v>657</v>
      </c>
      <c r="E286" s="292"/>
      <c r="F286" s="293" t="s">
        <v>48</v>
      </c>
      <c r="G286" s="310" t="s">
        <v>49</v>
      </c>
      <c r="H286" s="311" t="s">
        <v>50</v>
      </c>
      <c r="I286" s="292" t="s">
        <v>633</v>
      </c>
      <c r="J286" s="292" t="s">
        <v>634</v>
      </c>
      <c r="K286" s="303" t="s">
        <v>635</v>
      </c>
    </row>
    <row r="287" spans="1:11" ht="12">
      <c r="A287" s="290">
        <v>38680</v>
      </c>
      <c r="B287" s="291" t="s">
        <v>631</v>
      </c>
      <c r="C287" s="297" t="s">
        <v>73</v>
      </c>
      <c r="D287" s="297" t="s">
        <v>194</v>
      </c>
      <c r="E287" s="297" t="s">
        <v>2103</v>
      </c>
      <c r="F287" s="293" t="s">
        <v>42</v>
      </c>
      <c r="G287" s="310" t="s">
        <v>43</v>
      </c>
      <c r="H287" s="311" t="s">
        <v>44</v>
      </c>
      <c r="I287" s="292" t="s">
        <v>633</v>
      </c>
      <c r="J287" s="297" t="s">
        <v>634</v>
      </c>
      <c r="K287" s="303" t="s">
        <v>635</v>
      </c>
    </row>
    <row r="288" spans="1:11" ht="12">
      <c r="A288" s="290">
        <v>7230</v>
      </c>
      <c r="B288" s="291" t="s">
        <v>658</v>
      </c>
      <c r="C288" s="292" t="s">
        <v>659</v>
      </c>
      <c r="D288" s="292" t="s">
        <v>490</v>
      </c>
      <c r="E288" s="292"/>
      <c r="F288" s="293" t="s">
        <v>42</v>
      </c>
      <c r="G288" s="310" t="s">
        <v>43</v>
      </c>
      <c r="H288" s="311" t="s">
        <v>179</v>
      </c>
      <c r="I288" s="292" t="s">
        <v>660</v>
      </c>
      <c r="J288" s="292" t="s">
        <v>661</v>
      </c>
      <c r="K288" s="303" t="s">
        <v>11</v>
      </c>
    </row>
    <row r="289" spans="1:17" ht="12">
      <c r="A289" s="290">
        <v>7214</v>
      </c>
      <c r="B289" s="291" t="s">
        <v>2299</v>
      </c>
      <c r="C289" s="292" t="s">
        <v>662</v>
      </c>
      <c r="D289" s="292" t="s">
        <v>142</v>
      </c>
      <c r="E289" s="292"/>
      <c r="F289" s="293" t="s">
        <v>42</v>
      </c>
      <c r="G289" s="310" t="s">
        <v>66</v>
      </c>
      <c r="H289" s="311"/>
      <c r="I289" s="292" t="s">
        <v>660</v>
      </c>
      <c r="J289" s="292" t="s">
        <v>661</v>
      </c>
      <c r="K289" s="303" t="s">
        <v>11</v>
      </c>
    </row>
    <row r="290" spans="1:17" ht="12">
      <c r="A290" s="290">
        <v>7181</v>
      </c>
      <c r="B290" s="291" t="s">
        <v>663</v>
      </c>
      <c r="C290" s="292" t="s">
        <v>664</v>
      </c>
      <c r="D290" s="292" t="s">
        <v>460</v>
      </c>
      <c r="E290" s="292"/>
      <c r="F290" s="293" t="s">
        <v>42</v>
      </c>
      <c r="G290" s="294" t="s">
        <v>57</v>
      </c>
      <c r="H290" s="295">
        <v>0</v>
      </c>
      <c r="I290" s="292" t="s">
        <v>660</v>
      </c>
      <c r="J290" s="292" t="s">
        <v>661</v>
      </c>
      <c r="K290" s="303" t="s">
        <v>11</v>
      </c>
    </row>
    <row r="291" spans="1:17" ht="12">
      <c r="A291" s="290">
        <v>25455</v>
      </c>
      <c r="B291" s="291" t="s">
        <v>665</v>
      </c>
      <c r="C291" s="292" t="s">
        <v>666</v>
      </c>
      <c r="D291" s="292" t="s">
        <v>667</v>
      </c>
      <c r="E291" s="292"/>
      <c r="F291" s="293" t="s">
        <v>42</v>
      </c>
      <c r="G291" s="310" t="s">
        <v>43</v>
      </c>
      <c r="H291" s="311" t="s">
        <v>179</v>
      </c>
      <c r="I291" s="292" t="s">
        <v>660</v>
      </c>
      <c r="J291" s="292" t="s">
        <v>661</v>
      </c>
      <c r="K291" s="303" t="s">
        <v>11</v>
      </c>
    </row>
    <row r="292" spans="1:17" ht="12">
      <c r="A292" s="290">
        <v>7185</v>
      </c>
      <c r="B292" s="291" t="s">
        <v>2135</v>
      </c>
      <c r="C292" s="292" t="s">
        <v>666</v>
      </c>
      <c r="D292" s="292" t="s">
        <v>96</v>
      </c>
      <c r="E292" s="292"/>
      <c r="F292" s="293" t="s">
        <v>42</v>
      </c>
      <c r="G292" s="310" t="s">
        <v>51</v>
      </c>
      <c r="H292" s="311"/>
      <c r="I292" s="292" t="s">
        <v>660</v>
      </c>
      <c r="J292" s="292" t="s">
        <v>661</v>
      </c>
      <c r="K292" s="303" t="s">
        <v>11</v>
      </c>
    </row>
    <row r="293" spans="1:17" ht="12">
      <c r="A293" s="290">
        <v>16198</v>
      </c>
      <c r="B293" s="291" t="s">
        <v>2300</v>
      </c>
      <c r="C293" s="292" t="s">
        <v>668</v>
      </c>
      <c r="D293" s="292" t="s">
        <v>98</v>
      </c>
      <c r="E293" s="292"/>
      <c r="F293" s="293" t="s">
        <v>42</v>
      </c>
      <c r="G293" s="310" t="s">
        <v>43</v>
      </c>
      <c r="H293" s="311" t="s">
        <v>179</v>
      </c>
      <c r="I293" s="292" t="s">
        <v>660</v>
      </c>
      <c r="J293" s="292" t="s">
        <v>661</v>
      </c>
      <c r="K293" s="303" t="s">
        <v>11</v>
      </c>
    </row>
    <row r="294" spans="1:17" ht="12">
      <c r="A294" s="290">
        <v>38209</v>
      </c>
      <c r="B294" s="291" t="s">
        <v>669</v>
      </c>
      <c r="C294" s="292" t="s">
        <v>670</v>
      </c>
      <c r="D294" s="292" t="s">
        <v>135</v>
      </c>
      <c r="E294" s="292"/>
      <c r="F294" s="293" t="s">
        <v>42</v>
      </c>
      <c r="G294" s="310" t="s">
        <v>43</v>
      </c>
      <c r="H294" s="311" t="s">
        <v>238</v>
      </c>
      <c r="I294" s="292" t="s">
        <v>660</v>
      </c>
      <c r="J294" s="292" t="s">
        <v>661</v>
      </c>
      <c r="K294" s="303" t="s">
        <v>11</v>
      </c>
    </row>
    <row r="295" spans="1:17" ht="12">
      <c r="A295" s="290">
        <v>38927</v>
      </c>
      <c r="B295" s="291" t="s">
        <v>2453</v>
      </c>
      <c r="C295" s="292" t="s">
        <v>2228</v>
      </c>
      <c r="D295" s="292" t="s">
        <v>2241</v>
      </c>
      <c r="E295" s="292"/>
      <c r="F295" s="293" t="s">
        <v>42</v>
      </c>
      <c r="G295" s="298" t="s">
        <v>88</v>
      </c>
      <c r="H295" s="299">
        <v>0</v>
      </c>
      <c r="I295" s="292" t="s">
        <v>672</v>
      </c>
      <c r="J295" s="292" t="s">
        <v>673</v>
      </c>
      <c r="K295" s="303" t="s">
        <v>674</v>
      </c>
    </row>
    <row r="296" spans="1:17" ht="12">
      <c r="A296" s="290">
        <v>38795</v>
      </c>
      <c r="B296" s="291" t="s">
        <v>2136</v>
      </c>
      <c r="C296" s="302" t="s">
        <v>2137</v>
      </c>
      <c r="D296" s="297" t="s">
        <v>2138</v>
      </c>
      <c r="E296" s="297" t="s">
        <v>2103</v>
      </c>
      <c r="F296" s="293" t="s">
        <v>42</v>
      </c>
      <c r="G296" s="310" t="s">
        <v>88</v>
      </c>
      <c r="H296" s="311" t="s">
        <v>103</v>
      </c>
      <c r="I296" s="297" t="s">
        <v>672</v>
      </c>
      <c r="J296" s="297" t="s">
        <v>673</v>
      </c>
      <c r="K296" s="303" t="s">
        <v>674</v>
      </c>
      <c r="L296" s="26"/>
      <c r="M296" s="26"/>
      <c r="N296" s="26"/>
      <c r="Q296" s="30"/>
    </row>
    <row r="297" spans="1:17" ht="12">
      <c r="A297" s="290">
        <v>38674</v>
      </c>
      <c r="B297" s="291" t="s">
        <v>1665</v>
      </c>
      <c r="C297" s="292" t="s">
        <v>1666</v>
      </c>
      <c r="D297" s="292" t="s">
        <v>1667</v>
      </c>
      <c r="E297" s="292"/>
      <c r="F297" s="293" t="s">
        <v>42</v>
      </c>
      <c r="G297" s="310" t="s">
        <v>359</v>
      </c>
      <c r="H297" s="311" t="s">
        <v>103</v>
      </c>
      <c r="I297" s="292" t="s">
        <v>672</v>
      </c>
      <c r="J297" s="292" t="s">
        <v>673</v>
      </c>
      <c r="K297" s="303" t="s">
        <v>674</v>
      </c>
      <c r="L297" s="26"/>
      <c r="M297" s="26"/>
      <c r="N297" s="26"/>
      <c r="Q297" s="30"/>
    </row>
    <row r="298" spans="1:17" ht="12">
      <c r="A298" s="290">
        <v>38767</v>
      </c>
      <c r="B298" s="291" t="s">
        <v>2015</v>
      </c>
      <c r="C298" s="302" t="s">
        <v>2016</v>
      </c>
      <c r="D298" s="297" t="s">
        <v>1408</v>
      </c>
      <c r="E298" s="297" t="s">
        <v>2103</v>
      </c>
      <c r="F298" s="293" t="s">
        <v>42</v>
      </c>
      <c r="G298" s="310" t="s">
        <v>88</v>
      </c>
      <c r="H298" s="311" t="s">
        <v>103</v>
      </c>
      <c r="I298" s="297" t="s">
        <v>672</v>
      </c>
      <c r="J298" s="297" t="s">
        <v>673</v>
      </c>
      <c r="K298" s="303" t="s">
        <v>674</v>
      </c>
    </row>
    <row r="299" spans="1:17" ht="12">
      <c r="A299" s="290">
        <v>38894</v>
      </c>
      <c r="B299" s="291" t="s">
        <v>2454</v>
      </c>
      <c r="C299" s="292" t="s">
        <v>2455</v>
      </c>
      <c r="D299" s="292" t="s">
        <v>1376</v>
      </c>
      <c r="E299" s="292"/>
      <c r="F299" s="293" t="s">
        <v>42</v>
      </c>
      <c r="G299" s="310" t="s">
        <v>88</v>
      </c>
      <c r="H299" s="311" t="s">
        <v>103</v>
      </c>
      <c r="I299" s="292" t="s">
        <v>672</v>
      </c>
      <c r="J299" s="292" t="s">
        <v>673</v>
      </c>
      <c r="K299" s="303" t="s">
        <v>674</v>
      </c>
      <c r="L299" s="26"/>
      <c r="M299" s="26"/>
      <c r="N299" s="26"/>
      <c r="Q299" s="30"/>
    </row>
    <row r="300" spans="1:17" ht="12">
      <c r="A300" s="290">
        <v>38915</v>
      </c>
      <c r="B300" s="291" t="s">
        <v>2456</v>
      </c>
      <c r="C300" s="292" t="s">
        <v>2457</v>
      </c>
      <c r="D300" s="292" t="s">
        <v>2458</v>
      </c>
      <c r="E300" s="292"/>
      <c r="F300" s="293" t="s">
        <v>42</v>
      </c>
      <c r="G300" s="298" t="s">
        <v>88</v>
      </c>
      <c r="H300" s="299">
        <v>0</v>
      </c>
      <c r="I300" s="292" t="s">
        <v>672</v>
      </c>
      <c r="J300" s="292" t="s">
        <v>673</v>
      </c>
      <c r="K300" s="303" t="s">
        <v>674</v>
      </c>
      <c r="L300" s="26"/>
      <c r="M300" s="26"/>
      <c r="N300" s="26"/>
      <c r="Q300" s="30"/>
    </row>
    <row r="301" spans="1:17" ht="12">
      <c r="A301" s="290">
        <v>38781</v>
      </c>
      <c r="B301" s="291" t="s">
        <v>2034</v>
      </c>
      <c r="C301" s="302" t="s">
        <v>2035</v>
      </c>
      <c r="D301" s="297" t="s">
        <v>378</v>
      </c>
      <c r="E301" s="297" t="s">
        <v>2103</v>
      </c>
      <c r="F301" s="293" t="s">
        <v>42</v>
      </c>
      <c r="G301" s="310" t="s">
        <v>359</v>
      </c>
      <c r="H301" s="311" t="s">
        <v>103</v>
      </c>
      <c r="I301" s="297" t="s">
        <v>672</v>
      </c>
      <c r="J301" s="297" t="s">
        <v>673</v>
      </c>
      <c r="K301" s="303" t="s">
        <v>674</v>
      </c>
      <c r="L301" s="26"/>
      <c r="M301" s="26"/>
      <c r="N301" s="26"/>
      <c r="Q301" s="30"/>
    </row>
    <row r="302" spans="1:17" ht="12">
      <c r="A302" s="290">
        <v>7860</v>
      </c>
      <c r="B302" s="291" t="s">
        <v>2139</v>
      </c>
      <c r="C302" s="292" t="s">
        <v>675</v>
      </c>
      <c r="D302" s="292" t="s">
        <v>676</v>
      </c>
      <c r="E302" s="292"/>
      <c r="F302" s="293" t="s">
        <v>48</v>
      </c>
      <c r="G302" s="310" t="s">
        <v>49</v>
      </c>
      <c r="H302" s="311" t="s">
        <v>179</v>
      </c>
      <c r="I302" s="292" t="s">
        <v>680</v>
      </c>
      <c r="J302" s="292" t="s">
        <v>677</v>
      </c>
      <c r="K302" s="303" t="s">
        <v>678</v>
      </c>
      <c r="L302" s="26"/>
      <c r="M302" s="26"/>
      <c r="N302" s="26"/>
      <c r="Q302" s="30"/>
    </row>
    <row r="303" spans="1:17" ht="12">
      <c r="A303" s="290">
        <v>12248</v>
      </c>
      <c r="B303" s="291">
        <v>9042187</v>
      </c>
      <c r="C303" s="292" t="s">
        <v>679</v>
      </c>
      <c r="D303" s="292" t="s">
        <v>528</v>
      </c>
      <c r="E303" s="292"/>
      <c r="F303" s="293" t="s">
        <v>42</v>
      </c>
      <c r="G303" s="310" t="s">
        <v>43</v>
      </c>
      <c r="H303" s="311" t="s">
        <v>65</v>
      </c>
      <c r="I303" s="292" t="s">
        <v>680</v>
      </c>
      <c r="J303" s="292" t="s">
        <v>677</v>
      </c>
      <c r="K303" s="303" t="s">
        <v>678</v>
      </c>
      <c r="L303" s="26"/>
      <c r="M303" s="26"/>
      <c r="N303" s="26"/>
      <c r="Q303" s="30"/>
    </row>
    <row r="304" spans="1:17" ht="12">
      <c r="A304" s="290">
        <v>25387</v>
      </c>
      <c r="B304" s="291" t="s">
        <v>681</v>
      </c>
      <c r="C304" s="292" t="s">
        <v>682</v>
      </c>
      <c r="D304" s="292" t="s">
        <v>480</v>
      </c>
      <c r="E304" s="292"/>
      <c r="F304" s="293" t="s">
        <v>42</v>
      </c>
      <c r="G304" s="310" t="s">
        <v>66</v>
      </c>
      <c r="H304" s="311" t="s">
        <v>179</v>
      </c>
      <c r="I304" s="292" t="s">
        <v>680</v>
      </c>
      <c r="J304" s="292" t="s">
        <v>677</v>
      </c>
      <c r="K304" s="303" t="s">
        <v>678</v>
      </c>
    </row>
    <row r="305" spans="1:17" ht="12">
      <c r="A305" s="290">
        <v>7967</v>
      </c>
      <c r="B305" s="291" t="s">
        <v>232</v>
      </c>
      <c r="C305" s="292" t="s">
        <v>233</v>
      </c>
      <c r="D305" s="292" t="s">
        <v>234</v>
      </c>
      <c r="E305" s="292"/>
      <c r="F305" s="293" t="s">
        <v>42</v>
      </c>
      <c r="G305" s="310" t="s">
        <v>57</v>
      </c>
      <c r="H305" s="311" t="s">
        <v>44</v>
      </c>
      <c r="I305" s="292" t="s">
        <v>680</v>
      </c>
      <c r="J305" s="292" t="s">
        <v>677</v>
      </c>
      <c r="K305" s="303" t="s">
        <v>678</v>
      </c>
    </row>
    <row r="306" spans="1:17" ht="12">
      <c r="A306" s="290">
        <v>7193</v>
      </c>
      <c r="B306" s="291" t="s">
        <v>2459</v>
      </c>
      <c r="C306" s="292" t="s">
        <v>683</v>
      </c>
      <c r="D306" s="292" t="s">
        <v>684</v>
      </c>
      <c r="E306" s="292"/>
      <c r="F306" s="293" t="s">
        <v>42</v>
      </c>
      <c r="G306" s="310" t="s">
        <v>51</v>
      </c>
      <c r="H306" s="311" t="s">
        <v>65</v>
      </c>
      <c r="I306" s="292" t="s">
        <v>680</v>
      </c>
      <c r="J306" s="292" t="s">
        <v>677</v>
      </c>
      <c r="K306" s="303" t="s">
        <v>678</v>
      </c>
      <c r="L306" s="26"/>
      <c r="M306" s="26"/>
      <c r="N306" s="26"/>
      <c r="Q306" s="30"/>
    </row>
    <row r="307" spans="1:17" ht="12">
      <c r="A307" s="290">
        <v>7747</v>
      </c>
      <c r="B307" s="291" t="s">
        <v>240</v>
      </c>
      <c r="C307" s="292" t="s">
        <v>239</v>
      </c>
      <c r="D307" s="292" t="s">
        <v>119</v>
      </c>
      <c r="E307" s="292"/>
      <c r="F307" s="293" t="s">
        <v>42</v>
      </c>
      <c r="G307" s="310" t="s">
        <v>66</v>
      </c>
      <c r="H307" s="311" t="s">
        <v>44</v>
      </c>
      <c r="I307" s="292" t="s">
        <v>680</v>
      </c>
      <c r="J307" s="292" t="s">
        <v>677</v>
      </c>
      <c r="K307" s="303" t="s">
        <v>678</v>
      </c>
    </row>
    <row r="308" spans="1:17" ht="12">
      <c r="A308" s="290">
        <v>38543</v>
      </c>
      <c r="B308" s="291" t="s">
        <v>685</v>
      </c>
      <c r="C308" s="292" t="s">
        <v>686</v>
      </c>
      <c r="D308" s="292" t="s">
        <v>687</v>
      </c>
      <c r="E308" s="292"/>
      <c r="F308" s="293" t="s">
        <v>42</v>
      </c>
      <c r="G308" s="310" t="s">
        <v>43</v>
      </c>
      <c r="H308" s="311"/>
      <c r="I308" s="292" t="s">
        <v>680</v>
      </c>
      <c r="J308" s="292" t="s">
        <v>677</v>
      </c>
      <c r="K308" s="303" t="s">
        <v>678</v>
      </c>
    </row>
    <row r="309" spans="1:17" ht="12">
      <c r="A309" s="290">
        <v>6943</v>
      </c>
      <c r="B309" s="291" t="s">
        <v>1884</v>
      </c>
      <c r="C309" s="292" t="s">
        <v>1885</v>
      </c>
      <c r="D309" s="292" t="s">
        <v>178</v>
      </c>
      <c r="E309" s="292"/>
      <c r="F309" s="293" t="s">
        <v>42</v>
      </c>
      <c r="G309" s="310" t="s">
        <v>43</v>
      </c>
      <c r="H309" s="311" t="s">
        <v>50</v>
      </c>
      <c r="I309" s="292" t="s">
        <v>680</v>
      </c>
      <c r="J309" s="292" t="s">
        <v>677</v>
      </c>
      <c r="K309" s="303" t="s">
        <v>678</v>
      </c>
    </row>
    <row r="310" spans="1:17" ht="12">
      <c r="A310" s="290">
        <v>38735</v>
      </c>
      <c r="B310" s="291" t="s">
        <v>2460</v>
      </c>
      <c r="C310" s="292" t="s">
        <v>1885</v>
      </c>
      <c r="D310" s="292" t="s">
        <v>2461</v>
      </c>
      <c r="E310" s="292"/>
      <c r="F310" s="293" t="s">
        <v>48</v>
      </c>
      <c r="G310" s="298" t="s">
        <v>78</v>
      </c>
      <c r="H310" s="299">
        <v>0</v>
      </c>
      <c r="I310" s="292" t="s">
        <v>680</v>
      </c>
      <c r="J310" s="292" t="s">
        <v>677</v>
      </c>
      <c r="K310" s="303" t="s">
        <v>678</v>
      </c>
    </row>
    <row r="311" spans="1:17" ht="12">
      <c r="A311" s="290">
        <v>38900</v>
      </c>
      <c r="B311" s="291" t="s">
        <v>2462</v>
      </c>
      <c r="C311" s="302" t="s">
        <v>2463</v>
      </c>
      <c r="D311" s="297" t="s">
        <v>131</v>
      </c>
      <c r="E311" s="297" t="s">
        <v>2103</v>
      </c>
      <c r="F311" s="293" t="s">
        <v>42</v>
      </c>
      <c r="G311" s="310" t="s">
        <v>43</v>
      </c>
      <c r="H311" s="311"/>
      <c r="I311" s="297" t="s">
        <v>680</v>
      </c>
      <c r="J311" s="297" t="s">
        <v>677</v>
      </c>
      <c r="K311" s="303" t="s">
        <v>678</v>
      </c>
    </row>
    <row r="312" spans="1:17" ht="12">
      <c r="A312" s="290">
        <v>38277</v>
      </c>
      <c r="B312" s="291" t="s">
        <v>2464</v>
      </c>
      <c r="C312" s="302" t="s">
        <v>2465</v>
      </c>
      <c r="D312" s="297" t="s">
        <v>641</v>
      </c>
      <c r="E312" s="297" t="s">
        <v>2103</v>
      </c>
      <c r="F312" s="293" t="s">
        <v>42</v>
      </c>
      <c r="G312" s="294" t="s">
        <v>43</v>
      </c>
      <c r="H312" s="295">
        <v>0</v>
      </c>
      <c r="I312" s="297" t="s">
        <v>680</v>
      </c>
      <c r="J312" s="297" t="s">
        <v>677</v>
      </c>
      <c r="K312" s="303" t="s">
        <v>678</v>
      </c>
    </row>
    <row r="313" spans="1:17" ht="12">
      <c r="A313" s="290">
        <v>38901</v>
      </c>
      <c r="B313" s="291" t="s">
        <v>2466</v>
      </c>
      <c r="C313" s="302" t="s">
        <v>884</v>
      </c>
      <c r="D313" s="297" t="s">
        <v>842</v>
      </c>
      <c r="E313" s="297" t="s">
        <v>2103</v>
      </c>
      <c r="F313" s="293" t="s">
        <v>42</v>
      </c>
      <c r="G313" s="310" t="s">
        <v>93</v>
      </c>
      <c r="H313" s="311"/>
      <c r="I313" s="297" t="s">
        <v>680</v>
      </c>
      <c r="J313" s="297" t="s">
        <v>677</v>
      </c>
      <c r="K313" s="303" t="s">
        <v>678</v>
      </c>
    </row>
    <row r="314" spans="1:17" ht="12">
      <c r="A314" s="290">
        <v>16453</v>
      </c>
      <c r="B314" s="291">
        <v>9111158</v>
      </c>
      <c r="C314" s="292" t="s">
        <v>690</v>
      </c>
      <c r="D314" s="292" t="s">
        <v>594</v>
      </c>
      <c r="E314" s="292"/>
      <c r="F314" s="293" t="s">
        <v>42</v>
      </c>
      <c r="G314" s="310" t="s">
        <v>57</v>
      </c>
      <c r="H314" s="311" t="s">
        <v>44</v>
      </c>
      <c r="I314" s="292" t="s">
        <v>680</v>
      </c>
      <c r="J314" s="292" t="s">
        <v>677</v>
      </c>
      <c r="K314" s="303" t="s">
        <v>678</v>
      </c>
      <c r="L314" s="26"/>
      <c r="M314" s="26"/>
      <c r="N314" s="26"/>
      <c r="Q314" s="30"/>
    </row>
    <row r="315" spans="1:17" ht="12">
      <c r="A315" s="290">
        <v>7156</v>
      </c>
      <c r="B315" s="291" t="s">
        <v>691</v>
      </c>
      <c r="C315" s="292" t="s">
        <v>692</v>
      </c>
      <c r="D315" s="292" t="s">
        <v>693</v>
      </c>
      <c r="E315" s="292"/>
      <c r="F315" s="293" t="s">
        <v>48</v>
      </c>
      <c r="G315" s="310" t="s">
        <v>78</v>
      </c>
      <c r="H315" s="311"/>
      <c r="I315" s="292" t="s">
        <v>680</v>
      </c>
      <c r="J315" s="292" t="s">
        <v>677</v>
      </c>
      <c r="K315" s="303" t="s">
        <v>678</v>
      </c>
      <c r="L315" s="26"/>
      <c r="M315" s="26"/>
      <c r="N315" s="26"/>
      <c r="Q315" s="30"/>
    </row>
    <row r="316" spans="1:17" ht="12">
      <c r="A316" s="290">
        <v>25478</v>
      </c>
      <c r="B316" s="291">
        <v>9065825</v>
      </c>
      <c r="C316" s="292" t="s">
        <v>694</v>
      </c>
      <c r="D316" s="292" t="s">
        <v>452</v>
      </c>
      <c r="E316" s="292"/>
      <c r="F316" s="293" t="s">
        <v>48</v>
      </c>
      <c r="G316" s="310" t="s">
        <v>138</v>
      </c>
      <c r="H316" s="311" t="s">
        <v>50</v>
      </c>
      <c r="I316" s="292" t="s">
        <v>680</v>
      </c>
      <c r="J316" s="292" t="s">
        <v>677</v>
      </c>
      <c r="K316" s="303" t="s">
        <v>678</v>
      </c>
      <c r="L316" s="26"/>
      <c r="M316" s="26"/>
      <c r="N316" s="26"/>
      <c r="Q316" s="30"/>
    </row>
    <row r="317" spans="1:17" ht="12">
      <c r="A317" s="290">
        <v>38836</v>
      </c>
      <c r="B317" s="291" t="s">
        <v>2140</v>
      </c>
      <c r="C317" s="302" t="s">
        <v>2141</v>
      </c>
      <c r="D317" s="297" t="s">
        <v>63</v>
      </c>
      <c r="E317" s="297" t="s">
        <v>2103</v>
      </c>
      <c r="F317" s="293" t="s">
        <v>42</v>
      </c>
      <c r="G317" s="310" t="s">
        <v>43</v>
      </c>
      <c r="H317" s="311"/>
      <c r="I317" s="297" t="s">
        <v>680</v>
      </c>
      <c r="J317" s="297" t="s">
        <v>677</v>
      </c>
      <c r="K317" s="303" t="s">
        <v>678</v>
      </c>
    </row>
    <row r="318" spans="1:17" ht="12">
      <c r="A318" s="290">
        <v>7182</v>
      </c>
      <c r="B318" s="291" t="s">
        <v>695</v>
      </c>
      <c r="C318" s="292" t="s">
        <v>696</v>
      </c>
      <c r="D318" s="292" t="s">
        <v>183</v>
      </c>
      <c r="E318" s="292"/>
      <c r="F318" s="293" t="s">
        <v>42</v>
      </c>
      <c r="G318" s="310" t="s">
        <v>51</v>
      </c>
      <c r="H318" s="311" t="s">
        <v>65</v>
      </c>
      <c r="I318" s="292" t="s">
        <v>680</v>
      </c>
      <c r="J318" s="292" t="s">
        <v>677</v>
      </c>
      <c r="K318" s="303" t="s">
        <v>678</v>
      </c>
    </row>
    <row r="319" spans="1:17" ht="12">
      <c r="A319" s="290">
        <v>7154</v>
      </c>
      <c r="B319" s="291" t="s">
        <v>697</v>
      </c>
      <c r="C319" s="292" t="s">
        <v>696</v>
      </c>
      <c r="D319" s="292" t="s">
        <v>698</v>
      </c>
      <c r="E319" s="292"/>
      <c r="F319" s="293" t="s">
        <v>48</v>
      </c>
      <c r="G319" s="310" t="s">
        <v>138</v>
      </c>
      <c r="H319" s="311" t="s">
        <v>179</v>
      </c>
      <c r="I319" s="292" t="s">
        <v>680</v>
      </c>
      <c r="J319" s="292" t="s">
        <v>677</v>
      </c>
      <c r="K319" s="303" t="s">
        <v>678</v>
      </c>
    </row>
    <row r="320" spans="1:17" ht="12">
      <c r="A320" s="290">
        <v>25484</v>
      </c>
      <c r="B320" s="291" t="s">
        <v>699</v>
      </c>
      <c r="C320" s="292" t="s">
        <v>696</v>
      </c>
      <c r="D320" s="292" t="s">
        <v>700</v>
      </c>
      <c r="E320" s="292"/>
      <c r="F320" s="293" t="s">
        <v>42</v>
      </c>
      <c r="G320" s="310" t="s">
        <v>93</v>
      </c>
      <c r="H320" s="311" t="s">
        <v>179</v>
      </c>
      <c r="I320" s="292" t="s">
        <v>680</v>
      </c>
      <c r="J320" s="292" t="s">
        <v>677</v>
      </c>
      <c r="K320" s="303" t="s">
        <v>678</v>
      </c>
    </row>
    <row r="321" spans="1:17" ht="12">
      <c r="A321" s="290">
        <v>38115</v>
      </c>
      <c r="B321" s="291" t="s">
        <v>1179</v>
      </c>
      <c r="C321" s="292" t="s">
        <v>675</v>
      </c>
      <c r="D321" s="292" t="s">
        <v>1180</v>
      </c>
      <c r="E321" s="292"/>
      <c r="F321" s="293" t="s">
        <v>42</v>
      </c>
      <c r="G321" s="310" t="s">
        <v>43</v>
      </c>
      <c r="H321" s="311" t="s">
        <v>65</v>
      </c>
      <c r="I321" s="292" t="s">
        <v>701</v>
      </c>
      <c r="J321" s="292" t="s">
        <v>677</v>
      </c>
      <c r="K321" s="303" t="s">
        <v>678</v>
      </c>
    </row>
    <row r="322" spans="1:17" ht="12">
      <c r="A322" s="290">
        <v>7228</v>
      </c>
      <c r="B322" s="291">
        <v>889755</v>
      </c>
      <c r="C322" s="292" t="s">
        <v>702</v>
      </c>
      <c r="D322" s="292" t="s">
        <v>703</v>
      </c>
      <c r="E322" s="292"/>
      <c r="F322" s="293" t="s">
        <v>42</v>
      </c>
      <c r="G322" s="310" t="s">
        <v>43</v>
      </c>
      <c r="H322" s="311" t="s">
        <v>238</v>
      </c>
      <c r="I322" s="292" t="s">
        <v>701</v>
      </c>
      <c r="J322" s="292" t="s">
        <v>677</v>
      </c>
      <c r="K322" s="303" t="s">
        <v>678</v>
      </c>
    </row>
    <row r="323" spans="1:17" ht="12">
      <c r="A323" s="290">
        <v>7586</v>
      </c>
      <c r="B323" s="291" t="s">
        <v>704</v>
      </c>
      <c r="C323" s="292" t="s">
        <v>705</v>
      </c>
      <c r="D323" s="292" t="s">
        <v>639</v>
      </c>
      <c r="E323" s="292"/>
      <c r="F323" s="293" t="s">
        <v>42</v>
      </c>
      <c r="G323" s="310" t="s">
        <v>51</v>
      </c>
      <c r="H323" s="311" t="s">
        <v>44</v>
      </c>
      <c r="I323" s="292" t="s">
        <v>701</v>
      </c>
      <c r="J323" s="292" t="s">
        <v>677</v>
      </c>
      <c r="K323" s="303" t="s">
        <v>678</v>
      </c>
    </row>
    <row r="324" spans="1:17" ht="12">
      <c r="A324" s="290">
        <v>9936</v>
      </c>
      <c r="B324" s="291">
        <v>83471</v>
      </c>
      <c r="C324" s="292" t="s">
        <v>130</v>
      </c>
      <c r="D324" s="292" t="s">
        <v>2142</v>
      </c>
      <c r="E324" s="292"/>
      <c r="F324" s="293" t="s">
        <v>42</v>
      </c>
      <c r="G324" s="310" t="s">
        <v>93</v>
      </c>
      <c r="H324" s="311" t="s">
        <v>65</v>
      </c>
      <c r="I324" s="292" t="s">
        <v>701</v>
      </c>
      <c r="J324" s="292" t="s">
        <v>677</v>
      </c>
      <c r="K324" s="303" t="s">
        <v>678</v>
      </c>
    </row>
    <row r="325" spans="1:17" ht="12">
      <c r="A325" s="290">
        <v>7135</v>
      </c>
      <c r="B325" s="291" t="s">
        <v>706</v>
      </c>
      <c r="C325" s="292" t="s">
        <v>454</v>
      </c>
      <c r="D325" s="292" t="s">
        <v>707</v>
      </c>
      <c r="E325" s="292"/>
      <c r="F325" s="293" t="s">
        <v>42</v>
      </c>
      <c r="G325" s="310" t="s">
        <v>51</v>
      </c>
      <c r="H325" s="311" t="s">
        <v>44</v>
      </c>
      <c r="I325" s="292" t="s">
        <v>701</v>
      </c>
      <c r="J325" s="292" t="s">
        <v>677</v>
      </c>
      <c r="K325" s="303" t="s">
        <v>678</v>
      </c>
    </row>
    <row r="326" spans="1:17" ht="12">
      <c r="A326" s="290">
        <v>38275</v>
      </c>
      <c r="B326" s="291" t="s">
        <v>708</v>
      </c>
      <c r="C326" s="302" t="s">
        <v>454</v>
      </c>
      <c r="D326" s="297" t="s">
        <v>131</v>
      </c>
      <c r="E326" s="297" t="s">
        <v>2103</v>
      </c>
      <c r="F326" s="293" t="s">
        <v>42</v>
      </c>
      <c r="G326" s="310" t="s">
        <v>93</v>
      </c>
      <c r="H326" s="311" t="s">
        <v>65</v>
      </c>
      <c r="I326" s="297" t="s">
        <v>701</v>
      </c>
      <c r="J326" s="297" t="s">
        <v>677</v>
      </c>
      <c r="K326" s="303" t="s">
        <v>678</v>
      </c>
      <c r="L326" s="26"/>
      <c r="M326" s="26"/>
      <c r="N326" s="26"/>
      <c r="Q326" s="30"/>
    </row>
    <row r="327" spans="1:17" ht="12">
      <c r="A327" s="290">
        <v>38366</v>
      </c>
      <c r="B327" s="291" t="s">
        <v>709</v>
      </c>
      <c r="C327" s="302" t="s">
        <v>710</v>
      </c>
      <c r="D327" s="297" t="s">
        <v>711</v>
      </c>
      <c r="E327" s="297" t="s">
        <v>2103</v>
      </c>
      <c r="F327" s="293" t="s">
        <v>42</v>
      </c>
      <c r="G327" s="310" t="s">
        <v>43</v>
      </c>
      <c r="H327" s="311" t="s">
        <v>179</v>
      </c>
      <c r="I327" s="297" t="s">
        <v>701</v>
      </c>
      <c r="J327" s="297" t="s">
        <v>677</v>
      </c>
      <c r="K327" s="303" t="s">
        <v>678</v>
      </c>
      <c r="L327" s="26"/>
      <c r="M327" s="26"/>
      <c r="N327" s="26"/>
      <c r="Q327" s="30"/>
    </row>
    <row r="328" spans="1:17" ht="12">
      <c r="A328" s="290">
        <v>38367</v>
      </c>
      <c r="B328" s="291" t="s">
        <v>712</v>
      </c>
      <c r="C328" s="292" t="s">
        <v>713</v>
      </c>
      <c r="D328" s="292" t="s">
        <v>131</v>
      </c>
      <c r="E328" s="292"/>
      <c r="F328" s="293" t="s">
        <v>42</v>
      </c>
      <c r="G328" s="310" t="s">
        <v>43</v>
      </c>
      <c r="H328" s="311" t="s">
        <v>65</v>
      </c>
      <c r="I328" s="292" t="s">
        <v>701</v>
      </c>
      <c r="J328" s="292" t="s">
        <v>677</v>
      </c>
      <c r="K328" s="303" t="s">
        <v>678</v>
      </c>
      <c r="L328" s="26"/>
      <c r="M328" s="26"/>
      <c r="N328" s="26"/>
      <c r="Q328" s="30"/>
    </row>
    <row r="329" spans="1:17" ht="12">
      <c r="A329" s="290">
        <v>38152</v>
      </c>
      <c r="B329" s="291" t="s">
        <v>714</v>
      </c>
      <c r="C329" s="292" t="s">
        <v>715</v>
      </c>
      <c r="D329" s="292" t="s">
        <v>656</v>
      </c>
      <c r="E329" s="292"/>
      <c r="F329" s="293" t="s">
        <v>42</v>
      </c>
      <c r="G329" s="310" t="s">
        <v>66</v>
      </c>
      <c r="H329" s="311"/>
      <c r="I329" s="292" t="s">
        <v>701</v>
      </c>
      <c r="J329" s="292" t="s">
        <v>677</v>
      </c>
      <c r="K329" s="303" t="s">
        <v>678</v>
      </c>
    </row>
    <row r="330" spans="1:17" ht="12">
      <c r="A330" s="290">
        <v>25085</v>
      </c>
      <c r="B330" s="291" t="s">
        <v>716</v>
      </c>
      <c r="C330" s="292" t="s">
        <v>717</v>
      </c>
      <c r="D330" s="292" t="s">
        <v>194</v>
      </c>
      <c r="E330" s="292"/>
      <c r="F330" s="293" t="s">
        <v>42</v>
      </c>
      <c r="G330" s="310" t="s">
        <v>43</v>
      </c>
      <c r="H330" s="311"/>
      <c r="I330" s="292" t="s">
        <v>701</v>
      </c>
      <c r="J330" s="292" t="s">
        <v>677</v>
      </c>
      <c r="K330" s="303" t="s">
        <v>678</v>
      </c>
      <c r="L330" s="26"/>
      <c r="M330" s="26"/>
      <c r="N330" s="26"/>
      <c r="Q330" s="30"/>
    </row>
    <row r="331" spans="1:17" ht="12">
      <c r="A331" s="290">
        <v>25007</v>
      </c>
      <c r="B331" s="291" t="s">
        <v>718</v>
      </c>
      <c r="C331" s="292" t="s">
        <v>719</v>
      </c>
      <c r="D331" s="292" t="s">
        <v>720</v>
      </c>
      <c r="E331" s="292"/>
      <c r="F331" s="293" t="s">
        <v>48</v>
      </c>
      <c r="G331" s="310" t="s">
        <v>78</v>
      </c>
      <c r="H331" s="311"/>
      <c r="I331" s="292" t="s">
        <v>701</v>
      </c>
      <c r="J331" s="292" t="s">
        <v>677</v>
      </c>
      <c r="K331" s="303" t="s">
        <v>678</v>
      </c>
    </row>
    <row r="332" spans="1:17" ht="12">
      <c r="A332" s="290">
        <v>38661</v>
      </c>
      <c r="B332" s="291" t="s">
        <v>721</v>
      </c>
      <c r="C332" s="302" t="s">
        <v>722</v>
      </c>
      <c r="D332" s="297" t="s">
        <v>116</v>
      </c>
      <c r="E332" s="297" t="s">
        <v>2103</v>
      </c>
      <c r="F332" s="293" t="s">
        <v>42</v>
      </c>
      <c r="G332" s="310" t="s">
        <v>51</v>
      </c>
      <c r="H332" s="311"/>
      <c r="I332" s="297" t="s">
        <v>701</v>
      </c>
      <c r="J332" s="297" t="s">
        <v>677</v>
      </c>
      <c r="K332" s="303" t="s">
        <v>678</v>
      </c>
      <c r="L332" s="26"/>
      <c r="M332" s="26"/>
      <c r="N332" s="26"/>
      <c r="Q332" s="30"/>
    </row>
    <row r="333" spans="1:17" ht="12">
      <c r="A333" s="290">
        <v>34393</v>
      </c>
      <c r="B333" s="291" t="s">
        <v>397</v>
      </c>
      <c r="C333" s="292" t="s">
        <v>398</v>
      </c>
      <c r="D333" s="292" t="s">
        <v>399</v>
      </c>
      <c r="E333" s="292"/>
      <c r="F333" s="293" t="s">
        <v>48</v>
      </c>
      <c r="G333" s="310" t="s">
        <v>78</v>
      </c>
      <c r="H333" s="311" t="s">
        <v>50</v>
      </c>
      <c r="I333" s="292" t="s">
        <v>701</v>
      </c>
      <c r="J333" s="292" t="s">
        <v>677</v>
      </c>
      <c r="K333" s="303" t="s">
        <v>678</v>
      </c>
      <c r="L333" s="26"/>
      <c r="M333" s="26"/>
      <c r="N333" s="26"/>
      <c r="Q333" s="30"/>
    </row>
    <row r="334" spans="1:17" ht="12">
      <c r="A334" s="290">
        <v>38507</v>
      </c>
      <c r="B334" s="291" t="s">
        <v>723</v>
      </c>
      <c r="C334" s="302" t="s">
        <v>724</v>
      </c>
      <c r="D334" s="297" t="s">
        <v>725</v>
      </c>
      <c r="E334" s="297" t="s">
        <v>2103</v>
      </c>
      <c r="F334" s="293" t="s">
        <v>42</v>
      </c>
      <c r="G334" s="310" t="s">
        <v>51</v>
      </c>
      <c r="H334" s="311" t="s">
        <v>50</v>
      </c>
      <c r="I334" s="297" t="s">
        <v>701</v>
      </c>
      <c r="J334" s="297" t="s">
        <v>677</v>
      </c>
      <c r="K334" s="303" t="s">
        <v>678</v>
      </c>
    </row>
    <row r="335" spans="1:17" ht="12">
      <c r="A335" s="290">
        <v>7123</v>
      </c>
      <c r="B335" s="291" t="s">
        <v>726</v>
      </c>
      <c r="C335" s="292" t="s">
        <v>727</v>
      </c>
      <c r="D335" s="292" t="s">
        <v>96</v>
      </c>
      <c r="E335" s="292"/>
      <c r="F335" s="293" t="s">
        <v>42</v>
      </c>
      <c r="G335" s="310" t="s">
        <v>51</v>
      </c>
      <c r="H335" s="311" t="s">
        <v>50</v>
      </c>
      <c r="I335" s="292" t="s">
        <v>701</v>
      </c>
      <c r="J335" s="292" t="s">
        <v>677</v>
      </c>
      <c r="K335" s="303" t="s">
        <v>678</v>
      </c>
    </row>
    <row r="336" spans="1:17" ht="12">
      <c r="A336" s="290">
        <v>7136</v>
      </c>
      <c r="B336" s="291" t="s">
        <v>728</v>
      </c>
      <c r="C336" s="292" t="s">
        <v>729</v>
      </c>
      <c r="D336" s="292" t="s">
        <v>730</v>
      </c>
      <c r="E336" s="292"/>
      <c r="F336" s="293" t="s">
        <v>42</v>
      </c>
      <c r="G336" s="310" t="s">
        <v>66</v>
      </c>
      <c r="H336" s="311" t="s">
        <v>44</v>
      </c>
      <c r="I336" s="292" t="s">
        <v>701</v>
      </c>
      <c r="J336" s="292" t="s">
        <v>677</v>
      </c>
      <c r="K336" s="303" t="s">
        <v>678</v>
      </c>
    </row>
    <row r="337" spans="1:11" ht="12">
      <c r="A337" s="290">
        <v>38823</v>
      </c>
      <c r="B337" s="291" t="s">
        <v>2143</v>
      </c>
      <c r="C337" s="292" t="s">
        <v>2144</v>
      </c>
      <c r="D337" s="292" t="s">
        <v>60</v>
      </c>
      <c r="E337" s="292"/>
      <c r="F337" s="293" t="s">
        <v>42</v>
      </c>
      <c r="G337" s="310" t="s">
        <v>66</v>
      </c>
      <c r="H337" s="311" t="s">
        <v>44</v>
      </c>
      <c r="I337" s="292" t="s">
        <v>701</v>
      </c>
      <c r="J337" s="292" t="s">
        <v>677</v>
      </c>
      <c r="K337" s="303" t="s">
        <v>678</v>
      </c>
    </row>
    <row r="338" spans="1:11" ht="12">
      <c r="A338" s="290">
        <v>25479</v>
      </c>
      <c r="B338" s="291" t="s">
        <v>2467</v>
      </c>
      <c r="C338" s="292" t="s">
        <v>694</v>
      </c>
      <c r="D338" s="292" t="s">
        <v>124</v>
      </c>
      <c r="E338" s="292"/>
      <c r="F338" s="293" t="s">
        <v>42</v>
      </c>
      <c r="G338" s="310" t="s">
        <v>66</v>
      </c>
      <c r="H338" s="311" t="s">
        <v>44</v>
      </c>
      <c r="I338" s="292" t="s">
        <v>701</v>
      </c>
      <c r="J338" s="292" t="s">
        <v>677</v>
      </c>
      <c r="K338" s="303" t="s">
        <v>678</v>
      </c>
    </row>
    <row r="339" spans="1:11" ht="12">
      <c r="A339" s="290">
        <v>7128</v>
      </c>
      <c r="B339" s="291" t="s">
        <v>731</v>
      </c>
      <c r="C339" s="292" t="s">
        <v>732</v>
      </c>
      <c r="D339" s="292" t="s">
        <v>621</v>
      </c>
      <c r="E339" s="292"/>
      <c r="F339" s="293" t="s">
        <v>42</v>
      </c>
      <c r="G339" s="310" t="s">
        <v>66</v>
      </c>
      <c r="H339" s="311" t="s">
        <v>44</v>
      </c>
      <c r="I339" s="292" t="s">
        <v>701</v>
      </c>
      <c r="J339" s="292" t="s">
        <v>677</v>
      </c>
      <c r="K339" s="303" t="s">
        <v>678</v>
      </c>
    </row>
    <row r="340" spans="1:11" ht="12">
      <c r="A340" s="290">
        <v>38509</v>
      </c>
      <c r="B340" s="291" t="s">
        <v>733</v>
      </c>
      <c r="C340" s="302" t="s">
        <v>734</v>
      </c>
      <c r="D340" s="297" t="s">
        <v>735</v>
      </c>
      <c r="E340" s="297" t="s">
        <v>2103</v>
      </c>
      <c r="F340" s="293" t="s">
        <v>42</v>
      </c>
      <c r="G340" s="310" t="s">
        <v>66</v>
      </c>
      <c r="H340" s="311" t="s">
        <v>50</v>
      </c>
      <c r="I340" s="297" t="s">
        <v>701</v>
      </c>
      <c r="J340" s="297" t="s">
        <v>677</v>
      </c>
      <c r="K340" s="303" t="s">
        <v>678</v>
      </c>
    </row>
    <row r="341" spans="1:11" ht="12">
      <c r="A341" s="290">
        <v>38760</v>
      </c>
      <c r="B341" s="291" t="s">
        <v>1969</v>
      </c>
      <c r="C341" s="302" t="s">
        <v>1970</v>
      </c>
      <c r="D341" s="297" t="s">
        <v>1971</v>
      </c>
      <c r="E341" s="297" t="s">
        <v>2103</v>
      </c>
      <c r="F341" s="293" t="s">
        <v>48</v>
      </c>
      <c r="G341" s="310" t="s">
        <v>774</v>
      </c>
      <c r="H341" s="311" t="s">
        <v>50</v>
      </c>
      <c r="I341" s="297" t="s">
        <v>739</v>
      </c>
      <c r="J341" s="297" t="s">
        <v>740</v>
      </c>
      <c r="K341" s="303" t="s">
        <v>741</v>
      </c>
    </row>
    <row r="342" spans="1:11" ht="12">
      <c r="A342" s="290">
        <v>38575</v>
      </c>
      <c r="B342" s="291" t="s">
        <v>736</v>
      </c>
      <c r="C342" s="302" t="s">
        <v>737</v>
      </c>
      <c r="D342" s="297" t="s">
        <v>738</v>
      </c>
      <c r="E342" s="297" t="s">
        <v>2103</v>
      </c>
      <c r="F342" s="293" t="s">
        <v>42</v>
      </c>
      <c r="G342" s="310" t="s">
        <v>43</v>
      </c>
      <c r="H342" s="311" t="s">
        <v>65</v>
      </c>
      <c r="I342" s="297" t="s">
        <v>739</v>
      </c>
      <c r="J342" s="297" t="s">
        <v>740</v>
      </c>
      <c r="K342" s="303" t="s">
        <v>741</v>
      </c>
    </row>
    <row r="343" spans="1:11" ht="12">
      <c r="A343" s="290">
        <v>25298</v>
      </c>
      <c r="B343" s="291" t="s">
        <v>742</v>
      </c>
      <c r="C343" s="292" t="s">
        <v>743</v>
      </c>
      <c r="D343" s="292" t="s">
        <v>744</v>
      </c>
      <c r="E343" s="292"/>
      <c r="F343" s="293" t="s">
        <v>48</v>
      </c>
      <c r="G343" s="310" t="s">
        <v>78</v>
      </c>
      <c r="H343" s="311" t="s">
        <v>65</v>
      </c>
      <c r="I343" s="292" t="s">
        <v>739</v>
      </c>
      <c r="J343" s="292" t="s">
        <v>740</v>
      </c>
      <c r="K343" s="303" t="s">
        <v>741</v>
      </c>
    </row>
    <row r="344" spans="1:11" ht="12">
      <c r="A344" s="290">
        <v>16888</v>
      </c>
      <c r="B344" s="291" t="s">
        <v>745</v>
      </c>
      <c r="C344" s="297" t="s">
        <v>743</v>
      </c>
      <c r="D344" s="297" t="s">
        <v>142</v>
      </c>
      <c r="E344" s="297" t="s">
        <v>2103</v>
      </c>
      <c r="F344" s="293" t="s">
        <v>42</v>
      </c>
      <c r="G344" s="310" t="s">
        <v>43</v>
      </c>
      <c r="H344" s="311" t="s">
        <v>179</v>
      </c>
      <c r="I344" s="292" t="s">
        <v>739</v>
      </c>
      <c r="J344" s="292" t="s">
        <v>740</v>
      </c>
      <c r="K344" s="303" t="s">
        <v>741</v>
      </c>
    </row>
    <row r="345" spans="1:11" ht="12">
      <c r="A345" s="290">
        <v>25323</v>
      </c>
      <c r="B345" s="291" t="s">
        <v>748</v>
      </c>
      <c r="C345" s="292" t="s">
        <v>749</v>
      </c>
      <c r="D345" s="292" t="s">
        <v>750</v>
      </c>
      <c r="E345" s="292"/>
      <c r="F345" s="293" t="s">
        <v>48</v>
      </c>
      <c r="G345" s="294" t="s">
        <v>78</v>
      </c>
      <c r="H345" s="295">
        <v>0</v>
      </c>
      <c r="I345" s="292" t="s">
        <v>739</v>
      </c>
      <c r="J345" s="292" t="s">
        <v>740</v>
      </c>
      <c r="K345" s="303" t="s">
        <v>741</v>
      </c>
    </row>
    <row r="346" spans="1:11" ht="12">
      <c r="A346" s="290">
        <v>38912</v>
      </c>
      <c r="B346" s="291" t="s">
        <v>2468</v>
      </c>
      <c r="C346" s="302" t="s">
        <v>1907</v>
      </c>
      <c r="D346" s="297" t="s">
        <v>2469</v>
      </c>
      <c r="E346" s="297" t="s">
        <v>2103</v>
      </c>
      <c r="F346" s="293" t="s">
        <v>42</v>
      </c>
      <c r="G346" s="294" t="s">
        <v>43</v>
      </c>
      <c r="H346" s="295">
        <v>0</v>
      </c>
      <c r="I346" s="297" t="s">
        <v>739</v>
      </c>
      <c r="J346" s="297" t="s">
        <v>740</v>
      </c>
      <c r="K346" s="303" t="s">
        <v>741</v>
      </c>
    </row>
    <row r="347" spans="1:11" ht="12">
      <c r="A347" s="290">
        <v>38809</v>
      </c>
      <c r="B347" s="291" t="s">
        <v>2145</v>
      </c>
      <c r="C347" s="302" t="s">
        <v>1907</v>
      </c>
      <c r="D347" s="297" t="s">
        <v>87</v>
      </c>
      <c r="E347" s="297" t="s">
        <v>2103</v>
      </c>
      <c r="F347" s="293" t="s">
        <v>42</v>
      </c>
      <c r="G347" s="310" t="s">
        <v>88</v>
      </c>
      <c r="H347" s="311" t="s">
        <v>103</v>
      </c>
      <c r="I347" s="297" t="s">
        <v>739</v>
      </c>
      <c r="J347" s="297" t="s">
        <v>740</v>
      </c>
      <c r="K347" s="303" t="s">
        <v>741</v>
      </c>
    </row>
    <row r="348" spans="1:11" ht="12">
      <c r="A348" s="290">
        <v>38725</v>
      </c>
      <c r="B348" s="291" t="s">
        <v>1886</v>
      </c>
      <c r="C348" s="302" t="s">
        <v>1887</v>
      </c>
      <c r="D348" s="297" t="s">
        <v>1422</v>
      </c>
      <c r="E348" s="297" t="s">
        <v>2103</v>
      </c>
      <c r="F348" s="293" t="s">
        <v>48</v>
      </c>
      <c r="G348" s="310" t="s">
        <v>78</v>
      </c>
      <c r="H348" s="311" t="s">
        <v>103</v>
      </c>
      <c r="I348" s="297" t="s">
        <v>739</v>
      </c>
      <c r="J348" s="297" t="s">
        <v>740</v>
      </c>
      <c r="K348" s="303" t="s">
        <v>741</v>
      </c>
    </row>
    <row r="349" spans="1:11" ht="12">
      <c r="A349" s="290">
        <v>38850</v>
      </c>
      <c r="B349" s="291" t="s">
        <v>2301</v>
      </c>
      <c r="C349" s="302" t="s">
        <v>2302</v>
      </c>
      <c r="D349" s="297" t="s">
        <v>1211</v>
      </c>
      <c r="E349" s="297" t="s">
        <v>2103</v>
      </c>
      <c r="F349" s="293" t="s">
        <v>42</v>
      </c>
      <c r="G349" s="310" t="s">
        <v>66</v>
      </c>
      <c r="H349" s="311"/>
      <c r="I349" s="297" t="s">
        <v>739</v>
      </c>
      <c r="J349" s="297" t="s">
        <v>740</v>
      </c>
      <c r="K349" s="303" t="s">
        <v>741</v>
      </c>
    </row>
    <row r="350" spans="1:11" ht="12">
      <c r="A350" s="290">
        <v>16889</v>
      </c>
      <c r="B350" s="291" t="s">
        <v>751</v>
      </c>
      <c r="C350" s="297" t="s">
        <v>752</v>
      </c>
      <c r="D350" s="297" t="s">
        <v>60</v>
      </c>
      <c r="E350" s="297" t="s">
        <v>2103</v>
      </c>
      <c r="F350" s="293" t="s">
        <v>42</v>
      </c>
      <c r="G350" s="310" t="s">
        <v>43</v>
      </c>
      <c r="H350" s="311" t="s">
        <v>65</v>
      </c>
      <c r="I350" s="292" t="s">
        <v>739</v>
      </c>
      <c r="J350" s="292" t="s">
        <v>740</v>
      </c>
      <c r="K350" s="303" t="s">
        <v>741</v>
      </c>
    </row>
    <row r="351" spans="1:11" ht="12">
      <c r="A351" s="290">
        <v>25630</v>
      </c>
      <c r="B351" s="291" t="s">
        <v>1280</v>
      </c>
      <c r="C351" s="292" t="s">
        <v>1215</v>
      </c>
      <c r="D351" s="292" t="s">
        <v>1281</v>
      </c>
      <c r="E351" s="292"/>
      <c r="F351" s="293" t="s">
        <v>48</v>
      </c>
      <c r="G351" s="310" t="s">
        <v>138</v>
      </c>
      <c r="H351" s="311" t="s">
        <v>65</v>
      </c>
      <c r="I351" s="292" t="s">
        <v>739</v>
      </c>
      <c r="J351" s="292" t="s">
        <v>740</v>
      </c>
      <c r="K351" s="303" t="s">
        <v>741</v>
      </c>
    </row>
    <row r="352" spans="1:11" ht="12">
      <c r="A352" s="290">
        <v>38812</v>
      </c>
      <c r="B352" s="291" t="s">
        <v>2146</v>
      </c>
      <c r="C352" s="302" t="s">
        <v>2147</v>
      </c>
      <c r="D352" s="297" t="s">
        <v>98</v>
      </c>
      <c r="E352" s="297" t="s">
        <v>2103</v>
      </c>
      <c r="F352" s="293" t="s">
        <v>42</v>
      </c>
      <c r="G352" s="310" t="s">
        <v>57</v>
      </c>
      <c r="H352" s="311" t="s">
        <v>50</v>
      </c>
      <c r="I352" s="297" t="s">
        <v>739</v>
      </c>
      <c r="J352" s="297" t="s">
        <v>740</v>
      </c>
      <c r="K352" s="303" t="s">
        <v>741</v>
      </c>
    </row>
    <row r="353" spans="1:17" ht="12">
      <c r="A353" s="290">
        <v>38811</v>
      </c>
      <c r="B353" s="291" t="s">
        <v>2148</v>
      </c>
      <c r="C353" s="302" t="s">
        <v>2147</v>
      </c>
      <c r="D353" s="297" t="s">
        <v>321</v>
      </c>
      <c r="E353" s="297" t="s">
        <v>2103</v>
      </c>
      <c r="F353" s="293" t="s">
        <v>48</v>
      </c>
      <c r="G353" s="310" t="s">
        <v>227</v>
      </c>
      <c r="H353" s="311"/>
      <c r="I353" s="297" t="s">
        <v>739</v>
      </c>
      <c r="J353" s="297" t="s">
        <v>740</v>
      </c>
      <c r="K353" s="303" t="s">
        <v>741</v>
      </c>
    </row>
    <row r="354" spans="1:17" ht="12">
      <c r="A354" s="290">
        <v>25644</v>
      </c>
      <c r="B354" s="291" t="s">
        <v>754</v>
      </c>
      <c r="C354" s="292" t="s">
        <v>755</v>
      </c>
      <c r="D354" s="292" t="s">
        <v>756</v>
      </c>
      <c r="E354" s="292"/>
      <c r="F354" s="293" t="s">
        <v>48</v>
      </c>
      <c r="G354" s="310" t="s">
        <v>227</v>
      </c>
      <c r="H354" s="311" t="s">
        <v>50</v>
      </c>
      <c r="I354" s="292" t="s">
        <v>739</v>
      </c>
      <c r="J354" s="292" t="s">
        <v>740</v>
      </c>
      <c r="K354" s="303" t="s">
        <v>741</v>
      </c>
    </row>
    <row r="355" spans="1:17" ht="12">
      <c r="A355" s="290">
        <v>25671</v>
      </c>
      <c r="B355" s="291" t="s">
        <v>2036</v>
      </c>
      <c r="C355" s="292" t="s">
        <v>755</v>
      </c>
      <c r="D355" s="292" t="s">
        <v>72</v>
      </c>
      <c r="E355" s="292"/>
      <c r="F355" s="293" t="s">
        <v>42</v>
      </c>
      <c r="G355" s="310" t="s">
        <v>51</v>
      </c>
      <c r="H355" s="311" t="s">
        <v>44</v>
      </c>
      <c r="I355" s="292" t="s">
        <v>739</v>
      </c>
      <c r="J355" s="292" t="s">
        <v>740</v>
      </c>
      <c r="K355" s="303" t="s">
        <v>741</v>
      </c>
    </row>
    <row r="356" spans="1:17" ht="12">
      <c r="A356" s="290">
        <v>16730</v>
      </c>
      <c r="B356" s="291" t="s">
        <v>757</v>
      </c>
      <c r="C356" s="292" t="s">
        <v>758</v>
      </c>
      <c r="D356" s="292" t="s">
        <v>168</v>
      </c>
      <c r="E356" s="292"/>
      <c r="F356" s="293" t="s">
        <v>42</v>
      </c>
      <c r="G356" s="310" t="s">
        <v>51</v>
      </c>
      <c r="H356" s="311" t="s">
        <v>179</v>
      </c>
      <c r="I356" s="292" t="s">
        <v>739</v>
      </c>
      <c r="J356" s="292" t="s">
        <v>740</v>
      </c>
      <c r="K356" s="303" t="s">
        <v>741</v>
      </c>
    </row>
    <row r="357" spans="1:17" ht="12">
      <c r="A357" s="290">
        <v>38092</v>
      </c>
      <c r="B357" s="291" t="s">
        <v>759</v>
      </c>
      <c r="C357" s="292" t="s">
        <v>758</v>
      </c>
      <c r="D357" s="292" t="s">
        <v>128</v>
      </c>
      <c r="E357" s="292"/>
      <c r="F357" s="293" t="s">
        <v>42</v>
      </c>
      <c r="G357" s="310" t="s">
        <v>43</v>
      </c>
      <c r="H357" s="311" t="s">
        <v>65</v>
      </c>
      <c r="I357" s="292" t="s">
        <v>739</v>
      </c>
      <c r="J357" s="292" t="s">
        <v>740</v>
      </c>
      <c r="K357" s="303" t="s">
        <v>741</v>
      </c>
      <c r="L357" s="26"/>
      <c r="M357" s="26"/>
      <c r="N357" s="26"/>
      <c r="Q357" s="30"/>
    </row>
    <row r="358" spans="1:17" ht="12">
      <c r="A358" s="290">
        <v>25672</v>
      </c>
      <c r="B358" s="291" t="s">
        <v>2017</v>
      </c>
      <c r="C358" s="292" t="s">
        <v>760</v>
      </c>
      <c r="D358" s="292" t="s">
        <v>142</v>
      </c>
      <c r="E358" s="292"/>
      <c r="F358" s="293" t="s">
        <v>42</v>
      </c>
      <c r="G358" s="310" t="s">
        <v>66</v>
      </c>
      <c r="H358" s="311" t="s">
        <v>44</v>
      </c>
      <c r="I358" s="292" t="s">
        <v>739</v>
      </c>
      <c r="J358" s="292" t="s">
        <v>740</v>
      </c>
      <c r="K358" s="303" t="s">
        <v>741</v>
      </c>
      <c r="L358" s="26"/>
      <c r="M358" s="26"/>
      <c r="N358" s="26"/>
      <c r="Q358" s="30"/>
    </row>
    <row r="359" spans="1:17" ht="12">
      <c r="A359" s="290">
        <v>25340</v>
      </c>
      <c r="B359" s="291" t="s">
        <v>761</v>
      </c>
      <c r="C359" s="292" t="s">
        <v>762</v>
      </c>
      <c r="D359" s="292" t="s">
        <v>711</v>
      </c>
      <c r="E359" s="292"/>
      <c r="F359" s="293" t="s">
        <v>42</v>
      </c>
      <c r="G359" s="310" t="s">
        <v>43</v>
      </c>
      <c r="H359" s="311" t="s">
        <v>179</v>
      </c>
      <c r="I359" s="292" t="s">
        <v>739</v>
      </c>
      <c r="J359" s="292" t="s">
        <v>740</v>
      </c>
      <c r="K359" s="303" t="s">
        <v>741</v>
      </c>
    </row>
    <row r="360" spans="1:17" ht="12">
      <c r="A360" s="290">
        <v>38727</v>
      </c>
      <c r="B360" s="291" t="s">
        <v>1888</v>
      </c>
      <c r="C360" s="302" t="s">
        <v>1889</v>
      </c>
      <c r="D360" s="297" t="s">
        <v>1890</v>
      </c>
      <c r="E360" s="297" t="s">
        <v>2103</v>
      </c>
      <c r="F360" s="293" t="s">
        <v>42</v>
      </c>
      <c r="G360" s="310" t="s">
        <v>43</v>
      </c>
      <c r="H360" s="311"/>
      <c r="I360" s="297" t="s">
        <v>739</v>
      </c>
      <c r="J360" s="297" t="s">
        <v>740</v>
      </c>
      <c r="K360" s="303" t="s">
        <v>741</v>
      </c>
    </row>
    <row r="361" spans="1:17" ht="12">
      <c r="A361" s="290">
        <v>38363</v>
      </c>
      <c r="B361" s="291" t="s">
        <v>763</v>
      </c>
      <c r="C361" s="292" t="s">
        <v>764</v>
      </c>
      <c r="D361" s="292" t="s">
        <v>765</v>
      </c>
      <c r="E361" s="292"/>
      <c r="F361" s="293" t="s">
        <v>42</v>
      </c>
      <c r="G361" s="310" t="s">
        <v>43</v>
      </c>
      <c r="H361" s="311"/>
      <c r="I361" s="292" t="s">
        <v>739</v>
      </c>
      <c r="J361" s="292" t="s">
        <v>740</v>
      </c>
      <c r="K361" s="303" t="s">
        <v>741</v>
      </c>
    </row>
    <row r="362" spans="1:17" ht="12">
      <c r="A362" s="290">
        <v>38925</v>
      </c>
      <c r="B362" s="291" t="s">
        <v>2470</v>
      </c>
      <c r="C362" s="302" t="s">
        <v>2471</v>
      </c>
      <c r="D362" s="297" t="s">
        <v>807</v>
      </c>
      <c r="E362" s="297" t="s">
        <v>2103</v>
      </c>
      <c r="F362" s="293" t="s">
        <v>42</v>
      </c>
      <c r="G362" s="294" t="s">
        <v>2052</v>
      </c>
      <c r="H362" s="295">
        <v>0</v>
      </c>
      <c r="I362" s="297" t="s">
        <v>739</v>
      </c>
      <c r="J362" s="297" t="s">
        <v>740</v>
      </c>
      <c r="K362" s="303" t="s">
        <v>741</v>
      </c>
    </row>
    <row r="363" spans="1:17" ht="12">
      <c r="A363" s="290">
        <v>38924</v>
      </c>
      <c r="B363" s="291" t="s">
        <v>2472</v>
      </c>
      <c r="C363" s="302" t="s">
        <v>2471</v>
      </c>
      <c r="D363" s="297" t="s">
        <v>2473</v>
      </c>
      <c r="E363" s="297" t="s">
        <v>2103</v>
      </c>
      <c r="F363" s="293" t="s">
        <v>42</v>
      </c>
      <c r="G363" s="294" t="s">
        <v>2052</v>
      </c>
      <c r="H363" s="295">
        <v>0</v>
      </c>
      <c r="I363" s="297" t="s">
        <v>739</v>
      </c>
      <c r="J363" s="297" t="s">
        <v>740</v>
      </c>
      <c r="K363" s="303" t="s">
        <v>741</v>
      </c>
    </row>
    <row r="364" spans="1:17" ht="12">
      <c r="A364" s="290">
        <v>25297</v>
      </c>
      <c r="B364" s="291" t="s">
        <v>769</v>
      </c>
      <c r="C364" s="292" t="s">
        <v>770</v>
      </c>
      <c r="D364" s="292" t="s">
        <v>72</v>
      </c>
      <c r="E364" s="292" t="s">
        <v>771</v>
      </c>
      <c r="F364" s="293" t="s">
        <v>42</v>
      </c>
      <c r="G364" s="310" t="s">
        <v>43</v>
      </c>
      <c r="H364" s="311" t="s">
        <v>179</v>
      </c>
      <c r="I364" s="292" t="s">
        <v>739</v>
      </c>
      <c r="J364" s="292" t="s">
        <v>740</v>
      </c>
      <c r="K364" s="303" t="s">
        <v>741</v>
      </c>
    </row>
    <row r="365" spans="1:17" ht="12">
      <c r="A365" s="290">
        <v>38056</v>
      </c>
      <c r="B365" s="291" t="s">
        <v>772</v>
      </c>
      <c r="C365" s="292" t="s">
        <v>770</v>
      </c>
      <c r="D365" s="292" t="s">
        <v>773</v>
      </c>
      <c r="E365" s="292" t="s">
        <v>771</v>
      </c>
      <c r="F365" s="293" t="s">
        <v>48</v>
      </c>
      <c r="G365" s="310" t="s">
        <v>78</v>
      </c>
      <c r="H365" s="311" t="s">
        <v>50</v>
      </c>
      <c r="I365" s="292" t="s">
        <v>739</v>
      </c>
      <c r="J365" s="292" t="s">
        <v>740</v>
      </c>
      <c r="K365" s="303" t="s">
        <v>741</v>
      </c>
      <c r="L365" s="26"/>
      <c r="M365" s="26"/>
      <c r="N365" s="26"/>
      <c r="Q365" s="30"/>
    </row>
    <row r="366" spans="1:17" ht="12">
      <c r="A366" s="290">
        <v>38458</v>
      </c>
      <c r="B366" s="291" t="s">
        <v>775</v>
      </c>
      <c r="C366" s="292" t="s">
        <v>776</v>
      </c>
      <c r="D366" s="292" t="s">
        <v>777</v>
      </c>
      <c r="E366" s="292"/>
      <c r="F366" s="293" t="s">
        <v>48</v>
      </c>
      <c r="G366" s="310" t="s">
        <v>78</v>
      </c>
      <c r="H366" s="311" t="s">
        <v>65</v>
      </c>
      <c r="I366" s="292" t="s">
        <v>739</v>
      </c>
      <c r="J366" s="292" t="s">
        <v>740</v>
      </c>
      <c r="K366" s="303" t="s">
        <v>741</v>
      </c>
    </row>
    <row r="367" spans="1:17" ht="12">
      <c r="A367" s="290">
        <v>38833</v>
      </c>
      <c r="B367" s="291" t="s">
        <v>2149</v>
      </c>
      <c r="C367" s="302" t="s">
        <v>2150</v>
      </c>
      <c r="D367" s="297" t="s">
        <v>124</v>
      </c>
      <c r="E367" s="297" t="s">
        <v>2103</v>
      </c>
      <c r="F367" s="293" t="s">
        <v>42</v>
      </c>
      <c r="G367" s="310" t="s">
        <v>43</v>
      </c>
      <c r="H367" s="311" t="s">
        <v>50</v>
      </c>
      <c r="I367" s="297" t="s">
        <v>739</v>
      </c>
      <c r="J367" s="297" t="s">
        <v>740</v>
      </c>
      <c r="K367" s="303" t="s">
        <v>741</v>
      </c>
    </row>
    <row r="368" spans="1:17" ht="12">
      <c r="A368" s="290">
        <v>25011</v>
      </c>
      <c r="B368" s="291" t="s">
        <v>778</v>
      </c>
      <c r="C368" s="297" t="s">
        <v>779</v>
      </c>
      <c r="D368" s="297" t="s">
        <v>229</v>
      </c>
      <c r="E368" s="297" t="s">
        <v>2103</v>
      </c>
      <c r="F368" s="293" t="s">
        <v>48</v>
      </c>
      <c r="G368" s="294" t="s">
        <v>138</v>
      </c>
      <c r="H368" s="295">
        <v>0</v>
      </c>
      <c r="I368" s="297" t="s">
        <v>739</v>
      </c>
      <c r="J368" s="297" t="s">
        <v>740</v>
      </c>
      <c r="K368" s="303" t="s">
        <v>741</v>
      </c>
    </row>
    <row r="369" spans="1:17" ht="12">
      <c r="A369" s="290">
        <v>38849</v>
      </c>
      <c r="B369" s="291" t="s">
        <v>2303</v>
      </c>
      <c r="C369" s="302" t="s">
        <v>2304</v>
      </c>
      <c r="D369" s="297" t="s">
        <v>2109</v>
      </c>
      <c r="E369" s="297" t="s">
        <v>2103</v>
      </c>
      <c r="F369" s="293" t="s">
        <v>48</v>
      </c>
      <c r="G369" s="310" t="s">
        <v>774</v>
      </c>
      <c r="H369" s="311" t="s">
        <v>103</v>
      </c>
      <c r="I369" s="297" t="s">
        <v>739</v>
      </c>
      <c r="J369" s="297" t="s">
        <v>740</v>
      </c>
      <c r="K369" s="303" t="s">
        <v>741</v>
      </c>
    </row>
    <row r="370" spans="1:17" ht="12">
      <c r="A370" s="290">
        <v>38848</v>
      </c>
      <c r="B370" s="291" t="s">
        <v>2305</v>
      </c>
      <c r="C370" s="302" t="s">
        <v>2304</v>
      </c>
      <c r="D370" s="297" t="s">
        <v>689</v>
      </c>
      <c r="E370" s="297" t="s">
        <v>2103</v>
      </c>
      <c r="F370" s="293" t="s">
        <v>48</v>
      </c>
      <c r="G370" s="310" t="s">
        <v>774</v>
      </c>
      <c r="H370" s="311" t="s">
        <v>103</v>
      </c>
      <c r="I370" s="297" t="s">
        <v>739</v>
      </c>
      <c r="J370" s="297" t="s">
        <v>740</v>
      </c>
      <c r="K370" s="303" t="s">
        <v>741</v>
      </c>
      <c r="L370" s="26"/>
      <c r="M370" s="26"/>
      <c r="N370" s="26"/>
      <c r="Q370" s="30"/>
    </row>
    <row r="371" spans="1:17" ht="12">
      <c r="A371" s="290">
        <v>38814</v>
      </c>
      <c r="B371" s="291" t="s">
        <v>2151</v>
      </c>
      <c r="C371" s="302" t="s">
        <v>1691</v>
      </c>
      <c r="D371" s="297" t="s">
        <v>2152</v>
      </c>
      <c r="E371" s="297" t="s">
        <v>2103</v>
      </c>
      <c r="F371" s="293" t="s">
        <v>42</v>
      </c>
      <c r="G371" s="310" t="s">
        <v>51</v>
      </c>
      <c r="H371" s="311" t="s">
        <v>44</v>
      </c>
      <c r="I371" s="297" t="s">
        <v>739</v>
      </c>
      <c r="J371" s="297" t="s">
        <v>740</v>
      </c>
      <c r="K371" s="303" t="s">
        <v>741</v>
      </c>
    </row>
    <row r="372" spans="1:17" ht="12">
      <c r="A372" s="290">
        <v>38813</v>
      </c>
      <c r="B372" s="291" t="s">
        <v>2153</v>
      </c>
      <c r="C372" s="302" t="s">
        <v>2154</v>
      </c>
      <c r="D372" s="297" t="s">
        <v>1006</v>
      </c>
      <c r="E372" s="297" t="s">
        <v>2103</v>
      </c>
      <c r="F372" s="293" t="s">
        <v>42</v>
      </c>
      <c r="G372" s="310" t="s">
        <v>66</v>
      </c>
      <c r="H372" s="311" t="s">
        <v>44</v>
      </c>
      <c r="I372" s="297" t="s">
        <v>739</v>
      </c>
      <c r="J372" s="297" t="s">
        <v>740</v>
      </c>
      <c r="K372" s="303" t="s">
        <v>741</v>
      </c>
    </row>
    <row r="373" spans="1:17" ht="12">
      <c r="A373" s="290">
        <v>38720</v>
      </c>
      <c r="B373" s="291" t="s">
        <v>1891</v>
      </c>
      <c r="C373" s="302" t="s">
        <v>782</v>
      </c>
      <c r="D373" s="297" t="s">
        <v>81</v>
      </c>
      <c r="E373" s="297" t="s">
        <v>2103</v>
      </c>
      <c r="F373" s="293" t="s">
        <v>42</v>
      </c>
      <c r="G373" s="310" t="s">
        <v>43</v>
      </c>
      <c r="H373" s="311" t="s">
        <v>50</v>
      </c>
      <c r="I373" s="297" t="s">
        <v>739</v>
      </c>
      <c r="J373" s="297" t="s">
        <v>740</v>
      </c>
      <c r="K373" s="303" t="s">
        <v>741</v>
      </c>
    </row>
    <row r="374" spans="1:17" ht="12">
      <c r="A374" s="290">
        <v>38574</v>
      </c>
      <c r="B374" s="291" t="s">
        <v>781</v>
      </c>
      <c r="C374" s="302" t="s">
        <v>782</v>
      </c>
      <c r="D374" s="297" t="s">
        <v>783</v>
      </c>
      <c r="E374" s="297" t="s">
        <v>2103</v>
      </c>
      <c r="F374" s="293" t="s">
        <v>42</v>
      </c>
      <c r="G374" s="310" t="s">
        <v>43</v>
      </c>
      <c r="H374" s="311" t="s">
        <v>44</v>
      </c>
      <c r="I374" s="297" t="s">
        <v>739</v>
      </c>
      <c r="J374" s="297" t="s">
        <v>740</v>
      </c>
      <c r="K374" s="303" t="s">
        <v>741</v>
      </c>
      <c r="L374" s="26"/>
      <c r="M374" s="26"/>
      <c r="N374" s="26"/>
      <c r="Q374" s="30"/>
    </row>
    <row r="375" spans="1:17" ht="12">
      <c r="A375" s="290">
        <v>38832</v>
      </c>
      <c r="B375" s="291" t="s">
        <v>2155</v>
      </c>
      <c r="C375" s="302" t="s">
        <v>2156</v>
      </c>
      <c r="D375" s="297" t="s">
        <v>402</v>
      </c>
      <c r="E375" s="297" t="s">
        <v>2103</v>
      </c>
      <c r="F375" s="293" t="s">
        <v>42</v>
      </c>
      <c r="G375" s="310" t="s">
        <v>43</v>
      </c>
      <c r="H375" s="311" t="s">
        <v>50</v>
      </c>
      <c r="I375" s="297" t="s">
        <v>739</v>
      </c>
      <c r="J375" s="297" t="s">
        <v>740</v>
      </c>
      <c r="K375" s="303" t="s">
        <v>741</v>
      </c>
    </row>
    <row r="376" spans="1:17" ht="12">
      <c r="A376" s="290">
        <v>38719</v>
      </c>
      <c r="B376" s="291" t="s">
        <v>1892</v>
      </c>
      <c r="C376" s="302" t="s">
        <v>785</v>
      </c>
      <c r="D376" s="297" t="s">
        <v>893</v>
      </c>
      <c r="E376" s="297" t="s">
        <v>2103</v>
      </c>
      <c r="F376" s="293" t="s">
        <v>42</v>
      </c>
      <c r="G376" s="310" t="s">
        <v>359</v>
      </c>
      <c r="H376" s="311" t="s">
        <v>50</v>
      </c>
      <c r="I376" s="297" t="s">
        <v>739</v>
      </c>
      <c r="J376" s="297" t="s">
        <v>740</v>
      </c>
      <c r="K376" s="303" t="s">
        <v>741</v>
      </c>
    </row>
    <row r="377" spans="1:17" ht="12">
      <c r="A377" s="290">
        <v>38442</v>
      </c>
      <c r="B377" s="291" t="s">
        <v>784</v>
      </c>
      <c r="C377" s="292" t="s">
        <v>785</v>
      </c>
      <c r="D377" s="292" t="s">
        <v>786</v>
      </c>
      <c r="E377" s="292"/>
      <c r="F377" s="293" t="s">
        <v>42</v>
      </c>
      <c r="G377" s="310" t="s">
        <v>43</v>
      </c>
      <c r="H377" s="311" t="s">
        <v>44</v>
      </c>
      <c r="I377" s="292" t="s">
        <v>739</v>
      </c>
      <c r="J377" s="292" t="s">
        <v>740</v>
      </c>
      <c r="K377" s="303" t="s">
        <v>741</v>
      </c>
    </row>
    <row r="378" spans="1:17" ht="12">
      <c r="A378" s="290">
        <v>38561</v>
      </c>
      <c r="B378" s="291" t="s">
        <v>787</v>
      </c>
      <c r="C378" s="302" t="s">
        <v>785</v>
      </c>
      <c r="D378" s="297" t="s">
        <v>788</v>
      </c>
      <c r="E378" s="297" t="s">
        <v>2103</v>
      </c>
      <c r="F378" s="293" t="s">
        <v>48</v>
      </c>
      <c r="G378" s="310" t="s">
        <v>78</v>
      </c>
      <c r="H378" s="311" t="s">
        <v>103</v>
      </c>
      <c r="I378" s="297" t="s">
        <v>739</v>
      </c>
      <c r="J378" s="297" t="s">
        <v>740</v>
      </c>
      <c r="K378" s="303" t="s">
        <v>741</v>
      </c>
    </row>
    <row r="379" spans="1:17" ht="12">
      <c r="A379" s="290">
        <v>38758</v>
      </c>
      <c r="B379" s="291" t="s">
        <v>1972</v>
      </c>
      <c r="C379" s="302" t="s">
        <v>1973</v>
      </c>
      <c r="D379" s="297" t="s">
        <v>270</v>
      </c>
      <c r="E379" s="297" t="s">
        <v>2103</v>
      </c>
      <c r="F379" s="293" t="s">
        <v>48</v>
      </c>
      <c r="G379" s="310" t="s">
        <v>78</v>
      </c>
      <c r="H379" s="311" t="s">
        <v>44</v>
      </c>
      <c r="I379" s="297" t="s">
        <v>739</v>
      </c>
      <c r="J379" s="297" t="s">
        <v>740</v>
      </c>
      <c r="K379" s="303" t="s">
        <v>741</v>
      </c>
    </row>
    <row r="380" spans="1:17" ht="12">
      <c r="A380" s="290">
        <v>38808</v>
      </c>
      <c r="B380" s="291" t="s">
        <v>2157</v>
      </c>
      <c r="C380" s="302" t="s">
        <v>1013</v>
      </c>
      <c r="D380" s="297" t="s">
        <v>996</v>
      </c>
      <c r="E380" s="297" t="s">
        <v>2103</v>
      </c>
      <c r="F380" s="293" t="s">
        <v>42</v>
      </c>
      <c r="G380" s="310" t="s">
        <v>359</v>
      </c>
      <c r="H380" s="311" t="s">
        <v>103</v>
      </c>
      <c r="I380" s="297" t="s">
        <v>739</v>
      </c>
      <c r="J380" s="297" t="s">
        <v>740</v>
      </c>
      <c r="K380" s="303" t="s">
        <v>741</v>
      </c>
    </row>
    <row r="381" spans="1:17" ht="12">
      <c r="A381" s="290">
        <v>16729</v>
      </c>
      <c r="B381" s="291" t="s">
        <v>789</v>
      </c>
      <c r="C381" s="292" t="s">
        <v>790</v>
      </c>
      <c r="D381" s="292" t="s">
        <v>194</v>
      </c>
      <c r="E381" s="292"/>
      <c r="F381" s="293" t="s">
        <v>42</v>
      </c>
      <c r="G381" s="310" t="s">
        <v>66</v>
      </c>
      <c r="H381" s="311" t="s">
        <v>44</v>
      </c>
      <c r="I381" s="292" t="s">
        <v>739</v>
      </c>
      <c r="J381" s="292" t="s">
        <v>740</v>
      </c>
      <c r="K381" s="303" t="s">
        <v>741</v>
      </c>
    </row>
    <row r="382" spans="1:17" ht="12">
      <c r="A382" s="290">
        <v>16518</v>
      </c>
      <c r="B382" s="291" t="s">
        <v>1974</v>
      </c>
      <c r="C382" s="292" t="s">
        <v>1975</v>
      </c>
      <c r="D382" s="292" t="s">
        <v>135</v>
      </c>
      <c r="E382" s="292"/>
      <c r="F382" s="293" t="s">
        <v>42</v>
      </c>
      <c r="G382" s="294" t="s">
        <v>51</v>
      </c>
      <c r="H382" s="295">
        <v>0</v>
      </c>
      <c r="I382" s="292" t="s">
        <v>739</v>
      </c>
      <c r="J382" s="292" t="s">
        <v>740</v>
      </c>
      <c r="K382" s="303" t="s">
        <v>741</v>
      </c>
    </row>
    <row r="383" spans="1:17" ht="12">
      <c r="A383" s="290">
        <v>38757</v>
      </c>
      <c r="B383" s="291" t="s">
        <v>1976</v>
      </c>
      <c r="C383" s="302" t="s">
        <v>792</v>
      </c>
      <c r="D383" s="297" t="s">
        <v>1977</v>
      </c>
      <c r="E383" s="297" t="s">
        <v>2103</v>
      </c>
      <c r="F383" s="293" t="s">
        <v>48</v>
      </c>
      <c r="G383" s="310" t="s">
        <v>78</v>
      </c>
      <c r="H383" s="311" t="s">
        <v>179</v>
      </c>
      <c r="I383" s="297" t="s">
        <v>739</v>
      </c>
      <c r="J383" s="297" t="s">
        <v>740</v>
      </c>
      <c r="K383" s="303" t="s">
        <v>741</v>
      </c>
    </row>
    <row r="384" spans="1:17" ht="12">
      <c r="A384" s="290">
        <v>16524</v>
      </c>
      <c r="B384" s="291" t="s">
        <v>791</v>
      </c>
      <c r="C384" s="292" t="s">
        <v>792</v>
      </c>
      <c r="D384" s="292" t="s">
        <v>380</v>
      </c>
      <c r="E384" s="292"/>
      <c r="F384" s="293" t="s">
        <v>42</v>
      </c>
      <c r="G384" s="310" t="s">
        <v>43</v>
      </c>
      <c r="H384" s="311" t="s">
        <v>65</v>
      </c>
      <c r="I384" s="292" t="s">
        <v>739</v>
      </c>
      <c r="J384" s="292" t="s">
        <v>740</v>
      </c>
      <c r="K384" s="303" t="s">
        <v>741</v>
      </c>
    </row>
    <row r="385" spans="1:17" ht="12">
      <c r="A385" s="290">
        <v>38896</v>
      </c>
      <c r="B385" s="291" t="s">
        <v>2474</v>
      </c>
      <c r="C385" s="302" t="s">
        <v>2475</v>
      </c>
      <c r="D385" s="297" t="s">
        <v>417</v>
      </c>
      <c r="E385" s="297" t="s">
        <v>2103</v>
      </c>
      <c r="F385" s="293" t="s">
        <v>48</v>
      </c>
      <c r="G385" s="310" t="s">
        <v>49</v>
      </c>
      <c r="H385" s="311"/>
      <c r="I385" s="297" t="s">
        <v>739</v>
      </c>
      <c r="J385" s="297" t="s">
        <v>740</v>
      </c>
      <c r="K385" s="303" t="s">
        <v>741</v>
      </c>
    </row>
    <row r="386" spans="1:17" ht="12">
      <c r="A386" s="290">
        <v>38922</v>
      </c>
      <c r="B386" s="291" t="s">
        <v>2476</v>
      </c>
      <c r="C386" s="302" t="s">
        <v>2477</v>
      </c>
      <c r="D386" s="297" t="s">
        <v>2478</v>
      </c>
      <c r="E386" s="297" t="s">
        <v>2103</v>
      </c>
      <c r="F386" s="293" t="s">
        <v>42</v>
      </c>
      <c r="G386" s="294" t="s">
        <v>88</v>
      </c>
      <c r="H386" s="295">
        <v>0</v>
      </c>
      <c r="I386" s="297" t="s">
        <v>739</v>
      </c>
      <c r="J386" s="297" t="s">
        <v>740</v>
      </c>
      <c r="K386" s="303" t="s">
        <v>741</v>
      </c>
    </row>
    <row r="387" spans="1:17" ht="12">
      <c r="A387" s="290">
        <v>38921</v>
      </c>
      <c r="B387" s="291" t="s">
        <v>2479</v>
      </c>
      <c r="C387" s="302" t="s">
        <v>2477</v>
      </c>
      <c r="D387" s="297" t="s">
        <v>2480</v>
      </c>
      <c r="E387" s="297" t="s">
        <v>2103</v>
      </c>
      <c r="F387" s="293" t="s">
        <v>48</v>
      </c>
      <c r="G387" s="294" t="s">
        <v>2481</v>
      </c>
      <c r="H387" s="295">
        <v>0</v>
      </c>
      <c r="I387" s="297" t="s">
        <v>739</v>
      </c>
      <c r="J387" s="297" t="s">
        <v>740</v>
      </c>
      <c r="K387" s="303" t="s">
        <v>741</v>
      </c>
    </row>
    <row r="388" spans="1:17" ht="12">
      <c r="A388" s="290">
        <v>25061</v>
      </c>
      <c r="B388" s="291" t="s">
        <v>793</v>
      </c>
      <c r="C388" s="292" t="s">
        <v>794</v>
      </c>
      <c r="D388" s="292" t="s">
        <v>86</v>
      </c>
      <c r="E388" s="292"/>
      <c r="F388" s="293" t="s">
        <v>42</v>
      </c>
      <c r="G388" s="310" t="s">
        <v>43</v>
      </c>
      <c r="H388" s="311" t="s">
        <v>65</v>
      </c>
      <c r="I388" s="292" t="s">
        <v>739</v>
      </c>
      <c r="J388" s="292" t="s">
        <v>740</v>
      </c>
      <c r="K388" s="303" t="s">
        <v>741</v>
      </c>
    </row>
    <row r="389" spans="1:17" ht="12">
      <c r="A389" s="290">
        <v>38920</v>
      </c>
      <c r="B389" s="291" t="s">
        <v>2482</v>
      </c>
      <c r="C389" s="302" t="s">
        <v>2483</v>
      </c>
      <c r="D389" s="297" t="s">
        <v>378</v>
      </c>
      <c r="E389" s="297" t="s">
        <v>2103</v>
      </c>
      <c r="F389" s="293" t="s">
        <v>42</v>
      </c>
      <c r="G389" s="294" t="s">
        <v>2052</v>
      </c>
      <c r="H389" s="295">
        <v>0</v>
      </c>
      <c r="I389" s="297" t="s">
        <v>739</v>
      </c>
      <c r="J389" s="297" t="s">
        <v>740</v>
      </c>
      <c r="K389" s="303" t="s">
        <v>741</v>
      </c>
      <c r="L389" s="26"/>
      <c r="M389" s="26"/>
      <c r="N389" s="26"/>
      <c r="Q389" s="30"/>
    </row>
    <row r="390" spans="1:17" ht="12">
      <c r="A390" s="290">
        <v>38724</v>
      </c>
      <c r="B390" s="291" t="s">
        <v>1893</v>
      </c>
      <c r="C390" s="302" t="s">
        <v>1894</v>
      </c>
      <c r="D390" s="297" t="s">
        <v>86</v>
      </c>
      <c r="E390" s="297" t="s">
        <v>2103</v>
      </c>
      <c r="F390" s="293" t="s">
        <v>42</v>
      </c>
      <c r="G390" s="310" t="s">
        <v>43</v>
      </c>
      <c r="H390" s="311"/>
      <c r="I390" s="297" t="s">
        <v>739</v>
      </c>
      <c r="J390" s="297" t="s">
        <v>740</v>
      </c>
      <c r="K390" s="303" t="s">
        <v>741</v>
      </c>
    </row>
    <row r="391" spans="1:17" ht="12">
      <c r="A391" s="290">
        <v>16667</v>
      </c>
      <c r="B391" s="291" t="s">
        <v>1895</v>
      </c>
      <c r="C391" s="292" t="s">
        <v>1896</v>
      </c>
      <c r="D391" s="292" t="s">
        <v>1897</v>
      </c>
      <c r="E391" s="292"/>
      <c r="F391" s="293" t="s">
        <v>48</v>
      </c>
      <c r="G391" s="310" t="s">
        <v>49</v>
      </c>
      <c r="H391" s="311"/>
      <c r="I391" s="292" t="s">
        <v>739</v>
      </c>
      <c r="J391" s="292" t="s">
        <v>740</v>
      </c>
      <c r="K391" s="303" t="s">
        <v>741</v>
      </c>
    </row>
    <row r="392" spans="1:17" ht="12">
      <c r="A392" s="290">
        <v>38759</v>
      </c>
      <c r="B392" s="291" t="s">
        <v>1978</v>
      </c>
      <c r="C392" s="302" t="s">
        <v>1979</v>
      </c>
      <c r="D392" s="297" t="s">
        <v>1980</v>
      </c>
      <c r="E392" s="297" t="s">
        <v>2103</v>
      </c>
      <c r="F392" s="293" t="s">
        <v>48</v>
      </c>
      <c r="G392" s="310" t="s">
        <v>774</v>
      </c>
      <c r="H392" s="311" t="s">
        <v>103</v>
      </c>
      <c r="I392" s="297" t="s">
        <v>739</v>
      </c>
      <c r="J392" s="297" t="s">
        <v>740</v>
      </c>
      <c r="K392" s="303" t="s">
        <v>741</v>
      </c>
      <c r="L392" s="26"/>
      <c r="M392" s="26"/>
      <c r="N392" s="26"/>
      <c r="Q392" s="30"/>
    </row>
    <row r="393" spans="1:17" ht="12">
      <c r="A393" s="290">
        <v>38871</v>
      </c>
      <c r="B393" s="291" t="s">
        <v>2484</v>
      </c>
      <c r="C393" s="302" t="s">
        <v>2159</v>
      </c>
      <c r="D393" s="297" t="s">
        <v>52</v>
      </c>
      <c r="E393" s="297" t="s">
        <v>2103</v>
      </c>
      <c r="F393" s="293" t="s">
        <v>42</v>
      </c>
      <c r="G393" s="294" t="s">
        <v>43</v>
      </c>
      <c r="H393" s="295">
        <v>0</v>
      </c>
      <c r="I393" s="297" t="s">
        <v>739</v>
      </c>
      <c r="J393" s="297" t="s">
        <v>740</v>
      </c>
      <c r="K393" s="303" t="s">
        <v>741</v>
      </c>
      <c r="L393" s="26"/>
      <c r="M393" s="26"/>
      <c r="N393" s="26"/>
      <c r="Q393" s="30"/>
    </row>
    <row r="394" spans="1:17" ht="12">
      <c r="A394" s="290">
        <v>38831</v>
      </c>
      <c r="B394" s="291" t="s">
        <v>2158</v>
      </c>
      <c r="C394" s="302" t="s">
        <v>2159</v>
      </c>
      <c r="D394" s="297" t="s">
        <v>2160</v>
      </c>
      <c r="E394" s="297" t="s">
        <v>2103</v>
      </c>
      <c r="F394" s="293" t="s">
        <v>48</v>
      </c>
      <c r="G394" s="310" t="s">
        <v>774</v>
      </c>
      <c r="H394" s="311"/>
      <c r="I394" s="297" t="s">
        <v>739</v>
      </c>
      <c r="J394" s="297" t="s">
        <v>740</v>
      </c>
      <c r="K394" s="303" t="s">
        <v>741</v>
      </c>
    </row>
    <row r="395" spans="1:17" ht="12">
      <c r="A395" s="290">
        <v>16519</v>
      </c>
      <c r="B395" s="291" t="s">
        <v>795</v>
      </c>
      <c r="C395" s="292" t="s">
        <v>796</v>
      </c>
      <c r="D395" s="292" t="s">
        <v>765</v>
      </c>
      <c r="E395" s="292"/>
      <c r="F395" s="293" t="s">
        <v>42</v>
      </c>
      <c r="G395" s="310" t="s">
        <v>43</v>
      </c>
      <c r="H395" s="311" t="s">
        <v>238</v>
      </c>
      <c r="I395" s="292" t="s">
        <v>739</v>
      </c>
      <c r="J395" s="292" t="s">
        <v>740</v>
      </c>
      <c r="K395" s="303" t="s">
        <v>741</v>
      </c>
    </row>
    <row r="396" spans="1:17" ht="12">
      <c r="A396" s="290">
        <v>38810</v>
      </c>
      <c r="B396" s="291" t="s">
        <v>2161</v>
      </c>
      <c r="C396" s="302" t="s">
        <v>2162</v>
      </c>
      <c r="D396" s="297" t="s">
        <v>284</v>
      </c>
      <c r="E396" s="297" t="s">
        <v>2103</v>
      </c>
      <c r="F396" s="293" t="s">
        <v>42</v>
      </c>
      <c r="G396" s="310" t="s">
        <v>88</v>
      </c>
      <c r="H396" s="311" t="s">
        <v>103</v>
      </c>
      <c r="I396" s="297" t="s">
        <v>739</v>
      </c>
      <c r="J396" s="297" t="s">
        <v>740</v>
      </c>
      <c r="K396" s="303" t="s">
        <v>741</v>
      </c>
    </row>
    <row r="397" spans="1:17" ht="12">
      <c r="A397" s="290">
        <v>38851</v>
      </c>
      <c r="B397" s="291" t="s">
        <v>2306</v>
      </c>
      <c r="C397" s="302" t="s">
        <v>2307</v>
      </c>
      <c r="D397" s="297" t="s">
        <v>56</v>
      </c>
      <c r="E397" s="297" t="s">
        <v>2103</v>
      </c>
      <c r="F397" s="293" t="s">
        <v>42</v>
      </c>
      <c r="G397" s="310" t="s">
        <v>43</v>
      </c>
      <c r="H397" s="311"/>
      <c r="I397" s="297" t="s">
        <v>739</v>
      </c>
      <c r="J397" s="297" t="s">
        <v>740</v>
      </c>
      <c r="K397" s="303" t="s">
        <v>741</v>
      </c>
    </row>
    <row r="398" spans="1:17" ht="12">
      <c r="A398" s="290">
        <v>38923</v>
      </c>
      <c r="B398" s="291" t="s">
        <v>2485</v>
      </c>
      <c r="C398" s="302" t="s">
        <v>2486</v>
      </c>
      <c r="D398" s="297" t="s">
        <v>2109</v>
      </c>
      <c r="E398" s="297" t="s">
        <v>2103</v>
      </c>
      <c r="F398" s="293" t="s">
        <v>48</v>
      </c>
      <c r="G398" s="294" t="s">
        <v>774</v>
      </c>
      <c r="H398" s="295">
        <v>0</v>
      </c>
      <c r="I398" s="297" t="s">
        <v>739</v>
      </c>
      <c r="J398" s="297" t="s">
        <v>740</v>
      </c>
      <c r="K398" s="303" t="s">
        <v>741</v>
      </c>
    </row>
    <row r="399" spans="1:17" ht="12">
      <c r="A399" s="290">
        <v>38773</v>
      </c>
      <c r="B399" s="291" t="s">
        <v>2037</v>
      </c>
      <c r="C399" s="302" t="s">
        <v>2038</v>
      </c>
      <c r="D399" s="297" t="s">
        <v>2039</v>
      </c>
      <c r="E399" s="297" t="s">
        <v>2103</v>
      </c>
      <c r="F399" s="293" t="s">
        <v>48</v>
      </c>
      <c r="G399" s="310" t="s">
        <v>774</v>
      </c>
      <c r="H399" s="311" t="s">
        <v>103</v>
      </c>
      <c r="I399" s="297" t="s">
        <v>739</v>
      </c>
      <c r="J399" s="297" t="s">
        <v>740</v>
      </c>
      <c r="K399" s="303" t="s">
        <v>741</v>
      </c>
    </row>
    <row r="400" spans="1:17" ht="12">
      <c r="A400" s="304">
        <v>7425</v>
      </c>
      <c r="B400" s="291" t="s">
        <v>797</v>
      </c>
      <c r="C400" s="292" t="s">
        <v>798</v>
      </c>
      <c r="D400" s="292" t="s">
        <v>72</v>
      </c>
      <c r="E400" s="292"/>
      <c r="F400" s="293" t="s">
        <v>42</v>
      </c>
      <c r="G400" s="310" t="s">
        <v>51</v>
      </c>
      <c r="H400" s="311" t="s">
        <v>179</v>
      </c>
      <c r="I400" s="292" t="s">
        <v>739</v>
      </c>
      <c r="J400" s="292" t="s">
        <v>740</v>
      </c>
      <c r="K400" s="303" t="s">
        <v>741</v>
      </c>
    </row>
    <row r="401" spans="1:17" ht="12">
      <c r="A401" s="290">
        <v>16465</v>
      </c>
      <c r="B401" s="291" t="s">
        <v>803</v>
      </c>
      <c r="C401" s="292" t="s">
        <v>804</v>
      </c>
      <c r="D401" s="292" t="s">
        <v>116</v>
      </c>
      <c r="E401" s="292"/>
      <c r="F401" s="293" t="s">
        <v>42</v>
      </c>
      <c r="G401" s="310" t="s">
        <v>66</v>
      </c>
      <c r="H401" s="311" t="s">
        <v>65</v>
      </c>
      <c r="I401" s="292" t="s">
        <v>802</v>
      </c>
      <c r="J401" s="292" t="s">
        <v>17</v>
      </c>
      <c r="K401" s="303" t="s">
        <v>21</v>
      </c>
    </row>
    <row r="402" spans="1:17" ht="12">
      <c r="A402" s="290">
        <v>25095</v>
      </c>
      <c r="B402" s="291" t="s">
        <v>1981</v>
      </c>
      <c r="C402" s="297" t="s">
        <v>571</v>
      </c>
      <c r="D402" s="297" t="s">
        <v>1753</v>
      </c>
      <c r="E402" s="297" t="s">
        <v>2103</v>
      </c>
      <c r="F402" s="293" t="s">
        <v>42</v>
      </c>
      <c r="G402" s="310" t="s">
        <v>66</v>
      </c>
      <c r="H402" s="311"/>
      <c r="I402" s="292" t="s">
        <v>802</v>
      </c>
      <c r="J402" s="292" t="s">
        <v>17</v>
      </c>
      <c r="K402" s="303" t="s">
        <v>21</v>
      </c>
    </row>
    <row r="403" spans="1:17" ht="12">
      <c r="A403" s="290">
        <v>25555</v>
      </c>
      <c r="B403" s="291">
        <v>9070673</v>
      </c>
      <c r="C403" s="297" t="s">
        <v>805</v>
      </c>
      <c r="D403" s="297" t="s">
        <v>806</v>
      </c>
      <c r="E403" s="297" t="s">
        <v>2103</v>
      </c>
      <c r="F403" s="293" t="s">
        <v>42</v>
      </c>
      <c r="G403" s="310" t="s">
        <v>43</v>
      </c>
      <c r="H403" s="311" t="s">
        <v>65</v>
      </c>
      <c r="I403" s="297" t="s">
        <v>802</v>
      </c>
      <c r="J403" s="297" t="s">
        <v>17</v>
      </c>
      <c r="K403" s="303" t="s">
        <v>21</v>
      </c>
    </row>
    <row r="404" spans="1:17" ht="12">
      <c r="A404" s="290">
        <v>25097</v>
      </c>
      <c r="B404" s="291" t="s">
        <v>808</v>
      </c>
      <c r="C404" s="297" t="s">
        <v>809</v>
      </c>
      <c r="D404" s="297" t="s">
        <v>632</v>
      </c>
      <c r="E404" s="297" t="s">
        <v>2103</v>
      </c>
      <c r="F404" s="293" t="s">
        <v>42</v>
      </c>
      <c r="G404" s="310" t="s">
        <v>43</v>
      </c>
      <c r="H404" s="311" t="s">
        <v>44</v>
      </c>
      <c r="I404" s="297" t="s">
        <v>802</v>
      </c>
      <c r="J404" s="297" t="s">
        <v>17</v>
      </c>
      <c r="K404" s="303" t="s">
        <v>21</v>
      </c>
    </row>
    <row r="405" spans="1:17" ht="12">
      <c r="A405" s="290">
        <v>25614</v>
      </c>
      <c r="B405" s="291" t="s">
        <v>2487</v>
      </c>
      <c r="C405" s="297" t="s">
        <v>810</v>
      </c>
      <c r="D405" s="297" t="s">
        <v>116</v>
      </c>
      <c r="E405" s="297" t="s">
        <v>2103</v>
      </c>
      <c r="F405" s="293" t="s">
        <v>42</v>
      </c>
      <c r="G405" s="310" t="s">
        <v>51</v>
      </c>
      <c r="H405" s="311" t="s">
        <v>50</v>
      </c>
      <c r="I405" s="297" t="s">
        <v>802</v>
      </c>
      <c r="J405" s="297" t="s">
        <v>17</v>
      </c>
      <c r="K405" s="303" t="s">
        <v>21</v>
      </c>
    </row>
    <row r="406" spans="1:17" ht="12">
      <c r="A406" s="290">
        <v>25093</v>
      </c>
      <c r="B406" s="291" t="s">
        <v>811</v>
      </c>
      <c r="C406" s="292" t="s">
        <v>812</v>
      </c>
      <c r="D406" s="292" t="s">
        <v>89</v>
      </c>
      <c r="E406" s="292"/>
      <c r="F406" s="293" t="s">
        <v>42</v>
      </c>
      <c r="G406" s="310" t="s">
        <v>66</v>
      </c>
      <c r="H406" s="311"/>
      <c r="I406" s="292" t="s">
        <v>802</v>
      </c>
      <c r="J406" s="292" t="s">
        <v>17</v>
      </c>
      <c r="K406" s="303" t="s">
        <v>21</v>
      </c>
      <c r="L406" s="26"/>
      <c r="M406" s="26"/>
      <c r="N406" s="26"/>
      <c r="Q406" s="30"/>
    </row>
    <row r="407" spans="1:17" ht="12">
      <c r="A407" s="290">
        <v>38744</v>
      </c>
      <c r="B407" s="291" t="s">
        <v>1982</v>
      </c>
      <c r="C407" s="292" t="s">
        <v>1983</v>
      </c>
      <c r="D407" s="292" t="s">
        <v>149</v>
      </c>
      <c r="E407" s="292"/>
      <c r="F407" s="293" t="s">
        <v>42</v>
      </c>
      <c r="G407" s="310" t="s">
        <v>93</v>
      </c>
      <c r="H407" s="311" t="s">
        <v>44</v>
      </c>
      <c r="I407" s="292" t="s">
        <v>802</v>
      </c>
      <c r="J407" s="292" t="s">
        <v>17</v>
      </c>
      <c r="K407" s="303" t="s">
        <v>21</v>
      </c>
    </row>
    <row r="408" spans="1:17" ht="12">
      <c r="A408" s="290">
        <v>25948</v>
      </c>
      <c r="B408" s="291">
        <v>9111781</v>
      </c>
      <c r="C408" s="292" t="s">
        <v>813</v>
      </c>
      <c r="D408" s="292" t="s">
        <v>178</v>
      </c>
      <c r="E408" s="292"/>
      <c r="F408" s="293" t="s">
        <v>42</v>
      </c>
      <c r="G408" s="310" t="s">
        <v>43</v>
      </c>
      <c r="H408" s="311" t="s">
        <v>238</v>
      </c>
      <c r="I408" s="292" t="s">
        <v>802</v>
      </c>
      <c r="J408" s="292" t="s">
        <v>17</v>
      </c>
      <c r="K408" s="303" t="s">
        <v>21</v>
      </c>
    </row>
    <row r="409" spans="1:17" ht="12">
      <c r="A409" s="290">
        <v>38799</v>
      </c>
      <c r="B409" s="291" t="s">
        <v>2163</v>
      </c>
      <c r="C409" s="292" t="s">
        <v>2164</v>
      </c>
      <c r="D409" s="292" t="s">
        <v>2165</v>
      </c>
      <c r="E409" s="292"/>
      <c r="F409" s="293" t="s">
        <v>48</v>
      </c>
      <c r="G409" s="310" t="s">
        <v>78</v>
      </c>
      <c r="H409" s="311" t="s">
        <v>103</v>
      </c>
      <c r="I409" s="292" t="s">
        <v>802</v>
      </c>
      <c r="J409" s="292" t="s">
        <v>17</v>
      </c>
      <c r="K409" s="303" t="s">
        <v>21</v>
      </c>
      <c r="L409" s="26"/>
      <c r="M409" s="26"/>
      <c r="N409" s="26"/>
      <c r="Q409" s="30"/>
    </row>
    <row r="410" spans="1:17" ht="12">
      <c r="A410" s="290">
        <v>25615</v>
      </c>
      <c r="B410" s="291" t="s">
        <v>2488</v>
      </c>
      <c r="C410" s="297" t="s">
        <v>814</v>
      </c>
      <c r="D410" s="297" t="s">
        <v>142</v>
      </c>
      <c r="E410" s="297" t="s">
        <v>2103</v>
      </c>
      <c r="F410" s="293" t="s">
        <v>42</v>
      </c>
      <c r="G410" s="310" t="s">
        <v>66</v>
      </c>
      <c r="H410" s="311" t="s">
        <v>65</v>
      </c>
      <c r="I410" s="297" t="s">
        <v>802</v>
      </c>
      <c r="J410" s="297" t="s">
        <v>17</v>
      </c>
      <c r="K410" s="303" t="s">
        <v>21</v>
      </c>
    </row>
    <row r="411" spans="1:17" ht="12">
      <c r="A411" s="290">
        <v>16456</v>
      </c>
      <c r="B411" s="291">
        <v>9109458</v>
      </c>
      <c r="C411" s="292" t="s">
        <v>815</v>
      </c>
      <c r="D411" s="292" t="s">
        <v>182</v>
      </c>
      <c r="E411" s="292"/>
      <c r="F411" s="293" t="s">
        <v>42</v>
      </c>
      <c r="G411" s="310" t="s">
        <v>57</v>
      </c>
      <c r="H411" s="311" t="s">
        <v>50</v>
      </c>
      <c r="I411" s="292" t="s">
        <v>802</v>
      </c>
      <c r="J411" s="292" t="s">
        <v>17</v>
      </c>
      <c r="K411" s="303" t="s">
        <v>21</v>
      </c>
    </row>
    <row r="412" spans="1:17" ht="12">
      <c r="A412" s="290">
        <v>16459</v>
      </c>
      <c r="B412" s="291" t="s">
        <v>816</v>
      </c>
      <c r="C412" s="292" t="s">
        <v>817</v>
      </c>
      <c r="D412" s="292" t="s">
        <v>60</v>
      </c>
      <c r="E412" s="292"/>
      <c r="F412" s="293" t="s">
        <v>42</v>
      </c>
      <c r="G412" s="310" t="s">
        <v>51</v>
      </c>
      <c r="H412" s="311" t="s">
        <v>65</v>
      </c>
      <c r="I412" s="292" t="s">
        <v>802</v>
      </c>
      <c r="J412" s="292" t="s">
        <v>17</v>
      </c>
      <c r="K412" s="303" t="s">
        <v>21</v>
      </c>
    </row>
    <row r="413" spans="1:17" ht="12">
      <c r="A413" s="290">
        <v>38711</v>
      </c>
      <c r="B413" s="291" t="s">
        <v>818</v>
      </c>
      <c r="C413" s="292" t="s">
        <v>819</v>
      </c>
      <c r="D413" s="292" t="s">
        <v>820</v>
      </c>
      <c r="E413" s="292"/>
      <c r="F413" s="293" t="s">
        <v>42</v>
      </c>
      <c r="G413" s="310" t="s">
        <v>43</v>
      </c>
      <c r="H413" s="311" t="s">
        <v>179</v>
      </c>
      <c r="I413" s="292" t="s">
        <v>802</v>
      </c>
      <c r="J413" s="292" t="s">
        <v>17</v>
      </c>
      <c r="K413" s="303" t="s">
        <v>21</v>
      </c>
    </row>
    <row r="414" spans="1:17" ht="12">
      <c r="A414" s="290">
        <v>16462</v>
      </c>
      <c r="B414" s="291" t="s">
        <v>821</v>
      </c>
      <c r="C414" s="292" t="s">
        <v>822</v>
      </c>
      <c r="D414" s="292" t="s">
        <v>164</v>
      </c>
      <c r="E414" s="292"/>
      <c r="F414" s="293" t="s">
        <v>42</v>
      </c>
      <c r="G414" s="310" t="s">
        <v>51</v>
      </c>
      <c r="H414" s="311" t="s">
        <v>65</v>
      </c>
      <c r="I414" s="292" t="s">
        <v>802</v>
      </c>
      <c r="J414" s="292" t="s">
        <v>17</v>
      </c>
      <c r="K414" s="303" t="s">
        <v>21</v>
      </c>
    </row>
    <row r="415" spans="1:17" ht="12">
      <c r="A415" s="290">
        <v>16811</v>
      </c>
      <c r="B415" s="291" t="s">
        <v>823</v>
      </c>
      <c r="C415" s="292" t="s">
        <v>499</v>
      </c>
      <c r="D415" s="292" t="s">
        <v>434</v>
      </c>
      <c r="E415" s="292"/>
      <c r="F415" s="293" t="s">
        <v>42</v>
      </c>
      <c r="G415" s="310" t="s">
        <v>51</v>
      </c>
      <c r="H415" s="311"/>
      <c r="I415" s="292" t="s">
        <v>802</v>
      </c>
      <c r="J415" s="292" t="s">
        <v>17</v>
      </c>
      <c r="K415" s="303" t="s">
        <v>21</v>
      </c>
    </row>
    <row r="416" spans="1:17" ht="12">
      <c r="A416" s="290">
        <v>25087</v>
      </c>
      <c r="B416" s="291" t="s">
        <v>824</v>
      </c>
      <c r="C416" s="292" t="s">
        <v>825</v>
      </c>
      <c r="D416" s="292" t="s">
        <v>194</v>
      </c>
      <c r="E416" s="292"/>
      <c r="F416" s="293" t="s">
        <v>42</v>
      </c>
      <c r="G416" s="310" t="s">
        <v>43</v>
      </c>
      <c r="H416" s="311" t="s">
        <v>44</v>
      </c>
      <c r="I416" s="292" t="s">
        <v>802</v>
      </c>
      <c r="J416" s="292" t="s">
        <v>17</v>
      </c>
      <c r="K416" s="303" t="s">
        <v>21</v>
      </c>
    </row>
    <row r="417" spans="1:17" ht="12">
      <c r="A417" s="290">
        <v>38826</v>
      </c>
      <c r="B417" s="291" t="s">
        <v>2166</v>
      </c>
      <c r="C417" s="292" t="s">
        <v>2167</v>
      </c>
      <c r="D417" s="292" t="s">
        <v>700</v>
      </c>
      <c r="E417" s="292"/>
      <c r="F417" s="293" t="s">
        <v>42</v>
      </c>
      <c r="G417" s="310" t="s">
        <v>43</v>
      </c>
      <c r="H417" s="311" t="s">
        <v>103</v>
      </c>
      <c r="I417" s="292" t="s">
        <v>802</v>
      </c>
      <c r="J417" s="292" t="s">
        <v>17</v>
      </c>
      <c r="K417" s="303" t="s">
        <v>21</v>
      </c>
    </row>
    <row r="418" spans="1:17" ht="12">
      <c r="A418" s="290">
        <v>38664</v>
      </c>
      <c r="B418" s="291" t="s">
        <v>826</v>
      </c>
      <c r="C418" s="292" t="s">
        <v>827</v>
      </c>
      <c r="D418" s="292" t="s">
        <v>828</v>
      </c>
      <c r="E418" s="292"/>
      <c r="F418" s="293" t="s">
        <v>42</v>
      </c>
      <c r="G418" s="310" t="s">
        <v>43</v>
      </c>
      <c r="H418" s="311"/>
      <c r="I418" s="292" t="s">
        <v>802</v>
      </c>
      <c r="J418" s="292" t="s">
        <v>17</v>
      </c>
      <c r="K418" s="303" t="s">
        <v>21</v>
      </c>
    </row>
    <row r="419" spans="1:17" ht="12">
      <c r="A419" s="290">
        <v>38878</v>
      </c>
      <c r="B419" s="291" t="s">
        <v>2489</v>
      </c>
      <c r="C419" s="292" t="s">
        <v>668</v>
      </c>
      <c r="D419" s="292" t="s">
        <v>1606</v>
      </c>
      <c r="E419" s="292"/>
      <c r="F419" s="293" t="s">
        <v>42</v>
      </c>
      <c r="G419" s="294" t="s">
        <v>43</v>
      </c>
      <c r="H419" s="295">
        <v>0</v>
      </c>
      <c r="I419" s="292" t="s">
        <v>802</v>
      </c>
      <c r="J419" s="292" t="s">
        <v>17</v>
      </c>
      <c r="K419" s="303" t="s">
        <v>21</v>
      </c>
    </row>
    <row r="420" spans="1:17" ht="12">
      <c r="A420" s="290">
        <v>10678</v>
      </c>
      <c r="B420" s="291" t="s">
        <v>829</v>
      </c>
      <c r="C420" s="292" t="s">
        <v>830</v>
      </c>
      <c r="D420" s="292" t="s">
        <v>831</v>
      </c>
      <c r="E420" s="292"/>
      <c r="F420" s="293" t="s">
        <v>42</v>
      </c>
      <c r="G420" s="310" t="s">
        <v>43</v>
      </c>
      <c r="H420" s="311" t="s">
        <v>44</v>
      </c>
      <c r="I420" s="292" t="s">
        <v>802</v>
      </c>
      <c r="J420" s="292" t="s">
        <v>17</v>
      </c>
      <c r="K420" s="303" t="s">
        <v>21</v>
      </c>
    </row>
    <row r="421" spans="1:17" ht="12">
      <c r="A421" s="304">
        <v>38403</v>
      </c>
      <c r="B421" s="291" t="s">
        <v>832</v>
      </c>
      <c r="C421" s="292" t="s">
        <v>833</v>
      </c>
      <c r="D421" s="292" t="s">
        <v>834</v>
      </c>
      <c r="E421" s="292"/>
      <c r="F421" s="293" t="s">
        <v>42</v>
      </c>
      <c r="G421" s="310" t="s">
        <v>43</v>
      </c>
      <c r="H421" s="311" t="s">
        <v>65</v>
      </c>
      <c r="I421" s="292" t="s">
        <v>802</v>
      </c>
      <c r="J421" s="292" t="s">
        <v>17</v>
      </c>
      <c r="K421" s="303" t="s">
        <v>21</v>
      </c>
    </row>
    <row r="422" spans="1:17" ht="12">
      <c r="A422" s="290">
        <v>16471</v>
      </c>
      <c r="B422" s="291" t="s">
        <v>2168</v>
      </c>
      <c r="C422" s="292" t="s">
        <v>2169</v>
      </c>
      <c r="D422" s="292" t="s">
        <v>2170</v>
      </c>
      <c r="E422" s="292"/>
      <c r="F422" s="293" t="s">
        <v>42</v>
      </c>
      <c r="G422" s="310" t="s">
        <v>66</v>
      </c>
      <c r="H422" s="311" t="s">
        <v>44</v>
      </c>
      <c r="I422" s="292" t="s">
        <v>802</v>
      </c>
      <c r="J422" s="292" t="s">
        <v>17</v>
      </c>
      <c r="K422" s="303" t="s">
        <v>21</v>
      </c>
      <c r="L422" s="26"/>
      <c r="M422" s="26"/>
      <c r="N422" s="26"/>
      <c r="Q422" s="30"/>
    </row>
    <row r="423" spans="1:17" ht="12">
      <c r="A423" s="290">
        <v>16461</v>
      </c>
      <c r="B423" s="305" t="s">
        <v>835</v>
      </c>
      <c r="C423" s="292" t="s">
        <v>836</v>
      </c>
      <c r="D423" s="292" t="s">
        <v>56</v>
      </c>
      <c r="E423" s="292"/>
      <c r="F423" s="293" t="s">
        <v>42</v>
      </c>
      <c r="G423" s="294" t="s">
        <v>57</v>
      </c>
      <c r="H423" s="295">
        <v>0</v>
      </c>
      <c r="I423" s="292" t="s">
        <v>802</v>
      </c>
      <c r="J423" s="292" t="s">
        <v>17</v>
      </c>
      <c r="K423" s="303" t="s">
        <v>21</v>
      </c>
    </row>
    <row r="424" spans="1:17" ht="12">
      <c r="A424" s="290">
        <v>38639</v>
      </c>
      <c r="B424" s="291" t="s">
        <v>838</v>
      </c>
      <c r="C424" s="292" t="s">
        <v>839</v>
      </c>
      <c r="D424" s="292" t="s">
        <v>116</v>
      </c>
      <c r="E424" s="292"/>
      <c r="F424" s="293" t="s">
        <v>42</v>
      </c>
      <c r="G424" s="310" t="s">
        <v>43</v>
      </c>
      <c r="H424" s="311" t="s">
        <v>65</v>
      </c>
      <c r="I424" s="292" t="s">
        <v>802</v>
      </c>
      <c r="J424" s="292" t="s">
        <v>17</v>
      </c>
      <c r="K424" s="303" t="s">
        <v>21</v>
      </c>
    </row>
    <row r="425" spans="1:17" ht="12">
      <c r="A425" s="290">
        <v>38638</v>
      </c>
      <c r="B425" s="291" t="s">
        <v>840</v>
      </c>
      <c r="C425" s="292" t="s">
        <v>841</v>
      </c>
      <c r="D425" s="292" t="s">
        <v>842</v>
      </c>
      <c r="E425" s="292"/>
      <c r="F425" s="293" t="s">
        <v>42</v>
      </c>
      <c r="G425" s="310" t="s">
        <v>43</v>
      </c>
      <c r="H425" s="311" t="s">
        <v>65</v>
      </c>
      <c r="I425" s="292" t="s">
        <v>802</v>
      </c>
      <c r="J425" s="292" t="s">
        <v>17</v>
      </c>
      <c r="K425" s="303" t="s">
        <v>21</v>
      </c>
    </row>
    <row r="426" spans="1:17" ht="12">
      <c r="A426" s="290">
        <v>38637</v>
      </c>
      <c r="B426" s="291" t="s">
        <v>843</v>
      </c>
      <c r="C426" s="292" t="s">
        <v>844</v>
      </c>
      <c r="D426" s="292" t="s">
        <v>237</v>
      </c>
      <c r="E426" s="292"/>
      <c r="F426" s="293" t="s">
        <v>42</v>
      </c>
      <c r="G426" s="310" t="s">
        <v>43</v>
      </c>
      <c r="H426" s="311" t="s">
        <v>44</v>
      </c>
      <c r="I426" s="292" t="s">
        <v>802</v>
      </c>
      <c r="J426" s="292" t="s">
        <v>17</v>
      </c>
      <c r="K426" s="303" t="s">
        <v>21</v>
      </c>
      <c r="L426" s="26"/>
      <c r="M426" s="26"/>
      <c r="N426" s="26"/>
      <c r="Q426" s="30"/>
    </row>
    <row r="427" spans="1:17" ht="12">
      <c r="A427" s="290">
        <v>38549</v>
      </c>
      <c r="B427" s="291" t="s">
        <v>845</v>
      </c>
      <c r="C427" s="297" t="s">
        <v>846</v>
      </c>
      <c r="D427" s="297" t="s">
        <v>96</v>
      </c>
      <c r="E427" s="297" t="s">
        <v>2103</v>
      </c>
      <c r="F427" s="293" t="s">
        <v>42</v>
      </c>
      <c r="G427" s="310" t="s">
        <v>51</v>
      </c>
      <c r="H427" s="311" t="s">
        <v>65</v>
      </c>
      <c r="I427" s="297" t="s">
        <v>2490</v>
      </c>
      <c r="J427" s="297" t="s">
        <v>17</v>
      </c>
      <c r="K427" s="303" t="s">
        <v>21</v>
      </c>
    </row>
    <row r="428" spans="1:17" ht="12">
      <c r="A428" s="290">
        <v>38746</v>
      </c>
      <c r="B428" s="291" t="s">
        <v>1984</v>
      </c>
      <c r="C428" s="292" t="s">
        <v>1985</v>
      </c>
      <c r="D428" s="292" t="s">
        <v>893</v>
      </c>
      <c r="E428" s="292"/>
      <c r="F428" s="293" t="s">
        <v>42</v>
      </c>
      <c r="G428" s="310" t="s">
        <v>93</v>
      </c>
      <c r="H428" s="311" t="s">
        <v>50</v>
      </c>
      <c r="I428" s="297" t="s">
        <v>2490</v>
      </c>
      <c r="J428" s="292" t="s">
        <v>17</v>
      </c>
      <c r="K428" s="303" t="s">
        <v>21</v>
      </c>
    </row>
    <row r="429" spans="1:17" ht="12">
      <c r="A429" s="290">
        <v>38593</v>
      </c>
      <c r="B429" s="291" t="s">
        <v>379</v>
      </c>
      <c r="C429" s="297" t="s">
        <v>377</v>
      </c>
      <c r="D429" s="297" t="s">
        <v>380</v>
      </c>
      <c r="E429" s="297" t="s">
        <v>2103</v>
      </c>
      <c r="F429" s="293" t="s">
        <v>42</v>
      </c>
      <c r="G429" s="310" t="s">
        <v>66</v>
      </c>
      <c r="H429" s="311" t="s">
        <v>44</v>
      </c>
      <c r="I429" s="297" t="s">
        <v>2490</v>
      </c>
      <c r="J429" s="297" t="s">
        <v>17</v>
      </c>
      <c r="K429" s="303" t="s">
        <v>21</v>
      </c>
    </row>
    <row r="430" spans="1:17" ht="12">
      <c r="A430" s="290">
        <v>38717</v>
      </c>
      <c r="B430" s="291" t="s">
        <v>1900</v>
      </c>
      <c r="C430" s="292" t="s">
        <v>643</v>
      </c>
      <c r="D430" s="292" t="s">
        <v>63</v>
      </c>
      <c r="E430" s="292"/>
      <c r="F430" s="293" t="s">
        <v>42</v>
      </c>
      <c r="G430" s="310" t="s">
        <v>43</v>
      </c>
      <c r="H430" s="311"/>
      <c r="I430" s="297" t="s">
        <v>2490</v>
      </c>
      <c r="J430" s="292" t="s">
        <v>17</v>
      </c>
      <c r="K430" s="303" t="s">
        <v>21</v>
      </c>
      <c r="L430" s="26"/>
      <c r="M430" s="26"/>
      <c r="N430" s="26"/>
      <c r="Q430" s="30"/>
    </row>
    <row r="431" spans="1:17" ht="12">
      <c r="A431" s="290">
        <v>38800</v>
      </c>
      <c r="B431" s="291" t="s">
        <v>2174</v>
      </c>
      <c r="C431" s="292" t="s">
        <v>2175</v>
      </c>
      <c r="D431" s="292" t="s">
        <v>711</v>
      </c>
      <c r="E431" s="292"/>
      <c r="F431" s="293" t="s">
        <v>42</v>
      </c>
      <c r="G431" s="310" t="s">
        <v>93</v>
      </c>
      <c r="H431" s="311" t="s">
        <v>44</v>
      </c>
      <c r="I431" s="297" t="s">
        <v>2490</v>
      </c>
      <c r="J431" s="292" t="s">
        <v>17</v>
      </c>
      <c r="K431" s="303" t="s">
        <v>21</v>
      </c>
    </row>
    <row r="432" spans="1:17" ht="12">
      <c r="A432" s="290">
        <v>38732</v>
      </c>
      <c r="B432" s="291" t="s">
        <v>1901</v>
      </c>
      <c r="C432" s="292" t="s">
        <v>1902</v>
      </c>
      <c r="D432" s="292" t="s">
        <v>52</v>
      </c>
      <c r="E432" s="292"/>
      <c r="F432" s="293" t="s">
        <v>42</v>
      </c>
      <c r="G432" s="310" t="s">
        <v>43</v>
      </c>
      <c r="H432" s="311" t="s">
        <v>179</v>
      </c>
      <c r="I432" s="297" t="s">
        <v>2490</v>
      </c>
      <c r="J432" s="292" t="s">
        <v>17</v>
      </c>
      <c r="K432" s="303" t="s">
        <v>21</v>
      </c>
    </row>
    <row r="433" spans="1:17" ht="12">
      <c r="A433" s="290">
        <v>38745</v>
      </c>
      <c r="B433" s="291" t="s">
        <v>1986</v>
      </c>
      <c r="C433" s="292" t="s">
        <v>1987</v>
      </c>
      <c r="D433" s="292" t="s">
        <v>178</v>
      </c>
      <c r="E433" s="292"/>
      <c r="F433" s="293" t="s">
        <v>42</v>
      </c>
      <c r="G433" s="310" t="s">
        <v>43</v>
      </c>
      <c r="H433" s="311" t="s">
        <v>179</v>
      </c>
      <c r="I433" s="297" t="s">
        <v>2490</v>
      </c>
      <c r="J433" s="292" t="s">
        <v>17</v>
      </c>
      <c r="K433" s="303" t="s">
        <v>21</v>
      </c>
    </row>
    <row r="434" spans="1:17" ht="12">
      <c r="A434" s="290">
        <v>38913</v>
      </c>
      <c r="B434" s="291" t="s">
        <v>2491</v>
      </c>
      <c r="C434" s="292" t="s">
        <v>2492</v>
      </c>
      <c r="D434" s="292" t="s">
        <v>720</v>
      </c>
      <c r="E434" s="292"/>
      <c r="F434" s="293" t="s">
        <v>48</v>
      </c>
      <c r="G434" s="294" t="s">
        <v>339</v>
      </c>
      <c r="H434" s="295">
        <v>0</v>
      </c>
      <c r="I434" s="297" t="s">
        <v>2490</v>
      </c>
      <c r="J434" s="292" t="s">
        <v>17</v>
      </c>
      <c r="K434" s="303" t="s">
        <v>21</v>
      </c>
    </row>
    <row r="435" spans="1:17" ht="12">
      <c r="A435" s="290">
        <v>38747</v>
      </c>
      <c r="B435" s="291" t="s">
        <v>1988</v>
      </c>
      <c r="C435" s="292" t="s">
        <v>1989</v>
      </c>
      <c r="D435" s="292" t="s">
        <v>190</v>
      </c>
      <c r="E435" s="292"/>
      <c r="F435" s="293" t="s">
        <v>42</v>
      </c>
      <c r="G435" s="310" t="s">
        <v>93</v>
      </c>
      <c r="H435" s="311" t="s">
        <v>44</v>
      </c>
      <c r="I435" s="297" t="s">
        <v>2490</v>
      </c>
      <c r="J435" s="292" t="s">
        <v>17</v>
      </c>
      <c r="K435" s="303" t="s">
        <v>21</v>
      </c>
      <c r="L435" s="26"/>
      <c r="M435" s="26"/>
      <c r="N435" s="26"/>
      <c r="Q435" s="30"/>
    </row>
    <row r="436" spans="1:17" ht="12">
      <c r="A436" s="290">
        <v>15911</v>
      </c>
      <c r="B436" s="291" t="s">
        <v>104</v>
      </c>
      <c r="C436" s="292" t="s">
        <v>105</v>
      </c>
      <c r="D436" s="292" t="s">
        <v>106</v>
      </c>
      <c r="E436" s="292"/>
      <c r="F436" s="293" t="s">
        <v>42</v>
      </c>
      <c r="G436" s="310" t="s">
        <v>51</v>
      </c>
      <c r="H436" s="311" t="s">
        <v>65</v>
      </c>
      <c r="I436" s="297" t="s">
        <v>2490</v>
      </c>
      <c r="J436" s="292" t="s">
        <v>17</v>
      </c>
      <c r="K436" s="303" t="s">
        <v>21</v>
      </c>
      <c r="L436" s="26"/>
      <c r="M436" s="26"/>
      <c r="N436" s="26"/>
      <c r="Q436" s="30"/>
    </row>
    <row r="437" spans="1:17" ht="12">
      <c r="A437" s="290" t="s">
        <v>2493</v>
      </c>
      <c r="B437" s="291" t="s">
        <v>891</v>
      </c>
      <c r="C437" s="292" t="s">
        <v>892</v>
      </c>
      <c r="D437" s="292" t="s">
        <v>63</v>
      </c>
      <c r="E437" s="292"/>
      <c r="F437" s="293" t="s">
        <v>42</v>
      </c>
      <c r="G437" s="310" t="s">
        <v>66</v>
      </c>
      <c r="H437" s="311" t="s">
        <v>65</v>
      </c>
      <c r="I437" s="297" t="s">
        <v>2490</v>
      </c>
      <c r="J437" s="292" t="s">
        <v>17</v>
      </c>
      <c r="K437" s="303" t="s">
        <v>21</v>
      </c>
    </row>
    <row r="438" spans="1:17" ht="12">
      <c r="A438" s="290">
        <v>25082</v>
      </c>
      <c r="B438" s="291" t="s">
        <v>1178</v>
      </c>
      <c r="C438" s="292" t="s">
        <v>344</v>
      </c>
      <c r="D438" s="292" t="s">
        <v>58</v>
      </c>
      <c r="E438" s="292"/>
      <c r="F438" s="293" t="s">
        <v>42</v>
      </c>
      <c r="G438" s="310" t="s">
        <v>43</v>
      </c>
      <c r="H438" s="311" t="s">
        <v>238</v>
      </c>
      <c r="I438" s="292" t="s">
        <v>847</v>
      </c>
      <c r="J438" s="292" t="s">
        <v>17</v>
      </c>
      <c r="K438" s="303" t="s">
        <v>21</v>
      </c>
    </row>
    <row r="439" spans="1:17" ht="12">
      <c r="A439" s="290">
        <v>38798</v>
      </c>
      <c r="B439" s="291" t="s">
        <v>2171</v>
      </c>
      <c r="C439" s="292" t="s">
        <v>2172</v>
      </c>
      <c r="D439" s="292" t="s">
        <v>2173</v>
      </c>
      <c r="E439" s="292"/>
      <c r="F439" s="293" t="s">
        <v>48</v>
      </c>
      <c r="G439" s="310" t="s">
        <v>138</v>
      </c>
      <c r="H439" s="311" t="s">
        <v>103</v>
      </c>
      <c r="I439" s="292" t="s">
        <v>847</v>
      </c>
      <c r="J439" s="292" t="s">
        <v>17</v>
      </c>
      <c r="K439" s="303" t="s">
        <v>21</v>
      </c>
    </row>
    <row r="440" spans="1:17" ht="12">
      <c r="A440" s="290">
        <v>38243</v>
      </c>
      <c r="B440" s="291" t="s">
        <v>851</v>
      </c>
      <c r="C440" s="292" t="s">
        <v>85</v>
      </c>
      <c r="D440" s="292" t="s">
        <v>852</v>
      </c>
      <c r="E440" s="292"/>
      <c r="F440" s="293" t="s">
        <v>42</v>
      </c>
      <c r="G440" s="310" t="s">
        <v>51</v>
      </c>
      <c r="H440" s="311"/>
      <c r="I440" s="292" t="s">
        <v>847</v>
      </c>
      <c r="J440" s="292" t="s">
        <v>17</v>
      </c>
      <c r="K440" s="303" t="s">
        <v>21</v>
      </c>
    </row>
    <row r="441" spans="1:17" ht="12">
      <c r="A441" s="290">
        <v>38044</v>
      </c>
      <c r="B441" s="291" t="s">
        <v>853</v>
      </c>
      <c r="C441" s="292" t="s">
        <v>854</v>
      </c>
      <c r="D441" s="292" t="s">
        <v>142</v>
      </c>
      <c r="E441" s="292"/>
      <c r="F441" s="293" t="s">
        <v>42</v>
      </c>
      <c r="G441" s="310" t="s">
        <v>66</v>
      </c>
      <c r="H441" s="311" t="s">
        <v>65</v>
      </c>
      <c r="I441" s="297" t="s">
        <v>847</v>
      </c>
      <c r="J441" s="292" t="s">
        <v>17</v>
      </c>
      <c r="K441" s="303" t="s">
        <v>21</v>
      </c>
      <c r="L441" s="26"/>
      <c r="M441" s="26"/>
      <c r="N441" s="26"/>
      <c r="Q441" s="30"/>
    </row>
    <row r="442" spans="1:17" ht="12">
      <c r="A442" s="290">
        <v>38401</v>
      </c>
      <c r="B442" s="291" t="s">
        <v>855</v>
      </c>
      <c r="C442" s="292" t="s">
        <v>130</v>
      </c>
      <c r="D442" s="292" t="s">
        <v>856</v>
      </c>
      <c r="E442" s="292"/>
      <c r="F442" s="293" t="s">
        <v>48</v>
      </c>
      <c r="G442" s="310" t="s">
        <v>49</v>
      </c>
      <c r="H442" s="311" t="s">
        <v>44</v>
      </c>
      <c r="I442" s="292" t="s">
        <v>847</v>
      </c>
      <c r="J442" s="292" t="s">
        <v>17</v>
      </c>
      <c r="K442" s="303" t="s">
        <v>21</v>
      </c>
    </row>
    <row r="443" spans="1:17" ht="12">
      <c r="A443" s="290">
        <v>16900</v>
      </c>
      <c r="B443" s="291" t="s">
        <v>857</v>
      </c>
      <c r="C443" s="297" t="s">
        <v>858</v>
      </c>
      <c r="D443" s="297" t="s">
        <v>859</v>
      </c>
      <c r="E443" s="297" t="s">
        <v>2103</v>
      </c>
      <c r="F443" s="293" t="s">
        <v>48</v>
      </c>
      <c r="G443" s="310" t="s">
        <v>138</v>
      </c>
      <c r="H443" s="311" t="s">
        <v>65</v>
      </c>
      <c r="I443" s="297" t="s">
        <v>847</v>
      </c>
      <c r="J443" s="297" t="s">
        <v>17</v>
      </c>
      <c r="K443" s="303" t="s">
        <v>21</v>
      </c>
      <c r="L443" s="26"/>
      <c r="M443" s="26"/>
      <c r="N443" s="26"/>
      <c r="Q443" s="30"/>
    </row>
    <row r="444" spans="1:17" ht="12">
      <c r="A444" s="290">
        <v>38583</v>
      </c>
      <c r="B444" s="305" t="s">
        <v>860</v>
      </c>
      <c r="C444" s="292" t="s">
        <v>861</v>
      </c>
      <c r="D444" s="292" t="s">
        <v>862</v>
      </c>
      <c r="E444" s="292"/>
      <c r="F444" s="293" t="s">
        <v>42</v>
      </c>
      <c r="G444" s="310" t="s">
        <v>51</v>
      </c>
      <c r="H444" s="311" t="s">
        <v>103</v>
      </c>
      <c r="I444" s="292" t="s">
        <v>847</v>
      </c>
      <c r="J444" s="292" t="s">
        <v>17</v>
      </c>
      <c r="K444" s="303" t="s">
        <v>21</v>
      </c>
    </row>
    <row r="445" spans="1:17" ht="12">
      <c r="A445" s="290">
        <v>38607</v>
      </c>
      <c r="B445" s="305" t="s">
        <v>871</v>
      </c>
      <c r="C445" s="292" t="s">
        <v>1898</v>
      </c>
      <c r="D445" s="292" t="s">
        <v>410</v>
      </c>
      <c r="E445" s="292"/>
      <c r="F445" s="293" t="s">
        <v>48</v>
      </c>
      <c r="G445" s="310" t="s">
        <v>78</v>
      </c>
      <c r="H445" s="311"/>
      <c r="I445" s="292" t="s">
        <v>847</v>
      </c>
      <c r="J445" s="292" t="s">
        <v>17</v>
      </c>
      <c r="K445" s="303" t="s">
        <v>21</v>
      </c>
    </row>
    <row r="446" spans="1:17" ht="12">
      <c r="A446" s="290">
        <v>38365</v>
      </c>
      <c r="B446" s="291" t="s">
        <v>863</v>
      </c>
      <c r="C446" s="292" t="s">
        <v>864</v>
      </c>
      <c r="D446" s="292" t="s">
        <v>632</v>
      </c>
      <c r="E446" s="292"/>
      <c r="F446" s="293" t="s">
        <v>42</v>
      </c>
      <c r="G446" s="310" t="s">
        <v>66</v>
      </c>
      <c r="H446" s="311" t="s">
        <v>65</v>
      </c>
      <c r="I446" s="297" t="s">
        <v>847</v>
      </c>
      <c r="J446" s="292" t="s">
        <v>17</v>
      </c>
      <c r="K446" s="303" t="s">
        <v>21</v>
      </c>
    </row>
    <row r="447" spans="1:17" ht="12">
      <c r="A447" s="290">
        <v>7787</v>
      </c>
      <c r="B447" s="291" t="s">
        <v>865</v>
      </c>
      <c r="C447" s="292" t="s">
        <v>866</v>
      </c>
      <c r="D447" s="292" t="s">
        <v>867</v>
      </c>
      <c r="E447" s="292"/>
      <c r="F447" s="293" t="s">
        <v>48</v>
      </c>
      <c r="G447" s="310" t="s">
        <v>138</v>
      </c>
      <c r="H447" s="311" t="s">
        <v>44</v>
      </c>
      <c r="I447" s="297" t="s">
        <v>847</v>
      </c>
      <c r="J447" s="292" t="s">
        <v>17</v>
      </c>
      <c r="K447" s="303" t="s">
        <v>21</v>
      </c>
      <c r="L447" s="26"/>
      <c r="M447" s="26"/>
      <c r="N447" s="26"/>
      <c r="Q447" s="30"/>
    </row>
    <row r="448" spans="1:17" ht="12">
      <c r="A448" s="290">
        <v>7770</v>
      </c>
      <c r="B448" s="291" t="s">
        <v>868</v>
      </c>
      <c r="C448" s="292" t="s">
        <v>866</v>
      </c>
      <c r="D448" s="292" t="s">
        <v>142</v>
      </c>
      <c r="E448" s="292"/>
      <c r="F448" s="293" t="s">
        <v>42</v>
      </c>
      <c r="G448" s="310" t="s">
        <v>66</v>
      </c>
      <c r="H448" s="311" t="s">
        <v>65</v>
      </c>
      <c r="I448" s="297" t="s">
        <v>847</v>
      </c>
      <c r="J448" s="292" t="s">
        <v>17</v>
      </c>
      <c r="K448" s="303" t="s">
        <v>21</v>
      </c>
    </row>
    <row r="449" spans="1:17" ht="12">
      <c r="A449" s="290">
        <v>38604</v>
      </c>
      <c r="B449" s="305" t="s">
        <v>869</v>
      </c>
      <c r="C449" s="292" t="s">
        <v>870</v>
      </c>
      <c r="D449" s="292" t="s">
        <v>86</v>
      </c>
      <c r="E449" s="292"/>
      <c r="F449" s="293" t="s">
        <v>42</v>
      </c>
      <c r="G449" s="310" t="s">
        <v>43</v>
      </c>
      <c r="H449" s="311"/>
      <c r="I449" s="292" t="s">
        <v>847</v>
      </c>
      <c r="J449" s="292" t="s">
        <v>17</v>
      </c>
      <c r="K449" s="303" t="s">
        <v>21</v>
      </c>
    </row>
    <row r="450" spans="1:17" ht="12">
      <c r="A450" s="290">
        <v>38210</v>
      </c>
      <c r="B450" s="291" t="s">
        <v>617</v>
      </c>
      <c r="C450" s="292" t="s">
        <v>618</v>
      </c>
      <c r="D450" s="292" t="s">
        <v>338</v>
      </c>
      <c r="E450" s="292"/>
      <c r="F450" s="293" t="s">
        <v>48</v>
      </c>
      <c r="G450" s="310" t="s">
        <v>78</v>
      </c>
      <c r="H450" s="311" t="s">
        <v>50</v>
      </c>
      <c r="I450" s="292" t="s">
        <v>847</v>
      </c>
      <c r="J450" s="292" t="s">
        <v>17</v>
      </c>
      <c r="K450" s="303" t="s">
        <v>21</v>
      </c>
      <c r="L450" s="26"/>
      <c r="M450" s="26"/>
      <c r="N450" s="26"/>
      <c r="Q450" s="30"/>
    </row>
    <row r="451" spans="1:17" ht="12">
      <c r="A451" s="290">
        <v>7786</v>
      </c>
      <c r="B451" s="291" t="s">
        <v>874</v>
      </c>
      <c r="C451" s="292" t="s">
        <v>875</v>
      </c>
      <c r="D451" s="292" t="s">
        <v>876</v>
      </c>
      <c r="E451" s="292"/>
      <c r="F451" s="293" t="s">
        <v>48</v>
      </c>
      <c r="G451" s="310" t="s">
        <v>138</v>
      </c>
      <c r="H451" s="311" t="s">
        <v>65</v>
      </c>
      <c r="I451" s="297" t="s">
        <v>847</v>
      </c>
      <c r="J451" s="292" t="s">
        <v>17</v>
      </c>
      <c r="K451" s="303" t="s">
        <v>21</v>
      </c>
    </row>
    <row r="452" spans="1:17" ht="12">
      <c r="A452" s="290">
        <v>7772</v>
      </c>
      <c r="B452" s="291" t="s">
        <v>877</v>
      </c>
      <c r="C452" s="292" t="s">
        <v>875</v>
      </c>
      <c r="D452" s="292" t="s">
        <v>116</v>
      </c>
      <c r="E452" s="292"/>
      <c r="F452" s="293" t="s">
        <v>42</v>
      </c>
      <c r="G452" s="310" t="s">
        <v>66</v>
      </c>
      <c r="H452" s="311" t="s">
        <v>65</v>
      </c>
      <c r="I452" s="297" t="s">
        <v>847</v>
      </c>
      <c r="J452" s="292" t="s">
        <v>17</v>
      </c>
      <c r="K452" s="303" t="s">
        <v>21</v>
      </c>
    </row>
    <row r="453" spans="1:17" ht="12">
      <c r="A453" s="290">
        <v>38640</v>
      </c>
      <c r="B453" s="291" t="s">
        <v>880</v>
      </c>
      <c r="C453" s="292" t="s">
        <v>881</v>
      </c>
      <c r="D453" s="292" t="s">
        <v>56</v>
      </c>
      <c r="E453" s="292"/>
      <c r="F453" s="293" t="s">
        <v>42</v>
      </c>
      <c r="G453" s="310" t="s">
        <v>51</v>
      </c>
      <c r="H453" s="311" t="s">
        <v>44</v>
      </c>
      <c r="I453" s="292" t="s">
        <v>847</v>
      </c>
      <c r="J453" s="292" t="s">
        <v>17</v>
      </c>
      <c r="K453" s="303" t="s">
        <v>21</v>
      </c>
    </row>
    <row r="454" spans="1:17" ht="12">
      <c r="A454" s="290">
        <v>38554</v>
      </c>
      <c r="B454" s="291" t="s">
        <v>882</v>
      </c>
      <c r="C454" s="297" t="s">
        <v>883</v>
      </c>
      <c r="D454" s="297" t="s">
        <v>86</v>
      </c>
      <c r="E454" s="297" t="s">
        <v>2103</v>
      </c>
      <c r="F454" s="293" t="s">
        <v>42</v>
      </c>
      <c r="G454" s="310" t="s">
        <v>66</v>
      </c>
      <c r="H454" s="311" t="s">
        <v>65</v>
      </c>
      <c r="I454" s="297" t="s">
        <v>847</v>
      </c>
      <c r="J454" s="297" t="s">
        <v>17</v>
      </c>
      <c r="K454" s="303" t="s">
        <v>21</v>
      </c>
    </row>
    <row r="455" spans="1:17" ht="12">
      <c r="A455" s="290">
        <v>25347</v>
      </c>
      <c r="B455" s="291" t="s">
        <v>419</v>
      </c>
      <c r="C455" s="297" t="s">
        <v>420</v>
      </c>
      <c r="D455" s="297" t="s">
        <v>421</v>
      </c>
      <c r="E455" s="297" t="s">
        <v>2103</v>
      </c>
      <c r="F455" s="293" t="s">
        <v>48</v>
      </c>
      <c r="G455" s="310" t="s">
        <v>49</v>
      </c>
      <c r="H455" s="311" t="s">
        <v>44</v>
      </c>
      <c r="I455" s="292" t="s">
        <v>847</v>
      </c>
      <c r="J455" s="297" t="s">
        <v>17</v>
      </c>
      <c r="K455" s="303" t="s">
        <v>21</v>
      </c>
    </row>
    <row r="456" spans="1:17" ht="12">
      <c r="A456" s="290">
        <v>7721</v>
      </c>
      <c r="B456" s="291">
        <v>67657</v>
      </c>
      <c r="C456" s="292" t="s">
        <v>884</v>
      </c>
      <c r="D456" s="292" t="s">
        <v>205</v>
      </c>
      <c r="E456" s="292"/>
      <c r="F456" s="293" t="s">
        <v>42</v>
      </c>
      <c r="G456" s="310" t="s">
        <v>51</v>
      </c>
      <c r="H456" s="311" t="s">
        <v>238</v>
      </c>
      <c r="I456" s="292" t="s">
        <v>847</v>
      </c>
      <c r="J456" s="292" t="s">
        <v>17</v>
      </c>
      <c r="K456" s="303" t="s">
        <v>21</v>
      </c>
    </row>
    <row r="457" spans="1:17" ht="12">
      <c r="A457" s="290">
        <v>7709</v>
      </c>
      <c r="B457" s="291" t="s">
        <v>885</v>
      </c>
      <c r="C457" s="292" t="s">
        <v>884</v>
      </c>
      <c r="D457" s="292" t="s">
        <v>886</v>
      </c>
      <c r="E457" s="292"/>
      <c r="F457" s="293" t="s">
        <v>48</v>
      </c>
      <c r="G457" s="310" t="s">
        <v>49</v>
      </c>
      <c r="H457" s="311" t="s">
        <v>44</v>
      </c>
      <c r="I457" s="292" t="s">
        <v>847</v>
      </c>
      <c r="J457" s="292" t="s">
        <v>17</v>
      </c>
      <c r="K457" s="303" t="s">
        <v>21</v>
      </c>
    </row>
    <row r="458" spans="1:17" ht="12">
      <c r="A458" s="290">
        <v>7801</v>
      </c>
      <c r="B458" s="291">
        <v>9099131</v>
      </c>
      <c r="C458" s="292" t="s">
        <v>884</v>
      </c>
      <c r="D458" s="292" t="s">
        <v>338</v>
      </c>
      <c r="E458" s="292"/>
      <c r="F458" s="293" t="s">
        <v>48</v>
      </c>
      <c r="G458" s="310" t="s">
        <v>78</v>
      </c>
      <c r="H458" s="311" t="s">
        <v>238</v>
      </c>
      <c r="I458" s="292" t="s">
        <v>847</v>
      </c>
      <c r="J458" s="292" t="s">
        <v>17</v>
      </c>
      <c r="K458" s="303" t="s">
        <v>21</v>
      </c>
    </row>
    <row r="459" spans="1:17" ht="12">
      <c r="A459" s="290">
        <v>7723</v>
      </c>
      <c r="B459" s="291" t="s">
        <v>1899</v>
      </c>
      <c r="C459" s="292" t="s">
        <v>884</v>
      </c>
      <c r="D459" s="292" t="s">
        <v>86</v>
      </c>
      <c r="E459" s="292"/>
      <c r="F459" s="293" t="s">
        <v>42</v>
      </c>
      <c r="G459" s="310" t="s">
        <v>43</v>
      </c>
      <c r="H459" s="311" t="s">
        <v>179</v>
      </c>
      <c r="I459" s="292" t="s">
        <v>847</v>
      </c>
      <c r="J459" s="292" t="s">
        <v>17</v>
      </c>
      <c r="K459" s="303" t="s">
        <v>21</v>
      </c>
    </row>
    <row r="460" spans="1:17" ht="12">
      <c r="A460" s="290">
        <v>38854</v>
      </c>
      <c r="B460" s="291" t="s">
        <v>2308</v>
      </c>
      <c r="C460" s="292" t="s">
        <v>2309</v>
      </c>
      <c r="D460" s="292" t="s">
        <v>2310</v>
      </c>
      <c r="E460" s="292"/>
      <c r="F460" s="293" t="s">
        <v>42</v>
      </c>
      <c r="G460" s="310" t="s">
        <v>43</v>
      </c>
      <c r="H460" s="311" t="s">
        <v>238</v>
      </c>
      <c r="I460" s="292" t="s">
        <v>847</v>
      </c>
      <c r="J460" s="292" t="s">
        <v>17</v>
      </c>
      <c r="K460" s="303" t="s">
        <v>21</v>
      </c>
    </row>
    <row r="461" spans="1:17" ht="12">
      <c r="A461" s="290">
        <v>38351</v>
      </c>
      <c r="B461" s="291" t="s">
        <v>887</v>
      </c>
      <c r="C461" s="292" t="s">
        <v>888</v>
      </c>
      <c r="D461" s="292" t="s">
        <v>194</v>
      </c>
      <c r="E461" s="292"/>
      <c r="F461" s="293" t="s">
        <v>42</v>
      </c>
      <c r="G461" s="310" t="s">
        <v>43</v>
      </c>
      <c r="H461" s="311" t="s">
        <v>44</v>
      </c>
      <c r="I461" s="292" t="s">
        <v>847</v>
      </c>
      <c r="J461" s="292" t="s">
        <v>17</v>
      </c>
      <c r="K461" s="303" t="s">
        <v>21</v>
      </c>
    </row>
    <row r="462" spans="1:17" ht="12">
      <c r="A462" s="290">
        <v>25692</v>
      </c>
      <c r="B462" s="291" t="s">
        <v>799</v>
      </c>
      <c r="C462" s="292" t="s">
        <v>800</v>
      </c>
      <c r="D462" s="292" t="s">
        <v>801</v>
      </c>
      <c r="E462" s="292"/>
      <c r="F462" s="293" t="s">
        <v>42</v>
      </c>
      <c r="G462" s="310" t="s">
        <v>66</v>
      </c>
      <c r="H462" s="311" t="s">
        <v>44</v>
      </c>
      <c r="I462" s="292" t="s">
        <v>894</v>
      </c>
      <c r="J462" s="292" t="s">
        <v>17</v>
      </c>
      <c r="K462" s="303" t="s">
        <v>21</v>
      </c>
    </row>
    <row r="463" spans="1:17" ht="12">
      <c r="A463" s="290">
        <v>38774</v>
      </c>
      <c r="B463" s="291" t="s">
        <v>2040</v>
      </c>
      <c r="C463" s="292" t="s">
        <v>2041</v>
      </c>
      <c r="D463" s="292" t="s">
        <v>52</v>
      </c>
      <c r="E463" s="292"/>
      <c r="F463" s="293" t="s">
        <v>42</v>
      </c>
      <c r="G463" s="310" t="s">
        <v>43</v>
      </c>
      <c r="H463" s="311" t="s">
        <v>179</v>
      </c>
      <c r="I463" s="292" t="s">
        <v>894</v>
      </c>
      <c r="J463" s="292" t="s">
        <v>17</v>
      </c>
      <c r="K463" s="303" t="s">
        <v>21</v>
      </c>
    </row>
    <row r="464" spans="1:17" ht="12">
      <c r="A464" s="290">
        <v>25423</v>
      </c>
      <c r="B464" s="291" t="s">
        <v>849</v>
      </c>
      <c r="C464" s="292" t="s">
        <v>850</v>
      </c>
      <c r="D464" s="292" t="s">
        <v>63</v>
      </c>
      <c r="E464" s="292"/>
      <c r="F464" s="293" t="s">
        <v>42</v>
      </c>
      <c r="G464" s="310" t="s">
        <v>43</v>
      </c>
      <c r="H464" s="311" t="s">
        <v>179</v>
      </c>
      <c r="I464" s="292" t="s">
        <v>894</v>
      </c>
      <c r="J464" s="292" t="s">
        <v>17</v>
      </c>
      <c r="K464" s="303" t="s">
        <v>21</v>
      </c>
    </row>
    <row r="465" spans="1:17" ht="12">
      <c r="A465" s="290">
        <v>38884</v>
      </c>
      <c r="B465" s="291" t="s">
        <v>2494</v>
      </c>
      <c r="C465" s="292" t="s">
        <v>2495</v>
      </c>
      <c r="D465" s="292" t="s">
        <v>2496</v>
      </c>
      <c r="E465" s="292"/>
      <c r="F465" s="293" t="s">
        <v>42</v>
      </c>
      <c r="G465" s="310" t="s">
        <v>43</v>
      </c>
      <c r="H465" s="311" t="s">
        <v>65</v>
      </c>
      <c r="I465" s="292" t="s">
        <v>894</v>
      </c>
      <c r="J465" s="292" t="s">
        <v>17</v>
      </c>
      <c r="K465" s="303" t="s">
        <v>21</v>
      </c>
      <c r="L465" s="26"/>
      <c r="M465" s="26"/>
      <c r="N465" s="26"/>
      <c r="Q465" s="30"/>
    </row>
    <row r="466" spans="1:17" ht="12">
      <c r="A466" s="290">
        <v>25923</v>
      </c>
      <c r="B466" s="291">
        <v>9111365</v>
      </c>
      <c r="C466" s="297" t="s">
        <v>895</v>
      </c>
      <c r="D466" s="297" t="s">
        <v>124</v>
      </c>
      <c r="E466" s="297" t="s">
        <v>2103</v>
      </c>
      <c r="F466" s="293" t="s">
        <v>42</v>
      </c>
      <c r="G466" s="310" t="s">
        <v>43</v>
      </c>
      <c r="H466" s="311" t="s">
        <v>179</v>
      </c>
      <c r="I466" s="297" t="s">
        <v>894</v>
      </c>
      <c r="J466" s="297" t="s">
        <v>17</v>
      </c>
      <c r="K466" s="303" t="s">
        <v>21</v>
      </c>
    </row>
    <row r="467" spans="1:17" ht="12">
      <c r="A467" s="290">
        <v>38914</v>
      </c>
      <c r="B467" s="291" t="s">
        <v>2497</v>
      </c>
      <c r="C467" s="292" t="s">
        <v>2113</v>
      </c>
      <c r="D467" s="292" t="s">
        <v>98</v>
      </c>
      <c r="E467" s="292"/>
      <c r="F467" s="293" t="s">
        <v>42</v>
      </c>
      <c r="G467" s="294" t="s">
        <v>43</v>
      </c>
      <c r="H467" s="295">
        <v>0</v>
      </c>
      <c r="I467" s="292" t="s">
        <v>894</v>
      </c>
      <c r="J467" s="292" t="s">
        <v>17</v>
      </c>
      <c r="K467" s="303" t="s">
        <v>21</v>
      </c>
    </row>
    <row r="468" spans="1:17" ht="12">
      <c r="A468" s="290">
        <v>25919</v>
      </c>
      <c r="B468" s="291">
        <v>9111363</v>
      </c>
      <c r="C468" s="297" t="s">
        <v>896</v>
      </c>
      <c r="D468" s="297" t="s">
        <v>897</v>
      </c>
      <c r="E468" s="297" t="s">
        <v>2103</v>
      </c>
      <c r="F468" s="293" t="s">
        <v>42</v>
      </c>
      <c r="G468" s="310" t="s">
        <v>43</v>
      </c>
      <c r="H468" s="311" t="s">
        <v>44</v>
      </c>
      <c r="I468" s="297" t="s">
        <v>894</v>
      </c>
      <c r="J468" s="297" t="s">
        <v>17</v>
      </c>
      <c r="K468" s="303" t="s">
        <v>21</v>
      </c>
    </row>
    <row r="469" spans="1:17" ht="12">
      <c r="A469" s="290">
        <v>38188</v>
      </c>
      <c r="B469" s="291" t="s">
        <v>898</v>
      </c>
      <c r="C469" s="292" t="s">
        <v>899</v>
      </c>
      <c r="D469" s="292" t="s">
        <v>900</v>
      </c>
      <c r="E469" s="292"/>
      <c r="F469" s="293" t="s">
        <v>42</v>
      </c>
      <c r="G469" s="310" t="s">
        <v>66</v>
      </c>
      <c r="H469" s="311" t="s">
        <v>44</v>
      </c>
      <c r="I469" s="292" t="s">
        <v>894</v>
      </c>
      <c r="J469" s="292" t="s">
        <v>17</v>
      </c>
      <c r="K469" s="303" t="s">
        <v>21</v>
      </c>
    </row>
    <row r="470" spans="1:17" ht="12">
      <c r="A470" s="290">
        <v>25433</v>
      </c>
      <c r="B470" s="291" t="s">
        <v>872</v>
      </c>
      <c r="C470" s="297" t="s">
        <v>873</v>
      </c>
      <c r="D470" s="297" t="s">
        <v>64</v>
      </c>
      <c r="E470" s="297" t="s">
        <v>2103</v>
      </c>
      <c r="F470" s="293" t="s">
        <v>42</v>
      </c>
      <c r="G470" s="310" t="s">
        <v>66</v>
      </c>
      <c r="H470" s="311" t="s">
        <v>44</v>
      </c>
      <c r="I470" s="297" t="s">
        <v>894</v>
      </c>
      <c r="J470" s="297" t="s">
        <v>17</v>
      </c>
      <c r="K470" s="303" t="s">
        <v>21</v>
      </c>
    </row>
    <row r="471" spans="1:17" ht="12">
      <c r="A471" s="290">
        <v>16899</v>
      </c>
      <c r="B471" s="291" t="s">
        <v>878</v>
      </c>
      <c r="C471" s="297" t="s">
        <v>879</v>
      </c>
      <c r="D471" s="297" t="s">
        <v>831</v>
      </c>
      <c r="E471" s="297" t="s">
        <v>2103</v>
      </c>
      <c r="F471" s="293" t="s">
        <v>42</v>
      </c>
      <c r="G471" s="310" t="s">
        <v>66</v>
      </c>
      <c r="H471" s="311"/>
      <c r="I471" s="297" t="s">
        <v>894</v>
      </c>
      <c r="J471" s="297" t="s">
        <v>17</v>
      </c>
      <c r="K471" s="303" t="s">
        <v>21</v>
      </c>
    </row>
    <row r="472" spans="1:17" ht="12">
      <c r="A472" s="290">
        <v>19862</v>
      </c>
      <c r="B472" s="291" t="s">
        <v>901</v>
      </c>
      <c r="C472" s="292" t="s">
        <v>902</v>
      </c>
      <c r="D472" s="292" t="s">
        <v>903</v>
      </c>
      <c r="E472" s="292"/>
      <c r="F472" s="293" t="s">
        <v>42</v>
      </c>
      <c r="G472" s="310" t="s">
        <v>66</v>
      </c>
      <c r="H472" s="311" t="s">
        <v>65</v>
      </c>
      <c r="I472" s="292" t="s">
        <v>894</v>
      </c>
      <c r="J472" s="292" t="s">
        <v>17</v>
      </c>
      <c r="K472" s="303" t="s">
        <v>21</v>
      </c>
    </row>
    <row r="473" spans="1:17" ht="12">
      <c r="A473" s="290">
        <v>38299</v>
      </c>
      <c r="B473" s="291" t="s">
        <v>889</v>
      </c>
      <c r="C473" s="292" t="s">
        <v>890</v>
      </c>
      <c r="D473" s="292" t="s">
        <v>689</v>
      </c>
      <c r="E473" s="292"/>
      <c r="F473" s="293" t="s">
        <v>48</v>
      </c>
      <c r="G473" s="310" t="s">
        <v>78</v>
      </c>
      <c r="H473" s="311" t="s">
        <v>65</v>
      </c>
      <c r="I473" s="292" t="s">
        <v>894</v>
      </c>
      <c r="J473" s="292" t="s">
        <v>17</v>
      </c>
      <c r="K473" s="303" t="s">
        <v>21</v>
      </c>
    </row>
    <row r="474" spans="1:17" ht="12">
      <c r="A474" s="290">
        <v>38872</v>
      </c>
      <c r="B474" s="291" t="s">
        <v>2498</v>
      </c>
      <c r="C474" s="292" t="s">
        <v>2499</v>
      </c>
      <c r="D474" s="292" t="s">
        <v>2500</v>
      </c>
      <c r="E474" s="292"/>
      <c r="F474" s="293" t="s">
        <v>42</v>
      </c>
      <c r="G474" s="294" t="s">
        <v>43</v>
      </c>
      <c r="H474" s="295">
        <v>0</v>
      </c>
      <c r="I474" s="297" t="s">
        <v>254</v>
      </c>
      <c r="J474" s="292" t="s">
        <v>17</v>
      </c>
      <c r="K474" s="303" t="s">
        <v>21</v>
      </c>
    </row>
    <row r="475" spans="1:17" ht="12">
      <c r="A475" s="290">
        <v>7076</v>
      </c>
      <c r="B475" s="291">
        <v>9111186</v>
      </c>
      <c r="C475" s="292" t="s">
        <v>909</v>
      </c>
      <c r="D475" s="292" t="s">
        <v>175</v>
      </c>
      <c r="E475" s="292"/>
      <c r="F475" s="293" t="s">
        <v>42</v>
      </c>
      <c r="G475" s="310" t="s">
        <v>57</v>
      </c>
      <c r="H475" s="311" t="s">
        <v>65</v>
      </c>
      <c r="I475" s="292" t="s">
        <v>911</v>
      </c>
      <c r="J475" s="292" t="s">
        <v>19</v>
      </c>
      <c r="K475" s="303" t="s">
        <v>22</v>
      </c>
    </row>
    <row r="476" spans="1:17" ht="12">
      <c r="A476" s="290">
        <v>7041</v>
      </c>
      <c r="B476" s="291" t="s">
        <v>912</v>
      </c>
      <c r="C476" s="292" t="s">
        <v>445</v>
      </c>
      <c r="D476" s="292" t="s">
        <v>621</v>
      </c>
      <c r="E476" s="292"/>
      <c r="F476" s="293" t="s">
        <v>42</v>
      </c>
      <c r="G476" s="310" t="s">
        <v>57</v>
      </c>
      <c r="H476" s="311" t="s">
        <v>44</v>
      </c>
      <c r="I476" s="292" t="s">
        <v>911</v>
      </c>
      <c r="J476" s="292" t="s">
        <v>19</v>
      </c>
      <c r="K476" s="303" t="s">
        <v>22</v>
      </c>
      <c r="L476" s="26"/>
      <c r="M476" s="26"/>
      <c r="N476" s="26"/>
      <c r="Q476" s="30"/>
    </row>
    <row r="477" spans="1:17" ht="12">
      <c r="A477" s="290">
        <v>25411</v>
      </c>
      <c r="B477" s="291" t="s">
        <v>919</v>
      </c>
      <c r="C477" s="292" t="s">
        <v>918</v>
      </c>
      <c r="D477" s="292" t="s">
        <v>212</v>
      </c>
      <c r="E477" s="292"/>
      <c r="F477" s="293" t="s">
        <v>42</v>
      </c>
      <c r="G477" s="310" t="s">
        <v>51</v>
      </c>
      <c r="H477" s="311" t="s">
        <v>65</v>
      </c>
      <c r="I477" s="292" t="s">
        <v>911</v>
      </c>
      <c r="J477" s="292" t="s">
        <v>19</v>
      </c>
      <c r="K477" s="303" t="s">
        <v>22</v>
      </c>
    </row>
    <row r="478" spans="1:17" ht="12">
      <c r="A478" s="290">
        <v>25968</v>
      </c>
      <c r="B478" s="291" t="s">
        <v>920</v>
      </c>
      <c r="C478" s="297" t="s">
        <v>921</v>
      </c>
      <c r="D478" s="297" t="s">
        <v>106</v>
      </c>
      <c r="E478" s="297" t="s">
        <v>2103</v>
      </c>
      <c r="F478" s="293" t="s">
        <v>42</v>
      </c>
      <c r="G478" s="310" t="s">
        <v>51</v>
      </c>
      <c r="H478" s="311" t="s">
        <v>44</v>
      </c>
      <c r="I478" s="297" t="s">
        <v>911</v>
      </c>
      <c r="J478" s="297" t="s">
        <v>19</v>
      </c>
      <c r="K478" s="303" t="s">
        <v>22</v>
      </c>
    </row>
    <row r="479" spans="1:17" ht="12">
      <c r="A479" s="290">
        <v>7037</v>
      </c>
      <c r="B479" s="291" t="s">
        <v>922</v>
      </c>
      <c r="C479" s="292" t="s">
        <v>114</v>
      </c>
      <c r="D479" s="292" t="s">
        <v>56</v>
      </c>
      <c r="E479" s="292"/>
      <c r="F479" s="293" t="s">
        <v>42</v>
      </c>
      <c r="G479" s="310" t="s">
        <v>51</v>
      </c>
      <c r="H479" s="311"/>
      <c r="I479" s="292" t="s">
        <v>911</v>
      </c>
      <c r="J479" s="292" t="s">
        <v>19</v>
      </c>
      <c r="K479" s="303" t="s">
        <v>22</v>
      </c>
    </row>
    <row r="480" spans="1:17" ht="12">
      <c r="A480" s="290">
        <v>7030</v>
      </c>
      <c r="B480" s="291" t="s">
        <v>923</v>
      </c>
      <c r="C480" s="292" t="s">
        <v>924</v>
      </c>
      <c r="D480" s="292" t="s">
        <v>98</v>
      </c>
      <c r="E480" s="292"/>
      <c r="F480" s="293" t="s">
        <v>42</v>
      </c>
      <c r="G480" s="310" t="s">
        <v>66</v>
      </c>
      <c r="H480" s="311" t="s">
        <v>44</v>
      </c>
      <c r="I480" s="292" t="s">
        <v>911</v>
      </c>
      <c r="J480" s="292" t="s">
        <v>19</v>
      </c>
      <c r="K480" s="303" t="s">
        <v>22</v>
      </c>
    </row>
    <row r="481" spans="1:17" ht="12">
      <c r="A481" s="290">
        <v>7055</v>
      </c>
      <c r="B481" s="291" t="s">
        <v>925</v>
      </c>
      <c r="C481" s="292" t="s">
        <v>924</v>
      </c>
      <c r="D481" s="292" t="s">
        <v>926</v>
      </c>
      <c r="E481" s="292"/>
      <c r="F481" s="293" t="s">
        <v>48</v>
      </c>
      <c r="G481" s="310" t="s">
        <v>138</v>
      </c>
      <c r="H481" s="311"/>
      <c r="I481" s="292" t="s">
        <v>911</v>
      </c>
      <c r="J481" s="292" t="s">
        <v>19</v>
      </c>
      <c r="K481" s="303" t="s">
        <v>22</v>
      </c>
    </row>
    <row r="482" spans="1:17" ht="12">
      <c r="A482" s="290">
        <v>16325</v>
      </c>
      <c r="B482" s="291" t="s">
        <v>534</v>
      </c>
      <c r="C482" s="292" t="s">
        <v>535</v>
      </c>
      <c r="D482" s="292" t="s">
        <v>536</v>
      </c>
      <c r="E482" s="292"/>
      <c r="F482" s="293" t="s">
        <v>42</v>
      </c>
      <c r="G482" s="310" t="s">
        <v>66</v>
      </c>
      <c r="H482" s="311" t="s">
        <v>65</v>
      </c>
      <c r="I482" s="292" t="s">
        <v>911</v>
      </c>
      <c r="J482" s="292" t="s">
        <v>19</v>
      </c>
      <c r="K482" s="303" t="s">
        <v>22</v>
      </c>
    </row>
    <row r="483" spans="1:17" ht="12">
      <c r="A483" s="290">
        <v>7031</v>
      </c>
      <c r="B483" s="291" t="s">
        <v>932</v>
      </c>
      <c r="C483" s="292" t="s">
        <v>933</v>
      </c>
      <c r="D483" s="292" t="s">
        <v>199</v>
      </c>
      <c r="E483" s="292"/>
      <c r="F483" s="293" t="s">
        <v>42</v>
      </c>
      <c r="G483" s="310" t="s">
        <v>51</v>
      </c>
      <c r="H483" s="311" t="s">
        <v>65</v>
      </c>
      <c r="I483" s="292" t="s">
        <v>911</v>
      </c>
      <c r="J483" s="292" t="s">
        <v>19</v>
      </c>
      <c r="K483" s="303" t="s">
        <v>22</v>
      </c>
      <c r="L483" s="26"/>
      <c r="M483" s="26"/>
      <c r="N483" s="26"/>
      <c r="Q483" s="30"/>
    </row>
    <row r="484" spans="1:17" ht="12">
      <c r="A484" s="290">
        <v>7003</v>
      </c>
      <c r="B484" s="291" t="s">
        <v>936</v>
      </c>
      <c r="C484" s="292" t="s">
        <v>937</v>
      </c>
      <c r="D484" s="292" t="s">
        <v>938</v>
      </c>
      <c r="E484" s="292"/>
      <c r="F484" s="293" t="s">
        <v>42</v>
      </c>
      <c r="G484" s="310" t="s">
        <v>51</v>
      </c>
      <c r="H484" s="311" t="s">
        <v>44</v>
      </c>
      <c r="I484" s="292" t="s">
        <v>911</v>
      </c>
      <c r="J484" s="292" t="s">
        <v>19</v>
      </c>
      <c r="K484" s="303" t="s">
        <v>22</v>
      </c>
      <c r="L484" s="26"/>
      <c r="M484" s="26"/>
      <c r="N484" s="26"/>
      <c r="Q484" s="30"/>
    </row>
    <row r="485" spans="1:17" ht="12">
      <c r="A485" s="290">
        <v>7058</v>
      </c>
      <c r="B485" s="291" t="s">
        <v>939</v>
      </c>
      <c r="C485" s="292" t="s">
        <v>940</v>
      </c>
      <c r="D485" s="292" t="s">
        <v>613</v>
      </c>
      <c r="E485" s="292"/>
      <c r="F485" s="293" t="s">
        <v>48</v>
      </c>
      <c r="G485" s="310" t="s">
        <v>227</v>
      </c>
      <c r="H485" s="311" t="s">
        <v>50</v>
      </c>
      <c r="I485" s="292" t="s">
        <v>911</v>
      </c>
      <c r="J485" s="292" t="s">
        <v>19</v>
      </c>
      <c r="K485" s="303" t="s">
        <v>22</v>
      </c>
      <c r="L485" s="26"/>
      <c r="M485" s="26"/>
      <c r="N485" s="26"/>
      <c r="Q485" s="30"/>
    </row>
    <row r="486" spans="1:17" ht="12">
      <c r="A486" s="290">
        <v>7012</v>
      </c>
      <c r="B486" s="291" t="s">
        <v>941</v>
      </c>
      <c r="C486" s="292" t="s">
        <v>942</v>
      </c>
      <c r="D486" s="292" t="s">
        <v>568</v>
      </c>
      <c r="E486" s="292"/>
      <c r="F486" s="293" t="s">
        <v>42</v>
      </c>
      <c r="G486" s="310" t="s">
        <v>57</v>
      </c>
      <c r="H486" s="311" t="s">
        <v>44</v>
      </c>
      <c r="I486" s="292" t="s">
        <v>911</v>
      </c>
      <c r="J486" s="292" t="s">
        <v>19</v>
      </c>
      <c r="K486" s="303" t="s">
        <v>22</v>
      </c>
    </row>
    <row r="487" spans="1:17" ht="12">
      <c r="A487" s="290">
        <v>7040</v>
      </c>
      <c r="B487" s="291" t="s">
        <v>945</v>
      </c>
      <c r="C487" s="292" t="s">
        <v>946</v>
      </c>
      <c r="D487" s="292" t="s">
        <v>947</v>
      </c>
      <c r="E487" s="292"/>
      <c r="F487" s="293" t="s">
        <v>42</v>
      </c>
      <c r="G487" s="310" t="s">
        <v>57</v>
      </c>
      <c r="H487" s="311"/>
      <c r="I487" s="292" t="s">
        <v>911</v>
      </c>
      <c r="J487" s="292" t="s">
        <v>19</v>
      </c>
      <c r="K487" s="303" t="s">
        <v>22</v>
      </c>
    </row>
    <row r="488" spans="1:17" ht="12">
      <c r="A488" s="290">
        <v>16790</v>
      </c>
      <c r="B488" s="291" t="s">
        <v>952</v>
      </c>
      <c r="C488" s="292" t="s">
        <v>953</v>
      </c>
      <c r="D488" s="292" t="s">
        <v>60</v>
      </c>
      <c r="E488" s="292"/>
      <c r="F488" s="293" t="s">
        <v>42</v>
      </c>
      <c r="G488" s="310" t="s">
        <v>66</v>
      </c>
      <c r="H488" s="311" t="s">
        <v>44</v>
      </c>
      <c r="I488" s="292" t="s">
        <v>911</v>
      </c>
      <c r="J488" s="292" t="s">
        <v>19</v>
      </c>
      <c r="K488" s="303" t="s">
        <v>22</v>
      </c>
    </row>
    <row r="489" spans="1:17" ht="12">
      <c r="A489" s="290">
        <v>7245</v>
      </c>
      <c r="B489" s="291" t="s">
        <v>965</v>
      </c>
      <c r="C489" s="292" t="s">
        <v>966</v>
      </c>
      <c r="D489" s="292" t="s">
        <v>164</v>
      </c>
      <c r="E489" s="292"/>
      <c r="F489" s="293" t="s">
        <v>42</v>
      </c>
      <c r="G489" s="310" t="s">
        <v>57</v>
      </c>
      <c r="H489" s="311"/>
      <c r="I489" s="292" t="s">
        <v>967</v>
      </c>
      <c r="J489" s="292" t="s">
        <v>968</v>
      </c>
      <c r="K489" s="303" t="s">
        <v>969</v>
      </c>
    </row>
    <row r="490" spans="1:17" ht="12">
      <c r="A490" s="290">
        <v>38822</v>
      </c>
      <c r="B490" s="291" t="s">
        <v>2176</v>
      </c>
      <c r="C490" s="292" t="s">
        <v>271</v>
      </c>
      <c r="D490" s="292" t="s">
        <v>2177</v>
      </c>
      <c r="E490" s="292"/>
      <c r="F490" s="293" t="s">
        <v>42</v>
      </c>
      <c r="G490" s="310" t="s">
        <v>88</v>
      </c>
      <c r="H490" s="311"/>
      <c r="I490" s="292" t="s">
        <v>967</v>
      </c>
      <c r="J490" s="292" t="s">
        <v>968</v>
      </c>
      <c r="K490" s="303" t="s">
        <v>969</v>
      </c>
    </row>
    <row r="491" spans="1:17" ht="12">
      <c r="A491" s="290">
        <v>38821</v>
      </c>
      <c r="B491" s="291" t="s">
        <v>2178</v>
      </c>
      <c r="C491" s="292" t="s">
        <v>271</v>
      </c>
      <c r="D491" s="292" t="s">
        <v>2179</v>
      </c>
      <c r="E491" s="292"/>
      <c r="F491" s="293" t="s">
        <v>42</v>
      </c>
      <c r="G491" s="294" t="s">
        <v>359</v>
      </c>
      <c r="H491" s="295">
        <v>0</v>
      </c>
      <c r="I491" s="292" t="s">
        <v>967</v>
      </c>
      <c r="J491" s="292" t="s">
        <v>968</v>
      </c>
      <c r="K491" s="303" t="s">
        <v>969</v>
      </c>
    </row>
    <row r="492" spans="1:17" ht="12">
      <c r="A492" s="290">
        <v>38310</v>
      </c>
      <c r="B492" s="291" t="s">
        <v>2501</v>
      </c>
      <c r="C492" s="292" t="s">
        <v>2502</v>
      </c>
      <c r="D492" s="292" t="s">
        <v>182</v>
      </c>
      <c r="E492" s="292"/>
      <c r="F492" s="293" t="s">
        <v>42</v>
      </c>
      <c r="G492" s="294" t="s">
        <v>66</v>
      </c>
      <c r="H492" s="295">
        <v>0</v>
      </c>
      <c r="I492" s="292" t="s">
        <v>967</v>
      </c>
      <c r="J492" s="292" t="s">
        <v>968</v>
      </c>
      <c r="K492" s="303" t="s">
        <v>969</v>
      </c>
    </row>
    <row r="493" spans="1:17" ht="12">
      <c r="A493" s="290">
        <v>38816</v>
      </c>
      <c r="B493" s="291" t="s">
        <v>2180</v>
      </c>
      <c r="C493" s="292" t="s">
        <v>2096</v>
      </c>
      <c r="D493" s="292" t="s">
        <v>687</v>
      </c>
      <c r="E493" s="292"/>
      <c r="F493" s="293" t="s">
        <v>42</v>
      </c>
      <c r="G493" s="310" t="s">
        <v>359</v>
      </c>
      <c r="H493" s="311" t="s">
        <v>103</v>
      </c>
      <c r="I493" s="292" t="s">
        <v>967</v>
      </c>
      <c r="J493" s="292" t="s">
        <v>968</v>
      </c>
      <c r="K493" s="303" t="s">
        <v>969</v>
      </c>
    </row>
    <row r="494" spans="1:17" ht="12">
      <c r="A494" s="290">
        <v>38784</v>
      </c>
      <c r="B494" s="291" t="s">
        <v>2095</v>
      </c>
      <c r="C494" s="292" t="s">
        <v>2096</v>
      </c>
      <c r="D494" s="292" t="s">
        <v>632</v>
      </c>
      <c r="E494" s="292"/>
      <c r="F494" s="293" t="s">
        <v>42</v>
      </c>
      <c r="G494" s="310" t="s">
        <v>359</v>
      </c>
      <c r="H494" s="311"/>
      <c r="I494" s="292" t="s">
        <v>967</v>
      </c>
      <c r="J494" s="292" t="s">
        <v>968</v>
      </c>
      <c r="K494" s="303" t="s">
        <v>969</v>
      </c>
    </row>
    <row r="495" spans="1:17" ht="12">
      <c r="A495" s="290">
        <v>38783</v>
      </c>
      <c r="B495" s="291" t="s">
        <v>2097</v>
      </c>
      <c r="C495" s="292" t="s">
        <v>2096</v>
      </c>
      <c r="D495" s="292" t="s">
        <v>178</v>
      </c>
      <c r="E495" s="292"/>
      <c r="F495" s="293" t="s">
        <v>42</v>
      </c>
      <c r="G495" s="310" t="s">
        <v>88</v>
      </c>
      <c r="H495" s="311" t="s">
        <v>103</v>
      </c>
      <c r="I495" s="292" t="s">
        <v>967</v>
      </c>
      <c r="J495" s="292" t="s">
        <v>968</v>
      </c>
      <c r="K495" s="303" t="s">
        <v>969</v>
      </c>
      <c r="L495" s="26"/>
      <c r="M495" s="26"/>
      <c r="N495" s="26"/>
      <c r="Q495" s="30"/>
    </row>
    <row r="496" spans="1:17" ht="12">
      <c r="A496" s="290">
        <v>38889</v>
      </c>
      <c r="B496" s="291" t="s">
        <v>2503</v>
      </c>
      <c r="C496" s="292" t="s">
        <v>971</v>
      </c>
      <c r="D496" s="292" t="s">
        <v>1278</v>
      </c>
      <c r="E496" s="292"/>
      <c r="F496" s="293" t="s">
        <v>48</v>
      </c>
      <c r="G496" s="310" t="s">
        <v>138</v>
      </c>
      <c r="H496" s="311"/>
      <c r="I496" s="292" t="s">
        <v>967</v>
      </c>
      <c r="J496" s="292" t="s">
        <v>968</v>
      </c>
      <c r="K496" s="303" t="s">
        <v>969</v>
      </c>
    </row>
    <row r="497" spans="1:17" ht="12">
      <c r="A497" s="290">
        <v>38541</v>
      </c>
      <c r="B497" s="291" t="s">
        <v>970</v>
      </c>
      <c r="C497" s="292" t="s">
        <v>971</v>
      </c>
      <c r="D497" s="292" t="s">
        <v>124</v>
      </c>
      <c r="E497" s="292"/>
      <c r="F497" s="293" t="s">
        <v>42</v>
      </c>
      <c r="G497" s="310" t="s">
        <v>359</v>
      </c>
      <c r="H497" s="311" t="s">
        <v>65</v>
      </c>
      <c r="I497" s="292" t="s">
        <v>967</v>
      </c>
      <c r="J497" s="292" t="s">
        <v>968</v>
      </c>
      <c r="K497" s="303" t="s">
        <v>969</v>
      </c>
      <c r="L497" s="26"/>
      <c r="M497" s="26"/>
      <c r="N497" s="26"/>
      <c r="Q497" s="30"/>
    </row>
    <row r="498" spans="1:17" ht="12">
      <c r="A498" s="290">
        <v>25785</v>
      </c>
      <c r="B498" s="291">
        <v>9062978</v>
      </c>
      <c r="C498" s="292" t="s">
        <v>971</v>
      </c>
      <c r="D498" s="292" t="s">
        <v>178</v>
      </c>
      <c r="E498" s="292"/>
      <c r="F498" s="293" t="s">
        <v>42</v>
      </c>
      <c r="G498" s="310" t="s">
        <v>66</v>
      </c>
      <c r="H498" s="311" t="s">
        <v>44</v>
      </c>
      <c r="I498" s="292" t="s">
        <v>967</v>
      </c>
      <c r="J498" s="292" t="s">
        <v>968</v>
      </c>
      <c r="K498" s="303" t="s">
        <v>969</v>
      </c>
    </row>
    <row r="499" spans="1:17" ht="12">
      <c r="A499" s="290">
        <v>38818</v>
      </c>
      <c r="B499" s="291" t="s">
        <v>2181</v>
      </c>
      <c r="C499" s="292" t="s">
        <v>2182</v>
      </c>
      <c r="D499" s="292" t="s">
        <v>1107</v>
      </c>
      <c r="E499" s="292"/>
      <c r="F499" s="293" t="s">
        <v>48</v>
      </c>
      <c r="G499" s="310" t="s">
        <v>774</v>
      </c>
      <c r="H499" s="311"/>
      <c r="I499" s="292" t="s">
        <v>967</v>
      </c>
      <c r="J499" s="292" t="s">
        <v>968</v>
      </c>
      <c r="K499" s="303" t="s">
        <v>969</v>
      </c>
      <c r="L499" s="26"/>
      <c r="M499" s="26"/>
      <c r="N499" s="26"/>
      <c r="Q499" s="30"/>
    </row>
    <row r="500" spans="1:17" ht="12">
      <c r="A500" s="290">
        <v>38817</v>
      </c>
      <c r="B500" s="291" t="s">
        <v>2183</v>
      </c>
      <c r="C500" s="292" t="s">
        <v>2182</v>
      </c>
      <c r="D500" s="292" t="s">
        <v>2184</v>
      </c>
      <c r="E500" s="292"/>
      <c r="F500" s="293" t="s">
        <v>48</v>
      </c>
      <c r="G500" s="310" t="s">
        <v>774</v>
      </c>
      <c r="H500" s="311" t="s">
        <v>103</v>
      </c>
      <c r="I500" s="292" t="s">
        <v>967</v>
      </c>
      <c r="J500" s="292" t="s">
        <v>968</v>
      </c>
      <c r="K500" s="303" t="s">
        <v>969</v>
      </c>
      <c r="L500" s="26"/>
      <c r="M500" s="26"/>
      <c r="N500" s="26"/>
      <c r="Q500" s="30"/>
    </row>
    <row r="501" spans="1:17" ht="12">
      <c r="A501" s="290">
        <v>38712</v>
      </c>
      <c r="B501" s="291" t="s">
        <v>972</v>
      </c>
      <c r="C501" s="292" t="s">
        <v>973</v>
      </c>
      <c r="D501" s="292" t="s">
        <v>332</v>
      </c>
      <c r="E501" s="292"/>
      <c r="F501" s="293" t="s">
        <v>42</v>
      </c>
      <c r="G501" s="310" t="s">
        <v>51</v>
      </c>
      <c r="H501" s="311"/>
      <c r="I501" s="292" t="s">
        <v>967</v>
      </c>
      <c r="J501" s="292" t="s">
        <v>968</v>
      </c>
      <c r="K501" s="303" t="s">
        <v>969</v>
      </c>
    </row>
    <row r="502" spans="1:17" ht="12">
      <c r="A502" s="290">
        <v>38820</v>
      </c>
      <c r="B502" s="291" t="s">
        <v>2185</v>
      </c>
      <c r="C502" s="292" t="s">
        <v>975</v>
      </c>
      <c r="D502" s="292" t="s">
        <v>530</v>
      </c>
      <c r="E502" s="292"/>
      <c r="F502" s="293" t="s">
        <v>48</v>
      </c>
      <c r="G502" s="294" t="s">
        <v>78</v>
      </c>
      <c r="H502" s="295">
        <v>0</v>
      </c>
      <c r="I502" s="292" t="s">
        <v>967</v>
      </c>
      <c r="J502" s="292" t="s">
        <v>968</v>
      </c>
      <c r="K502" s="303" t="s">
        <v>969</v>
      </c>
      <c r="L502" s="26"/>
      <c r="M502" s="26"/>
      <c r="N502" s="26"/>
      <c r="Q502" s="30"/>
    </row>
    <row r="503" spans="1:17" ht="12">
      <c r="A503" s="290">
        <v>38357</v>
      </c>
      <c r="B503" s="291" t="s">
        <v>974</v>
      </c>
      <c r="C503" s="292" t="s">
        <v>975</v>
      </c>
      <c r="D503" s="292" t="s">
        <v>828</v>
      </c>
      <c r="E503" s="292"/>
      <c r="F503" s="293" t="s">
        <v>42</v>
      </c>
      <c r="G503" s="310" t="s">
        <v>43</v>
      </c>
      <c r="H503" s="311" t="s">
        <v>44</v>
      </c>
      <c r="I503" s="292" t="s">
        <v>967</v>
      </c>
      <c r="J503" s="292" t="s">
        <v>968</v>
      </c>
      <c r="K503" s="303" t="s">
        <v>969</v>
      </c>
    </row>
    <row r="504" spans="1:17" ht="12">
      <c r="A504" s="290">
        <v>16820</v>
      </c>
      <c r="B504" s="291">
        <v>9016427</v>
      </c>
      <c r="C504" s="292" t="s">
        <v>976</v>
      </c>
      <c r="D504" s="292" t="s">
        <v>644</v>
      </c>
      <c r="E504" s="292"/>
      <c r="F504" s="293" t="s">
        <v>42</v>
      </c>
      <c r="G504" s="310" t="s">
        <v>51</v>
      </c>
      <c r="H504" s="311"/>
      <c r="I504" s="292" t="s">
        <v>967</v>
      </c>
      <c r="J504" s="292" t="s">
        <v>968</v>
      </c>
      <c r="K504" s="303" t="s">
        <v>969</v>
      </c>
    </row>
    <row r="505" spans="1:17" ht="12">
      <c r="A505" s="290">
        <v>38307</v>
      </c>
      <c r="B505" s="291" t="s">
        <v>977</v>
      </c>
      <c r="C505" s="292" t="s">
        <v>978</v>
      </c>
      <c r="D505" s="292" t="s">
        <v>539</v>
      </c>
      <c r="E505" s="292"/>
      <c r="F505" s="293" t="s">
        <v>42</v>
      </c>
      <c r="G505" s="310" t="s">
        <v>51</v>
      </c>
      <c r="H505" s="311" t="s">
        <v>44</v>
      </c>
      <c r="I505" s="292" t="s">
        <v>967</v>
      </c>
      <c r="J505" s="292" t="s">
        <v>968</v>
      </c>
      <c r="K505" s="303" t="s">
        <v>969</v>
      </c>
    </row>
    <row r="506" spans="1:17" ht="12">
      <c r="A506" s="290">
        <v>38305</v>
      </c>
      <c r="B506" s="291" t="s">
        <v>979</v>
      </c>
      <c r="C506" s="292" t="s">
        <v>980</v>
      </c>
      <c r="D506" s="292" t="s">
        <v>98</v>
      </c>
      <c r="E506" s="292"/>
      <c r="F506" s="293" t="s">
        <v>42</v>
      </c>
      <c r="G506" s="310" t="s">
        <v>93</v>
      </c>
      <c r="H506" s="311" t="s">
        <v>179</v>
      </c>
      <c r="I506" s="292" t="s">
        <v>967</v>
      </c>
      <c r="J506" s="292" t="s">
        <v>968</v>
      </c>
      <c r="K506" s="303" t="s">
        <v>969</v>
      </c>
    </row>
    <row r="507" spans="1:17" ht="12">
      <c r="A507" s="290">
        <v>38864</v>
      </c>
      <c r="B507" s="291" t="s">
        <v>2311</v>
      </c>
      <c r="C507" s="292" t="s">
        <v>980</v>
      </c>
      <c r="D507" s="292" t="s">
        <v>530</v>
      </c>
      <c r="E507" s="292"/>
      <c r="F507" s="293" t="s">
        <v>48</v>
      </c>
      <c r="G507" s="310" t="s">
        <v>339</v>
      </c>
      <c r="H507" s="311" t="s">
        <v>103</v>
      </c>
      <c r="I507" s="292" t="s">
        <v>967</v>
      </c>
      <c r="J507" s="292" t="s">
        <v>968</v>
      </c>
      <c r="K507" s="303" t="s">
        <v>969</v>
      </c>
      <c r="L507" s="26"/>
      <c r="M507" s="26"/>
      <c r="N507" s="26"/>
      <c r="Q507" s="30"/>
    </row>
    <row r="508" spans="1:17" ht="12">
      <c r="A508" s="290">
        <v>38860</v>
      </c>
      <c r="B508" s="291" t="s">
        <v>2312</v>
      </c>
      <c r="C508" s="292" t="s">
        <v>2313</v>
      </c>
      <c r="D508" s="292" t="s">
        <v>121</v>
      </c>
      <c r="E508" s="292"/>
      <c r="F508" s="293" t="s">
        <v>42</v>
      </c>
      <c r="G508" s="310" t="s">
        <v>43</v>
      </c>
      <c r="H508" s="311"/>
      <c r="I508" s="292" t="s">
        <v>967</v>
      </c>
      <c r="J508" s="292" t="s">
        <v>968</v>
      </c>
      <c r="K508" s="303" t="s">
        <v>969</v>
      </c>
    </row>
    <row r="509" spans="1:17" ht="12">
      <c r="A509" s="290">
        <v>7253</v>
      </c>
      <c r="B509" s="291" t="s">
        <v>981</v>
      </c>
      <c r="C509" s="292" t="s">
        <v>982</v>
      </c>
      <c r="D509" s="292" t="s">
        <v>983</v>
      </c>
      <c r="E509" s="292"/>
      <c r="F509" s="293" t="s">
        <v>42</v>
      </c>
      <c r="G509" s="310" t="s">
        <v>66</v>
      </c>
      <c r="H509" s="311"/>
      <c r="I509" s="292" t="s">
        <v>967</v>
      </c>
      <c r="J509" s="292" t="s">
        <v>968</v>
      </c>
      <c r="K509" s="303" t="s">
        <v>969</v>
      </c>
    </row>
    <row r="510" spans="1:17" ht="12">
      <c r="A510" s="290">
        <v>38337</v>
      </c>
      <c r="B510" s="291" t="s">
        <v>984</v>
      </c>
      <c r="C510" s="292" t="s">
        <v>982</v>
      </c>
      <c r="D510" s="292" t="s">
        <v>985</v>
      </c>
      <c r="E510" s="292"/>
      <c r="F510" s="293" t="s">
        <v>42</v>
      </c>
      <c r="G510" s="310" t="s">
        <v>93</v>
      </c>
      <c r="H510" s="311" t="s">
        <v>65</v>
      </c>
      <c r="I510" s="292" t="s">
        <v>967</v>
      </c>
      <c r="J510" s="292" t="s">
        <v>968</v>
      </c>
      <c r="K510" s="303" t="s">
        <v>969</v>
      </c>
    </row>
    <row r="511" spans="1:17" ht="12">
      <c r="A511" s="290">
        <v>38865</v>
      </c>
      <c r="B511" s="291" t="s">
        <v>2314</v>
      </c>
      <c r="C511" s="292" t="s">
        <v>2315</v>
      </c>
      <c r="D511" s="292" t="s">
        <v>378</v>
      </c>
      <c r="E511" s="292"/>
      <c r="F511" s="293" t="s">
        <v>42</v>
      </c>
      <c r="G511" s="310" t="s">
        <v>88</v>
      </c>
      <c r="H511" s="311" t="s">
        <v>103</v>
      </c>
      <c r="I511" s="292" t="s">
        <v>967</v>
      </c>
      <c r="J511" s="292" t="s">
        <v>968</v>
      </c>
      <c r="K511" s="303" t="s">
        <v>969</v>
      </c>
    </row>
    <row r="512" spans="1:17" ht="12">
      <c r="A512" s="290">
        <v>38308</v>
      </c>
      <c r="B512" s="291" t="s">
        <v>986</v>
      </c>
      <c r="C512" s="292" t="s">
        <v>987</v>
      </c>
      <c r="D512" s="292" t="s">
        <v>988</v>
      </c>
      <c r="E512" s="292"/>
      <c r="F512" s="293" t="s">
        <v>42</v>
      </c>
      <c r="G512" s="310" t="s">
        <v>51</v>
      </c>
      <c r="H512" s="311" t="s">
        <v>179</v>
      </c>
      <c r="I512" s="292" t="s">
        <v>967</v>
      </c>
      <c r="J512" s="292" t="s">
        <v>968</v>
      </c>
      <c r="K512" s="303" t="s">
        <v>969</v>
      </c>
      <c r="L512" s="26"/>
      <c r="M512" s="26"/>
      <c r="N512" s="26"/>
      <c r="Q512" s="30"/>
    </row>
    <row r="513" spans="1:17" ht="12">
      <c r="A513" s="290">
        <v>38905</v>
      </c>
      <c r="B513" s="291" t="s">
        <v>2504</v>
      </c>
      <c r="C513" s="292" t="s">
        <v>2505</v>
      </c>
      <c r="D513" s="292" t="s">
        <v>2506</v>
      </c>
      <c r="E513" s="292"/>
      <c r="F513" s="293" t="s">
        <v>48</v>
      </c>
      <c r="G513" s="310" t="s">
        <v>774</v>
      </c>
      <c r="H513" s="311"/>
      <c r="I513" s="292" t="s">
        <v>967</v>
      </c>
      <c r="J513" s="292" t="s">
        <v>968</v>
      </c>
      <c r="K513" s="303" t="s">
        <v>969</v>
      </c>
    </row>
    <row r="514" spans="1:17" ht="12">
      <c r="A514" s="290">
        <v>38103</v>
      </c>
      <c r="B514" s="291" t="s">
        <v>989</v>
      </c>
      <c r="C514" s="292" t="s">
        <v>990</v>
      </c>
      <c r="D514" s="292" t="s">
        <v>330</v>
      </c>
      <c r="E514" s="292"/>
      <c r="F514" s="293" t="s">
        <v>42</v>
      </c>
      <c r="G514" s="310" t="s">
        <v>43</v>
      </c>
      <c r="H514" s="311"/>
      <c r="I514" s="292" t="s">
        <v>967</v>
      </c>
      <c r="J514" s="292" t="s">
        <v>968</v>
      </c>
      <c r="K514" s="303" t="s">
        <v>969</v>
      </c>
    </row>
    <row r="515" spans="1:17" ht="12">
      <c r="A515" s="290">
        <v>38819</v>
      </c>
      <c r="B515" s="291" t="s">
        <v>2186</v>
      </c>
      <c r="C515" s="292" t="s">
        <v>2187</v>
      </c>
      <c r="D515" s="292" t="s">
        <v>738</v>
      </c>
      <c r="E515" s="292"/>
      <c r="F515" s="293" t="s">
        <v>42</v>
      </c>
      <c r="G515" s="310" t="s">
        <v>2052</v>
      </c>
      <c r="H515" s="311" t="s">
        <v>103</v>
      </c>
      <c r="I515" s="292" t="s">
        <v>967</v>
      </c>
      <c r="J515" s="292" t="s">
        <v>968</v>
      </c>
      <c r="K515" s="303" t="s">
        <v>969</v>
      </c>
      <c r="L515" s="26"/>
      <c r="M515" s="26"/>
      <c r="N515" s="26"/>
      <c r="Q515" s="30"/>
    </row>
    <row r="516" spans="1:17" ht="12">
      <c r="A516" s="290">
        <v>38563</v>
      </c>
      <c r="B516" s="291" t="s">
        <v>992</v>
      </c>
      <c r="C516" s="292" t="s">
        <v>993</v>
      </c>
      <c r="D516" s="292" t="s">
        <v>168</v>
      </c>
      <c r="E516" s="292"/>
      <c r="F516" s="293" t="s">
        <v>42</v>
      </c>
      <c r="G516" s="310" t="s">
        <v>93</v>
      </c>
      <c r="H516" s="311" t="s">
        <v>65</v>
      </c>
      <c r="I516" s="292" t="s">
        <v>967</v>
      </c>
      <c r="J516" s="292" t="s">
        <v>968</v>
      </c>
      <c r="K516" s="303" t="s">
        <v>969</v>
      </c>
    </row>
    <row r="517" spans="1:17" ht="12">
      <c r="A517" s="290">
        <v>38339</v>
      </c>
      <c r="B517" s="291" t="s">
        <v>994</v>
      </c>
      <c r="C517" s="292" t="s">
        <v>995</v>
      </c>
      <c r="D517" s="292" t="s">
        <v>996</v>
      </c>
      <c r="E517" s="292"/>
      <c r="F517" s="293" t="s">
        <v>42</v>
      </c>
      <c r="G517" s="310" t="s">
        <v>93</v>
      </c>
      <c r="H517" s="311"/>
      <c r="I517" s="292" t="s">
        <v>967</v>
      </c>
      <c r="J517" s="292" t="s">
        <v>968</v>
      </c>
      <c r="K517" s="303" t="s">
        <v>969</v>
      </c>
    </row>
    <row r="518" spans="1:17" ht="12">
      <c r="A518" s="290">
        <v>38714</v>
      </c>
      <c r="B518" s="291" t="s">
        <v>1903</v>
      </c>
      <c r="C518" s="292" t="s">
        <v>1904</v>
      </c>
      <c r="D518" s="292" t="s">
        <v>991</v>
      </c>
      <c r="E518" s="292"/>
      <c r="F518" s="293" t="s">
        <v>42</v>
      </c>
      <c r="G518" s="310" t="s">
        <v>359</v>
      </c>
      <c r="H518" s="311" t="s">
        <v>103</v>
      </c>
      <c r="I518" s="292" t="s">
        <v>967</v>
      </c>
      <c r="J518" s="292" t="s">
        <v>968</v>
      </c>
      <c r="K518" s="303" t="s">
        <v>969</v>
      </c>
      <c r="L518" s="26"/>
      <c r="M518" s="26"/>
      <c r="N518" s="26"/>
      <c r="Q518" s="30"/>
    </row>
    <row r="519" spans="1:17" ht="12">
      <c r="A519" s="290">
        <v>16746</v>
      </c>
      <c r="B519" s="291" t="s">
        <v>997</v>
      </c>
      <c r="C519" s="292" t="s">
        <v>909</v>
      </c>
      <c r="D519" s="292" t="s">
        <v>472</v>
      </c>
      <c r="E519" s="292"/>
      <c r="F519" s="293" t="s">
        <v>48</v>
      </c>
      <c r="G519" s="310" t="s">
        <v>49</v>
      </c>
      <c r="H519" s="311" t="s">
        <v>65</v>
      </c>
      <c r="I519" s="292" t="s">
        <v>998</v>
      </c>
      <c r="J519" s="292" t="s">
        <v>14</v>
      </c>
      <c r="K519" s="303" t="s">
        <v>25</v>
      </c>
      <c r="L519" s="26"/>
      <c r="M519" s="26"/>
      <c r="N519" s="26"/>
      <c r="Q519" s="30"/>
    </row>
    <row r="520" spans="1:17" ht="12">
      <c r="A520" s="290">
        <v>16443</v>
      </c>
      <c r="B520" s="291" t="s">
        <v>999</v>
      </c>
      <c r="C520" s="292" t="s">
        <v>124</v>
      </c>
      <c r="D520" s="292" t="s">
        <v>237</v>
      </c>
      <c r="E520" s="292"/>
      <c r="F520" s="293" t="s">
        <v>42</v>
      </c>
      <c r="G520" s="310" t="s">
        <v>43</v>
      </c>
      <c r="H520" s="311" t="s">
        <v>179</v>
      </c>
      <c r="I520" s="292" t="s">
        <v>998</v>
      </c>
      <c r="J520" s="292" t="s">
        <v>14</v>
      </c>
      <c r="K520" s="303" t="s">
        <v>25</v>
      </c>
    </row>
    <row r="521" spans="1:17" ht="12">
      <c r="A521" s="290">
        <v>16432</v>
      </c>
      <c r="B521" s="291" t="s">
        <v>1000</v>
      </c>
      <c r="C521" s="292" t="s">
        <v>1001</v>
      </c>
      <c r="D521" s="292" t="s">
        <v>621</v>
      </c>
      <c r="E521" s="292"/>
      <c r="F521" s="293" t="s">
        <v>42</v>
      </c>
      <c r="G521" s="310" t="s">
        <v>57</v>
      </c>
      <c r="H521" s="311" t="s">
        <v>65</v>
      </c>
      <c r="I521" s="292" t="s">
        <v>998</v>
      </c>
      <c r="J521" s="292" t="s">
        <v>14</v>
      </c>
      <c r="K521" s="303" t="s">
        <v>25</v>
      </c>
    </row>
    <row r="522" spans="1:17" ht="12">
      <c r="A522" s="290">
        <v>16437</v>
      </c>
      <c r="B522" s="291" t="s">
        <v>1002</v>
      </c>
      <c r="C522" s="292" t="s">
        <v>1003</v>
      </c>
      <c r="D522" s="292" t="s">
        <v>909</v>
      </c>
      <c r="E522" s="292"/>
      <c r="F522" s="293" t="s">
        <v>42</v>
      </c>
      <c r="G522" s="310" t="s">
        <v>57</v>
      </c>
      <c r="H522" s="311" t="s">
        <v>50</v>
      </c>
      <c r="I522" s="292" t="s">
        <v>998</v>
      </c>
      <c r="J522" s="292" t="s">
        <v>14</v>
      </c>
      <c r="K522" s="303" t="s">
        <v>25</v>
      </c>
    </row>
    <row r="523" spans="1:17" ht="12">
      <c r="A523" s="290">
        <v>16493</v>
      </c>
      <c r="B523" s="291" t="s">
        <v>1004</v>
      </c>
      <c r="C523" s="292" t="s">
        <v>1005</v>
      </c>
      <c r="D523" s="292" t="s">
        <v>1006</v>
      </c>
      <c r="E523" s="292"/>
      <c r="F523" s="293" t="s">
        <v>42</v>
      </c>
      <c r="G523" s="310" t="s">
        <v>51</v>
      </c>
      <c r="H523" s="311" t="s">
        <v>44</v>
      </c>
      <c r="I523" s="292" t="s">
        <v>998</v>
      </c>
      <c r="J523" s="292" t="s">
        <v>14</v>
      </c>
      <c r="K523" s="303" t="s">
        <v>25</v>
      </c>
    </row>
    <row r="524" spans="1:17" ht="12">
      <c r="A524" s="290">
        <v>38791</v>
      </c>
      <c r="B524" s="291" t="s">
        <v>2188</v>
      </c>
      <c r="C524" s="292" t="s">
        <v>2189</v>
      </c>
      <c r="D524" s="292" t="s">
        <v>106</v>
      </c>
      <c r="E524" s="292"/>
      <c r="F524" s="293" t="s">
        <v>42</v>
      </c>
      <c r="G524" s="310" t="s">
        <v>66</v>
      </c>
      <c r="H524" s="311" t="s">
        <v>103</v>
      </c>
      <c r="I524" s="292" t="s">
        <v>998</v>
      </c>
      <c r="J524" s="292" t="s">
        <v>14</v>
      </c>
      <c r="K524" s="303" t="s">
        <v>25</v>
      </c>
      <c r="L524" s="26"/>
      <c r="M524" s="26"/>
      <c r="N524" s="26"/>
      <c r="Q524" s="30"/>
    </row>
    <row r="525" spans="1:17" ht="12">
      <c r="A525" s="290">
        <v>38804</v>
      </c>
      <c r="B525" s="291" t="s">
        <v>2190</v>
      </c>
      <c r="C525" s="292" t="s">
        <v>2191</v>
      </c>
      <c r="D525" s="292" t="s">
        <v>1716</v>
      </c>
      <c r="E525" s="292"/>
      <c r="F525" s="293" t="s">
        <v>42</v>
      </c>
      <c r="G525" s="310" t="s">
        <v>51</v>
      </c>
      <c r="H525" s="311" t="s">
        <v>103</v>
      </c>
      <c r="I525" s="292" t="s">
        <v>998</v>
      </c>
      <c r="J525" s="292" t="s">
        <v>14</v>
      </c>
      <c r="K525" s="303" t="s">
        <v>25</v>
      </c>
    </row>
    <row r="526" spans="1:17" ht="12">
      <c r="A526" s="290">
        <v>38917</v>
      </c>
      <c r="B526" s="291" t="s">
        <v>2507</v>
      </c>
      <c r="C526" s="292" t="s">
        <v>1008</v>
      </c>
      <c r="D526" s="292" t="s">
        <v>1649</v>
      </c>
      <c r="E526" s="292"/>
      <c r="F526" s="293" t="s">
        <v>42</v>
      </c>
      <c r="G526" s="310" t="s">
        <v>93</v>
      </c>
      <c r="H526" s="311">
        <v>0</v>
      </c>
      <c r="I526" s="292" t="s">
        <v>998</v>
      </c>
      <c r="J526" s="292" t="s">
        <v>14</v>
      </c>
      <c r="K526" s="303" t="s">
        <v>25</v>
      </c>
    </row>
    <row r="527" spans="1:17" ht="12">
      <c r="A527" s="290">
        <v>16501</v>
      </c>
      <c r="B527" s="291" t="s">
        <v>1007</v>
      </c>
      <c r="C527" s="292" t="s">
        <v>1008</v>
      </c>
      <c r="D527" s="292" t="s">
        <v>168</v>
      </c>
      <c r="E527" s="292"/>
      <c r="F527" s="293" t="s">
        <v>42</v>
      </c>
      <c r="G527" s="310" t="s">
        <v>66</v>
      </c>
      <c r="H527" s="311" t="s">
        <v>179</v>
      </c>
      <c r="I527" s="292" t="s">
        <v>998</v>
      </c>
      <c r="J527" s="292" t="s">
        <v>14</v>
      </c>
      <c r="K527" s="303" t="s">
        <v>25</v>
      </c>
      <c r="L527" s="26"/>
      <c r="M527" s="26"/>
      <c r="N527" s="26"/>
      <c r="Q527" s="30"/>
    </row>
    <row r="528" spans="1:17" ht="12">
      <c r="A528" s="290">
        <v>16438</v>
      </c>
      <c r="B528" s="291" t="s">
        <v>1009</v>
      </c>
      <c r="C528" s="292" t="s">
        <v>1010</v>
      </c>
      <c r="D528" s="292" t="s">
        <v>330</v>
      </c>
      <c r="E528" s="292"/>
      <c r="F528" s="293" t="s">
        <v>42</v>
      </c>
      <c r="G528" s="310" t="s">
        <v>43</v>
      </c>
      <c r="H528" s="311" t="s">
        <v>65</v>
      </c>
      <c r="I528" s="292" t="s">
        <v>998</v>
      </c>
      <c r="J528" s="292" t="s">
        <v>14</v>
      </c>
      <c r="K528" s="303" t="s">
        <v>25</v>
      </c>
    </row>
    <row r="529" spans="1:17" ht="12">
      <c r="A529" s="290">
        <v>16431</v>
      </c>
      <c r="B529" s="291" t="s">
        <v>1011</v>
      </c>
      <c r="C529" s="292" t="s">
        <v>1010</v>
      </c>
      <c r="D529" s="292" t="s">
        <v>168</v>
      </c>
      <c r="E529" s="292"/>
      <c r="F529" s="293" t="s">
        <v>42</v>
      </c>
      <c r="G529" s="310" t="s">
        <v>43</v>
      </c>
      <c r="H529" s="311" t="s">
        <v>44</v>
      </c>
      <c r="I529" s="292" t="s">
        <v>998</v>
      </c>
      <c r="J529" s="292" t="s">
        <v>14</v>
      </c>
      <c r="K529" s="303" t="s">
        <v>25</v>
      </c>
      <c r="L529" s="26"/>
      <c r="M529" s="26"/>
      <c r="N529" s="26"/>
      <c r="Q529" s="30"/>
    </row>
    <row r="530" spans="1:17" ht="12">
      <c r="A530" s="290">
        <v>16439</v>
      </c>
      <c r="B530" s="291" t="s">
        <v>1012</v>
      </c>
      <c r="C530" s="292" t="s">
        <v>1010</v>
      </c>
      <c r="D530" s="292" t="s">
        <v>1013</v>
      </c>
      <c r="E530" s="292"/>
      <c r="F530" s="293" t="s">
        <v>42</v>
      </c>
      <c r="G530" s="310" t="s">
        <v>51</v>
      </c>
      <c r="H530" s="311" t="s">
        <v>44</v>
      </c>
      <c r="I530" s="292" t="s">
        <v>998</v>
      </c>
      <c r="J530" s="292" t="s">
        <v>14</v>
      </c>
      <c r="K530" s="303" t="s">
        <v>25</v>
      </c>
      <c r="L530" s="26"/>
      <c r="M530" s="26"/>
      <c r="N530" s="26"/>
      <c r="Q530" s="30"/>
    </row>
    <row r="531" spans="1:17" ht="12">
      <c r="A531" s="290">
        <v>16430</v>
      </c>
      <c r="B531" s="291" t="s">
        <v>1014</v>
      </c>
      <c r="C531" s="292" t="s">
        <v>1015</v>
      </c>
      <c r="D531" s="292" t="s">
        <v>549</v>
      </c>
      <c r="E531" s="292"/>
      <c r="F531" s="293" t="s">
        <v>42</v>
      </c>
      <c r="G531" s="310" t="s">
        <v>51</v>
      </c>
      <c r="H531" s="311" t="s">
        <v>65</v>
      </c>
      <c r="I531" s="292" t="s">
        <v>998</v>
      </c>
      <c r="J531" s="292" t="s">
        <v>14</v>
      </c>
      <c r="K531" s="303" t="s">
        <v>25</v>
      </c>
    </row>
    <row r="532" spans="1:17" ht="12">
      <c r="A532" s="290">
        <v>7393</v>
      </c>
      <c r="B532" s="291" t="s">
        <v>1016</v>
      </c>
      <c r="C532" s="292" t="s">
        <v>1017</v>
      </c>
      <c r="D532" s="292" t="s">
        <v>79</v>
      </c>
      <c r="E532" s="292"/>
      <c r="F532" s="293" t="s">
        <v>42</v>
      </c>
      <c r="G532" s="310" t="s">
        <v>66</v>
      </c>
      <c r="H532" s="311" t="s">
        <v>65</v>
      </c>
      <c r="I532" s="292" t="s">
        <v>1018</v>
      </c>
      <c r="J532" s="292" t="s">
        <v>15</v>
      </c>
      <c r="K532" s="303" t="s">
        <v>1019</v>
      </c>
    </row>
    <row r="533" spans="1:17" ht="12">
      <c r="A533" s="290">
        <v>7387</v>
      </c>
      <c r="B533" s="291" t="s">
        <v>2018</v>
      </c>
      <c r="C533" s="292" t="s">
        <v>1020</v>
      </c>
      <c r="D533" s="292" t="s">
        <v>1021</v>
      </c>
      <c r="E533" s="292"/>
      <c r="F533" s="293" t="s">
        <v>42</v>
      </c>
      <c r="G533" s="310" t="s">
        <v>51</v>
      </c>
      <c r="H533" s="311" t="s">
        <v>44</v>
      </c>
      <c r="I533" s="292" t="s">
        <v>1018</v>
      </c>
      <c r="J533" s="292" t="s">
        <v>15</v>
      </c>
      <c r="K533" s="303" t="s">
        <v>1019</v>
      </c>
    </row>
    <row r="534" spans="1:17" ht="12">
      <c r="A534" s="290">
        <v>25638</v>
      </c>
      <c r="B534" s="291" t="s">
        <v>1022</v>
      </c>
      <c r="C534" s="292" t="s">
        <v>69</v>
      </c>
      <c r="D534" s="292" t="s">
        <v>131</v>
      </c>
      <c r="E534" s="292"/>
      <c r="F534" s="293" t="s">
        <v>42</v>
      </c>
      <c r="G534" s="310" t="s">
        <v>43</v>
      </c>
      <c r="H534" s="311" t="s">
        <v>179</v>
      </c>
      <c r="I534" s="292" t="s">
        <v>1018</v>
      </c>
      <c r="J534" s="292" t="s">
        <v>15</v>
      </c>
      <c r="K534" s="303" t="s">
        <v>1019</v>
      </c>
    </row>
    <row r="535" spans="1:17" ht="12">
      <c r="A535" s="290">
        <v>7390</v>
      </c>
      <c r="B535" s="291">
        <v>65102</v>
      </c>
      <c r="C535" s="292" t="s">
        <v>2192</v>
      </c>
      <c r="D535" s="292" t="s">
        <v>480</v>
      </c>
      <c r="E535" s="292"/>
      <c r="F535" s="293" t="s">
        <v>42</v>
      </c>
      <c r="G535" s="292" t="s">
        <v>51</v>
      </c>
      <c r="H535" s="306">
        <v>0</v>
      </c>
      <c r="I535" s="292" t="s">
        <v>1018</v>
      </c>
      <c r="J535" s="292" t="s">
        <v>15</v>
      </c>
      <c r="K535" s="303" t="s">
        <v>1019</v>
      </c>
    </row>
    <row r="536" spans="1:17" ht="12">
      <c r="A536" s="290">
        <v>25727</v>
      </c>
      <c r="B536" s="291" t="s">
        <v>2019</v>
      </c>
      <c r="C536" s="292" t="s">
        <v>574</v>
      </c>
      <c r="D536" s="292" t="s">
        <v>1023</v>
      </c>
      <c r="E536" s="292"/>
      <c r="F536" s="293" t="s">
        <v>42</v>
      </c>
      <c r="G536" s="310" t="s">
        <v>66</v>
      </c>
      <c r="H536" s="311"/>
      <c r="I536" s="292" t="s">
        <v>1018</v>
      </c>
      <c r="J536" s="292" t="s">
        <v>15</v>
      </c>
      <c r="K536" s="303" t="s">
        <v>1019</v>
      </c>
    </row>
    <row r="537" spans="1:17" ht="12">
      <c r="A537" s="290">
        <v>16809</v>
      </c>
      <c r="B537" s="291" t="s">
        <v>2193</v>
      </c>
      <c r="C537" s="292" t="s">
        <v>2194</v>
      </c>
      <c r="D537" s="292" t="s">
        <v>194</v>
      </c>
      <c r="E537" s="292"/>
      <c r="F537" s="293" t="s">
        <v>42</v>
      </c>
      <c r="G537" s="310" t="s">
        <v>43</v>
      </c>
      <c r="H537" s="311" t="s">
        <v>65</v>
      </c>
      <c r="I537" s="292" t="s">
        <v>1018</v>
      </c>
      <c r="J537" s="292" t="s">
        <v>15</v>
      </c>
      <c r="K537" s="303" t="s">
        <v>1019</v>
      </c>
    </row>
    <row r="538" spans="1:17" ht="12">
      <c r="A538" s="290">
        <v>7397</v>
      </c>
      <c r="B538" s="291" t="s">
        <v>2020</v>
      </c>
      <c r="C538" s="292" t="s">
        <v>1024</v>
      </c>
      <c r="D538" s="292" t="s">
        <v>205</v>
      </c>
      <c r="E538" s="292"/>
      <c r="F538" s="293" t="s">
        <v>42</v>
      </c>
      <c r="G538" s="310" t="s">
        <v>51</v>
      </c>
      <c r="H538" s="311"/>
      <c r="I538" s="292" t="s">
        <v>1018</v>
      </c>
      <c r="J538" s="292" t="s">
        <v>15</v>
      </c>
      <c r="K538" s="303" t="s">
        <v>1019</v>
      </c>
    </row>
    <row r="539" spans="1:17" ht="12">
      <c r="A539" s="290">
        <v>7388</v>
      </c>
      <c r="B539" s="291" t="s">
        <v>2021</v>
      </c>
      <c r="C539" s="297" t="s">
        <v>1025</v>
      </c>
      <c r="D539" s="297" t="s">
        <v>1026</v>
      </c>
      <c r="E539" s="297" t="s">
        <v>2103</v>
      </c>
      <c r="F539" s="293" t="s">
        <v>42</v>
      </c>
      <c r="G539" s="294" t="s">
        <v>57</v>
      </c>
      <c r="H539" s="295">
        <v>0</v>
      </c>
      <c r="I539" s="297" t="s">
        <v>1018</v>
      </c>
      <c r="J539" s="297" t="s">
        <v>15</v>
      </c>
      <c r="K539" s="303" t="s">
        <v>1019</v>
      </c>
    </row>
    <row r="540" spans="1:17" ht="12">
      <c r="A540" s="290">
        <v>7395</v>
      </c>
      <c r="B540" s="291" t="s">
        <v>2022</v>
      </c>
      <c r="C540" s="292" t="s">
        <v>1027</v>
      </c>
      <c r="D540" s="292" t="s">
        <v>281</v>
      </c>
      <c r="E540" s="292"/>
      <c r="F540" s="293" t="s">
        <v>42</v>
      </c>
      <c r="G540" s="310" t="s">
        <v>43</v>
      </c>
      <c r="H540" s="311" t="s">
        <v>65</v>
      </c>
      <c r="I540" s="292" t="s">
        <v>1018</v>
      </c>
      <c r="J540" s="292" t="s">
        <v>15</v>
      </c>
      <c r="K540" s="303" t="s">
        <v>1019</v>
      </c>
      <c r="L540" s="26"/>
      <c r="M540" s="26"/>
      <c r="N540" s="26"/>
      <c r="Q540" s="30"/>
    </row>
    <row r="541" spans="1:17" ht="12">
      <c r="A541" s="290">
        <v>38521</v>
      </c>
      <c r="B541" s="291" t="s">
        <v>1028</v>
      </c>
      <c r="C541" s="292" t="s">
        <v>1029</v>
      </c>
      <c r="D541" s="292" t="s">
        <v>142</v>
      </c>
      <c r="E541" s="292"/>
      <c r="F541" s="293" t="s">
        <v>42</v>
      </c>
      <c r="G541" s="310" t="s">
        <v>66</v>
      </c>
      <c r="H541" s="311"/>
      <c r="I541" s="292" t="s">
        <v>1018</v>
      </c>
      <c r="J541" s="292" t="s">
        <v>15</v>
      </c>
      <c r="K541" s="303" t="s">
        <v>1019</v>
      </c>
      <c r="L541" s="26"/>
      <c r="M541" s="26"/>
      <c r="N541" s="26"/>
      <c r="Q541" s="30"/>
    </row>
    <row r="542" spans="1:17" ht="12">
      <c r="A542" s="290">
        <v>7394</v>
      </c>
      <c r="B542" s="291">
        <v>610890</v>
      </c>
      <c r="C542" s="292" t="s">
        <v>1030</v>
      </c>
      <c r="D542" s="292" t="s">
        <v>621</v>
      </c>
      <c r="E542" s="292"/>
      <c r="F542" s="293" t="s">
        <v>42</v>
      </c>
      <c r="G542" s="310" t="s">
        <v>51</v>
      </c>
      <c r="H542" s="311" t="s">
        <v>44</v>
      </c>
      <c r="I542" s="292" t="s">
        <v>1018</v>
      </c>
      <c r="J542" s="292" t="s">
        <v>15</v>
      </c>
      <c r="K542" s="303" t="s">
        <v>1019</v>
      </c>
      <c r="L542" s="26"/>
      <c r="M542" s="26"/>
      <c r="N542" s="26"/>
      <c r="Q542" s="30"/>
    </row>
    <row r="543" spans="1:17" ht="12">
      <c r="A543" s="290">
        <v>38807</v>
      </c>
      <c r="B543" s="291" t="s">
        <v>2195</v>
      </c>
      <c r="C543" s="292" t="s">
        <v>2196</v>
      </c>
      <c r="D543" s="292" t="s">
        <v>131</v>
      </c>
      <c r="E543" s="292"/>
      <c r="F543" s="293" t="s">
        <v>42</v>
      </c>
      <c r="G543" s="310" t="s">
        <v>43</v>
      </c>
      <c r="H543" s="311"/>
      <c r="I543" s="292" t="s">
        <v>1018</v>
      </c>
      <c r="J543" s="292" t="s">
        <v>15</v>
      </c>
      <c r="K543" s="303" t="s">
        <v>1019</v>
      </c>
      <c r="L543" s="26"/>
      <c r="M543" s="26"/>
      <c r="N543" s="26"/>
      <c r="Q543" s="30"/>
    </row>
    <row r="544" spans="1:17" ht="12">
      <c r="A544" s="290">
        <v>16894</v>
      </c>
      <c r="B544" s="291" t="s">
        <v>1031</v>
      </c>
      <c r="C544" s="292" t="s">
        <v>1032</v>
      </c>
      <c r="D544" s="292" t="s">
        <v>834</v>
      </c>
      <c r="E544" s="292"/>
      <c r="F544" s="293" t="s">
        <v>42</v>
      </c>
      <c r="G544" s="310" t="s">
        <v>43</v>
      </c>
      <c r="H544" s="311" t="s">
        <v>44</v>
      </c>
      <c r="I544" s="292" t="s">
        <v>1018</v>
      </c>
      <c r="J544" s="292" t="s">
        <v>15</v>
      </c>
      <c r="K544" s="303" t="s">
        <v>1019</v>
      </c>
    </row>
    <row r="545" spans="1:11" ht="12">
      <c r="A545" s="290">
        <v>7396</v>
      </c>
      <c r="B545" s="291" t="s">
        <v>1033</v>
      </c>
      <c r="C545" s="292" t="s">
        <v>1034</v>
      </c>
      <c r="D545" s="292" t="s">
        <v>98</v>
      </c>
      <c r="E545" s="292"/>
      <c r="F545" s="293" t="s">
        <v>42</v>
      </c>
      <c r="G545" s="310" t="s">
        <v>43</v>
      </c>
      <c r="H545" s="311" t="s">
        <v>44</v>
      </c>
      <c r="I545" s="292" t="s">
        <v>1018</v>
      </c>
      <c r="J545" s="292" t="s">
        <v>15</v>
      </c>
      <c r="K545" s="303" t="s">
        <v>1019</v>
      </c>
    </row>
    <row r="546" spans="1:11" ht="12">
      <c r="A546" s="290">
        <v>16972</v>
      </c>
      <c r="B546" s="291" t="s">
        <v>2023</v>
      </c>
      <c r="C546" s="292" t="s">
        <v>1035</v>
      </c>
      <c r="D546" s="292" t="s">
        <v>81</v>
      </c>
      <c r="E546" s="292"/>
      <c r="F546" s="293" t="s">
        <v>42</v>
      </c>
      <c r="G546" s="294" t="s">
        <v>43</v>
      </c>
      <c r="H546" s="295">
        <v>0</v>
      </c>
      <c r="I546" s="292" t="s">
        <v>1018</v>
      </c>
      <c r="J546" s="292" t="s">
        <v>15</v>
      </c>
      <c r="K546" s="303" t="s">
        <v>1019</v>
      </c>
    </row>
    <row r="547" spans="1:11" ht="12">
      <c r="A547" s="290">
        <v>25130</v>
      </c>
      <c r="B547" s="291" t="s">
        <v>1036</v>
      </c>
      <c r="C547" s="292" t="s">
        <v>1037</v>
      </c>
      <c r="D547" s="292" t="s">
        <v>644</v>
      </c>
      <c r="E547" s="292"/>
      <c r="F547" s="293" t="s">
        <v>42</v>
      </c>
      <c r="G547" s="310" t="s">
        <v>51</v>
      </c>
      <c r="H547" s="311" t="s">
        <v>65</v>
      </c>
      <c r="I547" s="292" t="s">
        <v>1038</v>
      </c>
      <c r="J547" s="292" t="s">
        <v>1039</v>
      </c>
      <c r="K547" s="303" t="s">
        <v>1040</v>
      </c>
    </row>
    <row r="548" spans="1:11" ht="12">
      <c r="A548" s="290">
        <v>7730</v>
      </c>
      <c r="B548" s="291" t="s">
        <v>1042</v>
      </c>
      <c r="C548" s="292" t="s">
        <v>1041</v>
      </c>
      <c r="D548" s="292" t="s">
        <v>60</v>
      </c>
      <c r="E548" s="292"/>
      <c r="F548" s="293" t="s">
        <v>42</v>
      </c>
      <c r="G548" s="310" t="s">
        <v>43</v>
      </c>
      <c r="H548" s="311" t="s">
        <v>179</v>
      </c>
      <c r="I548" s="292" t="s">
        <v>1038</v>
      </c>
      <c r="J548" s="292" t="s">
        <v>1039</v>
      </c>
      <c r="K548" s="303" t="s">
        <v>1040</v>
      </c>
    </row>
    <row r="549" spans="1:11" ht="12">
      <c r="A549" s="290">
        <v>25723</v>
      </c>
      <c r="B549" s="291" t="s">
        <v>1125</v>
      </c>
      <c r="C549" s="292" t="s">
        <v>1126</v>
      </c>
      <c r="D549" s="292" t="s">
        <v>142</v>
      </c>
      <c r="E549" s="292"/>
      <c r="F549" s="293" t="s">
        <v>42</v>
      </c>
      <c r="G549" s="310" t="s">
        <v>43</v>
      </c>
      <c r="H549" s="311" t="s">
        <v>179</v>
      </c>
      <c r="I549" s="292" t="s">
        <v>1038</v>
      </c>
      <c r="J549" s="292" t="s">
        <v>1039</v>
      </c>
      <c r="K549" s="303" t="s">
        <v>1040</v>
      </c>
    </row>
    <row r="550" spans="1:11" ht="12">
      <c r="A550" s="290">
        <v>38570</v>
      </c>
      <c r="B550" s="291" t="s">
        <v>1127</v>
      </c>
      <c r="C550" s="292" t="s">
        <v>1126</v>
      </c>
      <c r="D550" s="292" t="s">
        <v>569</v>
      </c>
      <c r="E550" s="292"/>
      <c r="F550" s="293" t="s">
        <v>42</v>
      </c>
      <c r="G550" s="310" t="s">
        <v>51</v>
      </c>
      <c r="H550" s="311" t="s">
        <v>50</v>
      </c>
      <c r="I550" s="292" t="s">
        <v>1038</v>
      </c>
      <c r="J550" s="292" t="s">
        <v>1039</v>
      </c>
      <c r="K550" s="303" t="s">
        <v>1040</v>
      </c>
    </row>
    <row r="551" spans="1:11" ht="12">
      <c r="A551" s="290">
        <v>25895</v>
      </c>
      <c r="B551" s="291" t="s">
        <v>2197</v>
      </c>
      <c r="C551" s="292" t="s">
        <v>2198</v>
      </c>
      <c r="D551" s="292" t="s">
        <v>60</v>
      </c>
      <c r="E551" s="292"/>
      <c r="F551" s="293" t="s">
        <v>42</v>
      </c>
      <c r="G551" s="310" t="s">
        <v>43</v>
      </c>
      <c r="H551" s="311" t="s">
        <v>44</v>
      </c>
      <c r="I551" s="292" t="s">
        <v>1038</v>
      </c>
      <c r="J551" s="292" t="s">
        <v>1039</v>
      </c>
      <c r="K551" s="303" t="s">
        <v>1040</v>
      </c>
    </row>
    <row r="552" spans="1:11" ht="12">
      <c r="A552" s="290">
        <v>7809</v>
      </c>
      <c r="B552" s="291" t="s">
        <v>1043</v>
      </c>
      <c r="C552" s="292" t="s">
        <v>1044</v>
      </c>
      <c r="D552" s="292" t="s">
        <v>86</v>
      </c>
      <c r="E552" s="292"/>
      <c r="F552" s="293" t="s">
        <v>42</v>
      </c>
      <c r="G552" s="310" t="s">
        <v>66</v>
      </c>
      <c r="H552" s="311"/>
      <c r="I552" s="292" t="s">
        <v>1038</v>
      </c>
      <c r="J552" s="292" t="s">
        <v>1039</v>
      </c>
      <c r="K552" s="303" t="s">
        <v>1040</v>
      </c>
    </row>
    <row r="553" spans="1:11" ht="12">
      <c r="A553" s="290">
        <v>38046</v>
      </c>
      <c r="B553" s="291" t="s">
        <v>1045</v>
      </c>
      <c r="C553" s="292" t="s">
        <v>1046</v>
      </c>
      <c r="D553" s="292" t="s">
        <v>121</v>
      </c>
      <c r="E553" s="292"/>
      <c r="F553" s="293" t="s">
        <v>42</v>
      </c>
      <c r="G553" s="310" t="s">
        <v>43</v>
      </c>
      <c r="H553" s="311" t="s">
        <v>179</v>
      </c>
      <c r="I553" s="292" t="s">
        <v>1038</v>
      </c>
      <c r="J553" s="292" t="s">
        <v>1039</v>
      </c>
      <c r="K553" s="303" t="s">
        <v>1040</v>
      </c>
    </row>
    <row r="554" spans="1:11" ht="12">
      <c r="A554" s="290">
        <v>7816</v>
      </c>
      <c r="B554" s="291" t="s">
        <v>1047</v>
      </c>
      <c r="C554" s="292" t="s">
        <v>1048</v>
      </c>
      <c r="D554" s="292" t="s">
        <v>58</v>
      </c>
      <c r="E554" s="292"/>
      <c r="F554" s="293" t="s">
        <v>42</v>
      </c>
      <c r="G554" s="310" t="s">
        <v>66</v>
      </c>
      <c r="H554" s="311" t="s">
        <v>44</v>
      </c>
      <c r="I554" s="292" t="s">
        <v>1038</v>
      </c>
      <c r="J554" s="292" t="s">
        <v>1039</v>
      </c>
      <c r="K554" s="303" t="s">
        <v>1040</v>
      </c>
    </row>
    <row r="555" spans="1:11" ht="12">
      <c r="A555" s="290">
        <v>7814</v>
      </c>
      <c r="B555" s="291" t="s">
        <v>1049</v>
      </c>
      <c r="C555" s="292" t="s">
        <v>1050</v>
      </c>
      <c r="D555" s="292" t="s">
        <v>644</v>
      </c>
      <c r="E555" s="292"/>
      <c r="F555" s="293" t="s">
        <v>42</v>
      </c>
      <c r="G555" s="310" t="s">
        <v>51</v>
      </c>
      <c r="H555" s="311"/>
      <c r="I555" s="292" t="s">
        <v>1038</v>
      </c>
      <c r="J555" s="292" t="s">
        <v>1039</v>
      </c>
      <c r="K555" s="303" t="s">
        <v>1040</v>
      </c>
    </row>
    <row r="556" spans="1:11" ht="12">
      <c r="A556" s="290">
        <v>38870</v>
      </c>
      <c r="B556" s="291" t="s">
        <v>2508</v>
      </c>
      <c r="C556" s="292" t="s">
        <v>121</v>
      </c>
      <c r="D556" s="292" t="s">
        <v>493</v>
      </c>
      <c r="E556" s="292"/>
      <c r="F556" s="293" t="s">
        <v>42</v>
      </c>
      <c r="G556" s="310" t="s">
        <v>43</v>
      </c>
      <c r="H556" s="311" t="s">
        <v>44</v>
      </c>
      <c r="I556" s="292" t="s">
        <v>1038</v>
      </c>
      <c r="J556" s="292" t="s">
        <v>1039</v>
      </c>
      <c r="K556" s="303" t="s">
        <v>1040</v>
      </c>
    </row>
    <row r="557" spans="1:11" ht="12">
      <c r="A557" s="290">
        <v>7810</v>
      </c>
      <c r="B557" s="291" t="s">
        <v>1051</v>
      </c>
      <c r="C557" s="292" t="s">
        <v>1052</v>
      </c>
      <c r="D557" s="292" t="s">
        <v>131</v>
      </c>
      <c r="E557" s="292"/>
      <c r="F557" s="293" t="s">
        <v>42</v>
      </c>
      <c r="G557" s="310" t="s">
        <v>43</v>
      </c>
      <c r="H557" s="311" t="s">
        <v>238</v>
      </c>
      <c r="I557" s="292" t="s">
        <v>1038</v>
      </c>
      <c r="J557" s="292" t="s">
        <v>1039</v>
      </c>
      <c r="K557" s="303" t="s">
        <v>1040</v>
      </c>
    </row>
    <row r="558" spans="1:11" ht="12">
      <c r="A558" s="290">
        <v>7820</v>
      </c>
      <c r="B558" s="291" t="s">
        <v>1053</v>
      </c>
      <c r="C558" s="292" t="s">
        <v>1054</v>
      </c>
      <c r="D558" s="292" t="s">
        <v>848</v>
      </c>
      <c r="E558" s="292"/>
      <c r="F558" s="293" t="s">
        <v>48</v>
      </c>
      <c r="G558" s="300" t="s">
        <v>49</v>
      </c>
      <c r="H558" s="301">
        <v>0</v>
      </c>
      <c r="I558" s="292" t="s">
        <v>1038</v>
      </c>
      <c r="J558" s="292" t="s">
        <v>1039</v>
      </c>
      <c r="K558" s="303" t="s">
        <v>1040</v>
      </c>
    </row>
    <row r="559" spans="1:11" ht="12">
      <c r="A559" s="290">
        <v>7854</v>
      </c>
      <c r="B559" s="291" t="s">
        <v>1055</v>
      </c>
      <c r="C559" s="292" t="s">
        <v>1056</v>
      </c>
      <c r="D559" s="292" t="s">
        <v>212</v>
      </c>
      <c r="E559" s="292"/>
      <c r="F559" s="293" t="s">
        <v>42</v>
      </c>
      <c r="G559" s="310" t="s">
        <v>66</v>
      </c>
      <c r="H559" s="311"/>
      <c r="I559" s="292" t="s">
        <v>1038</v>
      </c>
      <c r="J559" s="292" t="s">
        <v>1039</v>
      </c>
      <c r="K559" s="303" t="s">
        <v>1040</v>
      </c>
    </row>
    <row r="560" spans="1:11" ht="12">
      <c r="A560" s="290">
        <v>38038</v>
      </c>
      <c r="B560" s="291" t="s">
        <v>1057</v>
      </c>
      <c r="C560" s="292" t="s">
        <v>1058</v>
      </c>
      <c r="D560" s="292" t="s">
        <v>116</v>
      </c>
      <c r="E560" s="292"/>
      <c r="F560" s="293" t="s">
        <v>42</v>
      </c>
      <c r="G560" s="310" t="s">
        <v>51</v>
      </c>
      <c r="H560" s="311" t="s">
        <v>238</v>
      </c>
      <c r="I560" s="292" t="s">
        <v>1038</v>
      </c>
      <c r="J560" s="292" t="s">
        <v>1039</v>
      </c>
      <c r="K560" s="303" t="s">
        <v>1040</v>
      </c>
    </row>
    <row r="561" spans="1:17" ht="12">
      <c r="A561" s="290">
        <v>38869</v>
      </c>
      <c r="B561" s="291" t="s">
        <v>2509</v>
      </c>
      <c r="C561" s="292" t="s">
        <v>893</v>
      </c>
      <c r="D561" s="292" t="s">
        <v>1278</v>
      </c>
      <c r="E561" s="292"/>
      <c r="F561" s="293" t="s">
        <v>48</v>
      </c>
      <c r="G561" s="310" t="s">
        <v>138</v>
      </c>
      <c r="H561" s="311"/>
      <c r="I561" s="292" t="s">
        <v>1038</v>
      </c>
      <c r="J561" s="292" t="s">
        <v>1039</v>
      </c>
      <c r="K561" s="303" t="s">
        <v>1040</v>
      </c>
    </row>
    <row r="562" spans="1:17" ht="12">
      <c r="A562" s="290">
        <v>38571</v>
      </c>
      <c r="B562" s="291" t="s">
        <v>1059</v>
      </c>
      <c r="C562" s="292" t="s">
        <v>893</v>
      </c>
      <c r="D562" s="292" t="s">
        <v>1060</v>
      </c>
      <c r="E562" s="292"/>
      <c r="F562" s="293" t="s">
        <v>42</v>
      </c>
      <c r="G562" s="310" t="s">
        <v>43</v>
      </c>
      <c r="H562" s="311" t="s">
        <v>65</v>
      </c>
      <c r="I562" s="292" t="s">
        <v>1038</v>
      </c>
      <c r="J562" s="292" t="s">
        <v>1039</v>
      </c>
      <c r="K562" s="303" t="s">
        <v>1040</v>
      </c>
    </row>
    <row r="563" spans="1:17" ht="12">
      <c r="A563" s="290">
        <v>7884</v>
      </c>
      <c r="B563" s="291" t="s">
        <v>1142</v>
      </c>
      <c r="C563" s="292" t="s">
        <v>1</v>
      </c>
      <c r="D563" s="292" t="s">
        <v>106</v>
      </c>
      <c r="E563" s="292"/>
      <c r="F563" s="293" t="s">
        <v>42</v>
      </c>
      <c r="G563" s="310" t="s">
        <v>66</v>
      </c>
      <c r="H563" s="311" t="s">
        <v>179</v>
      </c>
      <c r="I563" s="297" t="s">
        <v>1038</v>
      </c>
      <c r="J563" s="292" t="s">
        <v>1039</v>
      </c>
      <c r="K563" s="303" t="s">
        <v>1040</v>
      </c>
    </row>
    <row r="564" spans="1:17" ht="12">
      <c r="A564" s="290">
        <v>7849</v>
      </c>
      <c r="B564" s="291" t="s">
        <v>1061</v>
      </c>
      <c r="C564" s="292" t="s">
        <v>1062</v>
      </c>
      <c r="D564" s="292" t="s">
        <v>1063</v>
      </c>
      <c r="E564" s="292"/>
      <c r="F564" s="293" t="s">
        <v>42</v>
      </c>
      <c r="G564" s="310" t="s">
        <v>66</v>
      </c>
      <c r="H564" s="311" t="s">
        <v>44</v>
      </c>
      <c r="I564" s="292" t="s">
        <v>1038</v>
      </c>
      <c r="J564" s="292" t="s">
        <v>1039</v>
      </c>
      <c r="K564" s="303" t="s">
        <v>1040</v>
      </c>
    </row>
    <row r="565" spans="1:17" ht="12">
      <c r="A565" s="290">
        <v>7880</v>
      </c>
      <c r="B565" s="291" t="s">
        <v>1905</v>
      </c>
      <c r="C565" s="292" t="s">
        <v>174</v>
      </c>
      <c r="D565" s="292" t="s">
        <v>86</v>
      </c>
      <c r="E565" s="292"/>
      <c r="F565" s="293" t="s">
        <v>42</v>
      </c>
      <c r="G565" s="310" t="s">
        <v>66</v>
      </c>
      <c r="H565" s="311" t="s">
        <v>179</v>
      </c>
      <c r="I565" s="292" t="s">
        <v>1038</v>
      </c>
      <c r="J565" s="292" t="s">
        <v>1039</v>
      </c>
      <c r="K565" s="303" t="s">
        <v>1040</v>
      </c>
      <c r="L565" s="26"/>
      <c r="M565" s="26"/>
      <c r="N565" s="26"/>
      <c r="Q565" s="30"/>
    </row>
    <row r="566" spans="1:17" ht="12">
      <c r="A566" s="290">
        <v>7813</v>
      </c>
      <c r="B566" s="291" t="s">
        <v>1064</v>
      </c>
      <c r="C566" s="292" t="s">
        <v>1065</v>
      </c>
      <c r="D566" s="292" t="s">
        <v>72</v>
      </c>
      <c r="E566" s="292"/>
      <c r="F566" s="293" t="s">
        <v>42</v>
      </c>
      <c r="G566" s="310" t="s">
        <v>51</v>
      </c>
      <c r="H566" s="311" t="s">
        <v>179</v>
      </c>
      <c r="I566" s="292" t="s">
        <v>1038</v>
      </c>
      <c r="J566" s="292" t="s">
        <v>1039</v>
      </c>
      <c r="K566" s="303" t="s">
        <v>1040</v>
      </c>
      <c r="L566" s="26"/>
      <c r="M566" s="26"/>
      <c r="N566" s="26"/>
      <c r="Q566" s="30"/>
    </row>
    <row r="567" spans="1:17" ht="12">
      <c r="A567" s="290">
        <v>38260</v>
      </c>
      <c r="B567" s="291" t="s">
        <v>1066</v>
      </c>
      <c r="C567" s="292" t="s">
        <v>892</v>
      </c>
      <c r="D567" s="292" t="s">
        <v>991</v>
      </c>
      <c r="E567" s="292"/>
      <c r="F567" s="293" t="s">
        <v>42</v>
      </c>
      <c r="G567" s="310" t="s">
        <v>43</v>
      </c>
      <c r="H567" s="311" t="s">
        <v>44</v>
      </c>
      <c r="I567" s="292" t="s">
        <v>1038</v>
      </c>
      <c r="J567" s="292" t="s">
        <v>1039</v>
      </c>
      <c r="K567" s="303" t="s">
        <v>1040</v>
      </c>
      <c r="L567" s="26"/>
      <c r="M567" s="26"/>
      <c r="N567" s="26"/>
      <c r="Q567" s="30"/>
    </row>
    <row r="568" spans="1:17" ht="12">
      <c r="A568" s="290">
        <v>25315</v>
      </c>
      <c r="B568" s="291" t="s">
        <v>1906</v>
      </c>
      <c r="C568" s="292" t="s">
        <v>1907</v>
      </c>
      <c r="D568" s="292" t="s">
        <v>1205</v>
      </c>
      <c r="E568" s="292"/>
      <c r="F568" s="293" t="s">
        <v>42</v>
      </c>
      <c r="G568" s="292" t="s">
        <v>57</v>
      </c>
      <c r="H568" s="293">
        <v>0</v>
      </c>
      <c r="I568" s="292" t="s">
        <v>1069</v>
      </c>
      <c r="J568" s="292" t="s">
        <v>1039</v>
      </c>
      <c r="K568" s="303" t="s">
        <v>1040</v>
      </c>
      <c r="L568" s="26"/>
      <c r="M568" s="26"/>
      <c r="N568" s="26"/>
      <c r="Q568" s="30"/>
    </row>
    <row r="569" spans="1:17" ht="12">
      <c r="A569" s="290">
        <v>16007</v>
      </c>
      <c r="B569" s="291" t="s">
        <v>1067</v>
      </c>
      <c r="C569" s="292" t="s">
        <v>1068</v>
      </c>
      <c r="D569" s="292" t="s">
        <v>86</v>
      </c>
      <c r="E569" s="292"/>
      <c r="F569" s="293" t="s">
        <v>42</v>
      </c>
      <c r="G569" s="310" t="s">
        <v>43</v>
      </c>
      <c r="H569" s="311" t="s">
        <v>179</v>
      </c>
      <c r="I569" s="292" t="s">
        <v>1069</v>
      </c>
      <c r="J569" s="292" t="s">
        <v>1039</v>
      </c>
      <c r="K569" s="303" t="s">
        <v>1040</v>
      </c>
      <c r="L569" s="26"/>
      <c r="M569" s="26"/>
      <c r="N569" s="26"/>
      <c r="Q569" s="30"/>
    </row>
    <row r="570" spans="1:17" ht="12">
      <c r="A570" s="290">
        <v>7901</v>
      </c>
      <c r="B570" s="291" t="s">
        <v>1070</v>
      </c>
      <c r="C570" s="292" t="s">
        <v>1071</v>
      </c>
      <c r="D570" s="292" t="s">
        <v>1072</v>
      </c>
      <c r="E570" s="292"/>
      <c r="F570" s="293" t="s">
        <v>42</v>
      </c>
      <c r="G570" s="310" t="s">
        <v>51</v>
      </c>
      <c r="H570" s="311" t="s">
        <v>44</v>
      </c>
      <c r="I570" s="292" t="s">
        <v>1069</v>
      </c>
      <c r="J570" s="292" t="s">
        <v>1039</v>
      </c>
      <c r="K570" s="303" t="s">
        <v>1040</v>
      </c>
      <c r="L570" s="26"/>
      <c r="M570" s="26"/>
      <c r="N570" s="26"/>
      <c r="Q570" s="30"/>
    </row>
    <row r="571" spans="1:17" ht="12">
      <c r="A571" s="290">
        <v>7830</v>
      </c>
      <c r="B571" s="291" t="s">
        <v>1073</v>
      </c>
      <c r="C571" s="292" t="s">
        <v>1074</v>
      </c>
      <c r="D571" s="292" t="s">
        <v>1075</v>
      </c>
      <c r="E571" s="292"/>
      <c r="F571" s="293" t="s">
        <v>42</v>
      </c>
      <c r="G571" s="310" t="s">
        <v>66</v>
      </c>
      <c r="H571" s="311" t="s">
        <v>179</v>
      </c>
      <c r="I571" s="292" t="s">
        <v>1069</v>
      </c>
      <c r="J571" s="292" t="s">
        <v>1039</v>
      </c>
      <c r="K571" s="303" t="s">
        <v>1040</v>
      </c>
      <c r="L571" s="26"/>
      <c r="M571" s="26"/>
      <c r="N571" s="26"/>
      <c r="Q571" s="30"/>
    </row>
    <row r="572" spans="1:17" ht="12">
      <c r="A572" s="290">
        <v>25764</v>
      </c>
      <c r="B572" s="291" t="s">
        <v>1076</v>
      </c>
      <c r="C572" s="292" t="s">
        <v>1021</v>
      </c>
      <c r="D572" s="292" t="s">
        <v>182</v>
      </c>
      <c r="E572" s="292"/>
      <c r="F572" s="293" t="s">
        <v>42</v>
      </c>
      <c r="G572" s="310" t="s">
        <v>51</v>
      </c>
      <c r="H572" s="311" t="s">
        <v>65</v>
      </c>
      <c r="I572" s="292" t="s">
        <v>1069</v>
      </c>
      <c r="J572" s="292" t="s">
        <v>1039</v>
      </c>
      <c r="K572" s="303" t="s">
        <v>1040</v>
      </c>
      <c r="L572" s="26"/>
      <c r="M572" s="26"/>
      <c r="N572" s="26"/>
      <c r="Q572" s="30"/>
    </row>
    <row r="573" spans="1:17" ht="12">
      <c r="A573" s="290">
        <v>38763</v>
      </c>
      <c r="B573" s="291" t="s">
        <v>1990</v>
      </c>
      <c r="C573" s="292" t="s">
        <v>1991</v>
      </c>
      <c r="D573" s="292" t="s">
        <v>72</v>
      </c>
      <c r="E573" s="292"/>
      <c r="F573" s="293" t="s">
        <v>42</v>
      </c>
      <c r="G573" s="310" t="s">
        <v>43</v>
      </c>
      <c r="H573" s="311" t="s">
        <v>50</v>
      </c>
      <c r="I573" s="292" t="s">
        <v>1069</v>
      </c>
      <c r="J573" s="292" t="s">
        <v>1039</v>
      </c>
      <c r="K573" s="303" t="s">
        <v>1040</v>
      </c>
      <c r="L573" s="26"/>
      <c r="M573" s="26"/>
      <c r="N573" s="26"/>
      <c r="Q573" s="30"/>
    </row>
    <row r="574" spans="1:17" ht="12">
      <c r="A574" s="290">
        <v>25271</v>
      </c>
      <c r="B574" s="291" t="s">
        <v>1077</v>
      </c>
      <c r="C574" s="292" t="s">
        <v>1078</v>
      </c>
      <c r="D574" s="292" t="s">
        <v>402</v>
      </c>
      <c r="E574" s="292"/>
      <c r="F574" s="293" t="s">
        <v>42</v>
      </c>
      <c r="G574" s="310" t="s">
        <v>66</v>
      </c>
      <c r="H574" s="311" t="s">
        <v>238</v>
      </c>
      <c r="I574" s="292" t="s">
        <v>1069</v>
      </c>
      <c r="J574" s="292" t="s">
        <v>1039</v>
      </c>
      <c r="K574" s="303" t="s">
        <v>1040</v>
      </c>
      <c r="L574" s="26"/>
      <c r="M574" s="26"/>
      <c r="N574" s="26"/>
      <c r="Q574" s="30"/>
    </row>
    <row r="575" spans="1:17" ht="12">
      <c r="A575" s="290">
        <v>25865</v>
      </c>
      <c r="B575" s="291" t="s">
        <v>1079</v>
      </c>
      <c r="C575" s="292" t="s">
        <v>1080</v>
      </c>
      <c r="D575" s="292" t="s">
        <v>1081</v>
      </c>
      <c r="E575" s="292"/>
      <c r="F575" s="293" t="s">
        <v>42</v>
      </c>
      <c r="G575" s="310" t="s">
        <v>43</v>
      </c>
      <c r="H575" s="311" t="s">
        <v>179</v>
      </c>
      <c r="I575" s="292" t="s">
        <v>1069</v>
      </c>
      <c r="J575" s="292" t="s">
        <v>1039</v>
      </c>
      <c r="K575" s="303" t="s">
        <v>1040</v>
      </c>
      <c r="L575" s="26"/>
      <c r="M575" s="26"/>
      <c r="N575" s="26"/>
      <c r="Q575" s="30"/>
    </row>
    <row r="576" spans="1:17" ht="12">
      <c r="A576" s="290">
        <v>16967</v>
      </c>
      <c r="B576" s="291" t="s">
        <v>1082</v>
      </c>
      <c r="C576" s="297" t="s">
        <v>1083</v>
      </c>
      <c r="D576" s="297" t="s">
        <v>587</v>
      </c>
      <c r="E576" s="297" t="s">
        <v>2103</v>
      </c>
      <c r="F576" s="293" t="s">
        <v>42</v>
      </c>
      <c r="G576" s="310" t="s">
        <v>66</v>
      </c>
      <c r="H576" s="311"/>
      <c r="I576" s="297" t="s">
        <v>1069</v>
      </c>
      <c r="J576" s="297" t="s">
        <v>1039</v>
      </c>
      <c r="K576" s="303" t="s">
        <v>1040</v>
      </c>
      <c r="L576" s="26"/>
      <c r="M576" s="26"/>
      <c r="N576" s="26"/>
      <c r="Q576" s="30"/>
    </row>
    <row r="577" spans="1:17" ht="12">
      <c r="A577" s="290">
        <v>38883</v>
      </c>
      <c r="B577" s="291" t="s">
        <v>2510</v>
      </c>
      <c r="C577" s="292" t="s">
        <v>2511</v>
      </c>
      <c r="D577" s="292" t="s">
        <v>2512</v>
      </c>
      <c r="E577" s="292"/>
      <c r="F577" s="293" t="s">
        <v>42</v>
      </c>
      <c r="G577" s="310" t="s">
        <v>43</v>
      </c>
      <c r="H577" s="311" t="s">
        <v>50</v>
      </c>
      <c r="I577" s="292" t="s">
        <v>1069</v>
      </c>
      <c r="J577" s="292" t="s">
        <v>1039</v>
      </c>
      <c r="K577" s="303" t="s">
        <v>1040</v>
      </c>
      <c r="L577" s="26"/>
      <c r="M577" s="26"/>
      <c r="N577" s="26"/>
      <c r="Q577" s="30"/>
    </row>
    <row r="578" spans="1:17" ht="12">
      <c r="A578" s="290">
        <v>38025</v>
      </c>
      <c r="B578" s="291" t="s">
        <v>1135</v>
      </c>
      <c r="C578" s="292" t="s">
        <v>1136</v>
      </c>
      <c r="D578" s="292" t="s">
        <v>81</v>
      </c>
      <c r="E578" s="292"/>
      <c r="F578" s="293" t="s">
        <v>42</v>
      </c>
      <c r="G578" s="310" t="s">
        <v>93</v>
      </c>
      <c r="H578" s="311" t="s">
        <v>238</v>
      </c>
      <c r="I578" s="292" t="s">
        <v>1069</v>
      </c>
      <c r="J578" s="292" t="s">
        <v>1039</v>
      </c>
      <c r="K578" s="303" t="s">
        <v>1040</v>
      </c>
      <c r="L578" s="26"/>
      <c r="M578" s="26"/>
      <c r="N578" s="26"/>
      <c r="Q578" s="30"/>
    </row>
    <row r="579" spans="1:17" ht="12">
      <c r="A579" s="290">
        <v>38418</v>
      </c>
      <c r="B579" s="291" t="s">
        <v>1084</v>
      </c>
      <c r="C579" s="292" t="s">
        <v>1085</v>
      </c>
      <c r="D579" s="292" t="s">
        <v>1086</v>
      </c>
      <c r="E579" s="292"/>
      <c r="F579" s="293" t="s">
        <v>42</v>
      </c>
      <c r="G579" s="294" t="s">
        <v>51</v>
      </c>
      <c r="H579" s="295">
        <v>0</v>
      </c>
      <c r="I579" s="292" t="s">
        <v>1069</v>
      </c>
      <c r="J579" s="292" t="s">
        <v>1039</v>
      </c>
      <c r="K579" s="303" t="s">
        <v>1040</v>
      </c>
      <c r="L579" s="26"/>
      <c r="M579" s="26"/>
      <c r="N579" s="26"/>
      <c r="Q579" s="30"/>
    </row>
    <row r="580" spans="1:17" ht="12">
      <c r="A580" s="290">
        <v>25592</v>
      </c>
      <c r="B580" s="291" t="s">
        <v>1908</v>
      </c>
      <c r="C580" s="292" t="s">
        <v>1585</v>
      </c>
      <c r="D580" s="292" t="s">
        <v>96</v>
      </c>
      <c r="E580" s="292"/>
      <c r="F580" s="293" t="s">
        <v>42</v>
      </c>
      <c r="G580" s="307" t="s">
        <v>66</v>
      </c>
      <c r="H580" s="308">
        <v>0</v>
      </c>
      <c r="I580" s="292" t="s">
        <v>1069</v>
      </c>
      <c r="J580" s="292" t="s">
        <v>1039</v>
      </c>
      <c r="K580" s="303" t="s">
        <v>1040</v>
      </c>
    </row>
    <row r="581" spans="1:17" ht="12">
      <c r="A581" s="290">
        <v>25949</v>
      </c>
      <c r="B581" s="291" t="s">
        <v>2024</v>
      </c>
      <c r="C581" s="292" t="s">
        <v>668</v>
      </c>
      <c r="D581" s="292" t="s">
        <v>131</v>
      </c>
      <c r="E581" s="292"/>
      <c r="F581" s="293" t="s">
        <v>42</v>
      </c>
      <c r="G581" s="310" t="s">
        <v>43</v>
      </c>
      <c r="H581" s="311" t="s">
        <v>179</v>
      </c>
      <c r="I581" s="292" t="s">
        <v>1069</v>
      </c>
      <c r="J581" s="292" t="s">
        <v>1039</v>
      </c>
      <c r="K581" s="303" t="s">
        <v>1040</v>
      </c>
    </row>
    <row r="582" spans="1:17" ht="12">
      <c r="A582" s="290">
        <v>25604</v>
      </c>
      <c r="B582" s="291" t="s">
        <v>2513</v>
      </c>
      <c r="C582" s="292" t="s">
        <v>2514</v>
      </c>
      <c r="D582" s="292" t="s">
        <v>687</v>
      </c>
      <c r="E582" s="292"/>
      <c r="F582" s="293" t="s">
        <v>42</v>
      </c>
      <c r="G582" s="310" t="s">
        <v>43</v>
      </c>
      <c r="H582" s="311" t="s">
        <v>179</v>
      </c>
      <c r="I582" s="292" t="s">
        <v>1069</v>
      </c>
      <c r="J582" s="292" t="s">
        <v>1039</v>
      </c>
      <c r="K582" s="303" t="s">
        <v>1040</v>
      </c>
      <c r="L582" s="26"/>
      <c r="M582" s="26"/>
      <c r="N582" s="26"/>
      <c r="Q582" s="30"/>
    </row>
    <row r="583" spans="1:17" ht="12">
      <c r="A583" s="290">
        <v>25725</v>
      </c>
      <c r="B583" s="291" t="s">
        <v>1087</v>
      </c>
      <c r="C583" s="292" t="s">
        <v>1088</v>
      </c>
      <c r="D583" s="292" t="s">
        <v>1089</v>
      </c>
      <c r="E583" s="292"/>
      <c r="F583" s="293" t="s">
        <v>42</v>
      </c>
      <c r="G583" s="294" t="s">
        <v>43</v>
      </c>
      <c r="H583" s="295">
        <v>0</v>
      </c>
      <c r="I583" s="292" t="s">
        <v>1069</v>
      </c>
      <c r="J583" s="292" t="s">
        <v>1039</v>
      </c>
      <c r="K583" s="303" t="s">
        <v>1040</v>
      </c>
    </row>
    <row r="584" spans="1:17" ht="12">
      <c r="A584" s="290">
        <v>25804</v>
      </c>
      <c r="B584" s="291" t="s">
        <v>1090</v>
      </c>
      <c r="C584" s="292" t="s">
        <v>1091</v>
      </c>
      <c r="D584" s="292" t="s">
        <v>983</v>
      </c>
      <c r="E584" s="292"/>
      <c r="F584" s="293" t="s">
        <v>42</v>
      </c>
      <c r="G584" s="310" t="s">
        <v>51</v>
      </c>
      <c r="H584" s="311"/>
      <c r="I584" s="292" t="s">
        <v>1069</v>
      </c>
      <c r="J584" s="292" t="s">
        <v>1039</v>
      </c>
      <c r="K584" s="303" t="s">
        <v>1040</v>
      </c>
      <c r="L584" s="26"/>
      <c r="M584" s="26"/>
      <c r="N584" s="26"/>
      <c r="Q584" s="30"/>
    </row>
    <row r="585" spans="1:17" ht="12">
      <c r="A585" s="290">
        <v>38803</v>
      </c>
      <c r="B585" s="291" t="s">
        <v>2199</v>
      </c>
      <c r="C585" s="292" t="s">
        <v>2200</v>
      </c>
      <c r="D585" s="292" t="s">
        <v>2201</v>
      </c>
      <c r="E585" s="292"/>
      <c r="F585" s="293" t="s">
        <v>42</v>
      </c>
      <c r="G585" s="310" t="s">
        <v>43</v>
      </c>
      <c r="H585" s="311" t="s">
        <v>44</v>
      </c>
      <c r="I585" s="292" t="s">
        <v>1069</v>
      </c>
      <c r="J585" s="292" t="s">
        <v>1039</v>
      </c>
      <c r="K585" s="303" t="s">
        <v>1040</v>
      </c>
    </row>
    <row r="586" spans="1:17" ht="12">
      <c r="A586" s="290">
        <v>38258</v>
      </c>
      <c r="B586" s="291" t="s">
        <v>1092</v>
      </c>
      <c r="C586" s="292" t="s">
        <v>352</v>
      </c>
      <c r="D586" s="292" t="s">
        <v>689</v>
      </c>
      <c r="E586" s="292"/>
      <c r="F586" s="293" t="s">
        <v>48</v>
      </c>
      <c r="G586" s="310" t="s">
        <v>138</v>
      </c>
      <c r="H586" s="311" t="s">
        <v>44</v>
      </c>
      <c r="I586" s="292" t="s">
        <v>1093</v>
      </c>
      <c r="J586" s="292" t="s">
        <v>1039</v>
      </c>
      <c r="K586" s="303" t="s">
        <v>1040</v>
      </c>
    </row>
    <row r="587" spans="1:17" ht="12">
      <c r="A587" s="290">
        <v>25798</v>
      </c>
      <c r="B587" s="291" t="s">
        <v>927</v>
      </c>
      <c r="C587" s="292" t="s">
        <v>928</v>
      </c>
      <c r="D587" s="292" t="s">
        <v>929</v>
      </c>
      <c r="E587" s="292"/>
      <c r="F587" s="293" t="s">
        <v>48</v>
      </c>
      <c r="G587" s="310" t="s">
        <v>138</v>
      </c>
      <c r="H587" s="311" t="s">
        <v>65</v>
      </c>
      <c r="I587" s="292" t="s">
        <v>1093</v>
      </c>
      <c r="J587" s="292" t="s">
        <v>1039</v>
      </c>
      <c r="K587" s="303" t="s">
        <v>1040</v>
      </c>
    </row>
    <row r="588" spans="1:17" ht="12">
      <c r="A588" s="290">
        <v>25751</v>
      </c>
      <c r="B588" s="291" t="s">
        <v>1094</v>
      </c>
      <c r="C588" s="297" t="s">
        <v>249</v>
      </c>
      <c r="D588" s="297" t="s">
        <v>1095</v>
      </c>
      <c r="E588" s="297" t="s">
        <v>2103</v>
      </c>
      <c r="F588" s="293" t="s">
        <v>48</v>
      </c>
      <c r="G588" s="310" t="s">
        <v>78</v>
      </c>
      <c r="H588" s="311" t="s">
        <v>179</v>
      </c>
      <c r="I588" s="297" t="s">
        <v>1093</v>
      </c>
      <c r="J588" s="297" t="s">
        <v>1039</v>
      </c>
      <c r="K588" s="303" t="s">
        <v>1040</v>
      </c>
    </row>
    <row r="589" spans="1:17" ht="12">
      <c r="A589" s="290">
        <v>7903</v>
      </c>
      <c r="B589" s="291" t="s">
        <v>1096</v>
      </c>
      <c r="C589" s="297" t="s">
        <v>1</v>
      </c>
      <c r="D589" s="297" t="s">
        <v>1097</v>
      </c>
      <c r="E589" s="297" t="s">
        <v>2103</v>
      </c>
      <c r="F589" s="293" t="s">
        <v>48</v>
      </c>
      <c r="G589" s="310" t="s">
        <v>138</v>
      </c>
      <c r="H589" s="311" t="s">
        <v>44</v>
      </c>
      <c r="I589" s="297" t="s">
        <v>1093</v>
      </c>
      <c r="J589" s="297" t="s">
        <v>1039</v>
      </c>
      <c r="K589" s="303" t="s">
        <v>1040</v>
      </c>
    </row>
    <row r="590" spans="1:17" ht="12">
      <c r="A590" s="290">
        <v>16170</v>
      </c>
      <c r="B590" s="291" t="s">
        <v>1098</v>
      </c>
      <c r="C590" s="292" t="s">
        <v>1099</v>
      </c>
      <c r="D590" s="292" t="s">
        <v>1100</v>
      </c>
      <c r="E590" s="292"/>
      <c r="F590" s="293" t="s">
        <v>48</v>
      </c>
      <c r="G590" s="310" t="s">
        <v>78</v>
      </c>
      <c r="H590" s="311" t="s">
        <v>179</v>
      </c>
      <c r="I590" s="292" t="s">
        <v>1093</v>
      </c>
      <c r="J590" s="292" t="s">
        <v>1039</v>
      </c>
      <c r="K590" s="303" t="s">
        <v>1040</v>
      </c>
    </row>
    <row r="591" spans="1:17" ht="12">
      <c r="A591" s="290">
        <v>7889</v>
      </c>
      <c r="B591" s="291" t="s">
        <v>1101</v>
      </c>
      <c r="C591" s="297" t="s">
        <v>1102</v>
      </c>
      <c r="D591" s="297" t="s">
        <v>613</v>
      </c>
      <c r="E591" s="297" t="s">
        <v>2103</v>
      </c>
      <c r="F591" s="293" t="s">
        <v>48</v>
      </c>
      <c r="G591" s="310" t="s">
        <v>49</v>
      </c>
      <c r="H591" s="311" t="s">
        <v>65</v>
      </c>
      <c r="I591" s="297" t="s">
        <v>1093</v>
      </c>
      <c r="J591" s="297" t="s">
        <v>1039</v>
      </c>
      <c r="K591" s="303" t="s">
        <v>1040</v>
      </c>
    </row>
    <row r="592" spans="1:17" ht="12">
      <c r="A592" s="290">
        <v>25549</v>
      </c>
      <c r="B592" s="291" t="s">
        <v>1130</v>
      </c>
      <c r="C592" s="292" t="s">
        <v>905</v>
      </c>
      <c r="D592" s="292" t="s">
        <v>644</v>
      </c>
      <c r="E592" s="292"/>
      <c r="F592" s="293" t="s">
        <v>42</v>
      </c>
      <c r="G592" s="310" t="s">
        <v>51</v>
      </c>
      <c r="H592" s="311" t="s">
        <v>65</v>
      </c>
      <c r="I592" s="292" t="s">
        <v>254</v>
      </c>
      <c r="J592" s="292" t="s">
        <v>1039</v>
      </c>
      <c r="K592" s="303" t="s">
        <v>1040</v>
      </c>
    </row>
    <row r="593" spans="1:17" ht="12">
      <c r="A593" s="290">
        <v>38049</v>
      </c>
      <c r="B593" s="291" t="s">
        <v>1105</v>
      </c>
      <c r="C593" s="292" t="s">
        <v>1106</v>
      </c>
      <c r="D593" s="292" t="s">
        <v>1107</v>
      </c>
      <c r="E593" s="292"/>
      <c r="F593" s="293" t="s">
        <v>48</v>
      </c>
      <c r="G593" s="310" t="s">
        <v>339</v>
      </c>
      <c r="H593" s="311" t="s">
        <v>238</v>
      </c>
      <c r="I593" s="292" t="s">
        <v>1108</v>
      </c>
      <c r="J593" s="292" t="s">
        <v>1039</v>
      </c>
      <c r="K593" s="303" t="s">
        <v>1040</v>
      </c>
    </row>
    <row r="594" spans="1:17" ht="12">
      <c r="A594" s="290">
        <v>25381</v>
      </c>
      <c r="B594" s="291" t="s">
        <v>1109</v>
      </c>
      <c r="C594" s="292" t="s">
        <v>1106</v>
      </c>
      <c r="D594" s="292" t="s">
        <v>1110</v>
      </c>
      <c r="E594" s="292"/>
      <c r="F594" s="293" t="s">
        <v>48</v>
      </c>
      <c r="G594" s="310" t="s">
        <v>138</v>
      </c>
      <c r="H594" s="311" t="s">
        <v>179</v>
      </c>
      <c r="I594" s="292" t="s">
        <v>1108</v>
      </c>
      <c r="J594" s="292" t="s">
        <v>1039</v>
      </c>
      <c r="K594" s="303" t="s">
        <v>1040</v>
      </c>
    </row>
    <row r="595" spans="1:17" ht="12">
      <c r="A595" s="290">
        <v>34400</v>
      </c>
      <c r="B595" s="291" t="s">
        <v>1111</v>
      </c>
      <c r="C595" s="292" t="s">
        <v>2202</v>
      </c>
      <c r="D595" s="292" t="s">
        <v>1112</v>
      </c>
      <c r="E595" s="292" t="s">
        <v>746</v>
      </c>
      <c r="F595" s="293" t="s">
        <v>48</v>
      </c>
      <c r="G595" s="310" t="s">
        <v>78</v>
      </c>
      <c r="H595" s="311" t="s">
        <v>50</v>
      </c>
      <c r="I595" s="292" t="s">
        <v>1108</v>
      </c>
      <c r="J595" s="292" t="s">
        <v>1039</v>
      </c>
      <c r="K595" s="303" t="s">
        <v>1040</v>
      </c>
    </row>
    <row r="596" spans="1:17" ht="12">
      <c r="A596" s="290">
        <v>7445</v>
      </c>
      <c r="B596" s="291" t="s">
        <v>1114</v>
      </c>
      <c r="C596" s="292" t="s">
        <v>1115</v>
      </c>
      <c r="D596" s="292" t="s">
        <v>1095</v>
      </c>
      <c r="E596" s="292"/>
      <c r="F596" s="293" t="s">
        <v>48</v>
      </c>
      <c r="G596" s="310" t="s">
        <v>78</v>
      </c>
      <c r="H596" s="311" t="s">
        <v>238</v>
      </c>
      <c r="I596" s="292" t="s">
        <v>1108</v>
      </c>
      <c r="J596" s="292" t="s">
        <v>1039</v>
      </c>
      <c r="K596" s="303" t="s">
        <v>1040</v>
      </c>
    </row>
    <row r="597" spans="1:17">
      <c r="A597" s="312">
        <v>8843</v>
      </c>
      <c r="B597" s="313" t="s">
        <v>2515</v>
      </c>
      <c r="C597" s="314" t="s">
        <v>2516</v>
      </c>
      <c r="D597" s="314" t="s">
        <v>2517</v>
      </c>
      <c r="E597" s="314"/>
      <c r="F597" s="315" t="s">
        <v>48</v>
      </c>
      <c r="G597" s="317" t="s">
        <v>78</v>
      </c>
      <c r="H597" s="318" t="s">
        <v>238</v>
      </c>
      <c r="I597" s="314" t="s">
        <v>1108</v>
      </c>
      <c r="J597" s="314" t="s">
        <v>1039</v>
      </c>
      <c r="K597" s="303" t="s">
        <v>1040</v>
      </c>
    </row>
    <row r="598" spans="1:17" ht="12">
      <c r="A598" s="290">
        <v>13855</v>
      </c>
      <c r="B598" s="291" t="s">
        <v>1116</v>
      </c>
      <c r="C598" s="292" t="s">
        <v>1117</v>
      </c>
      <c r="D598" s="292" t="s">
        <v>1118</v>
      </c>
      <c r="E598" s="292"/>
      <c r="F598" s="293" t="s">
        <v>48</v>
      </c>
      <c r="G598" s="294" t="s">
        <v>78</v>
      </c>
      <c r="H598" s="295">
        <v>0</v>
      </c>
      <c r="I598" s="292" t="s">
        <v>1108</v>
      </c>
      <c r="J598" s="292" t="s">
        <v>1039</v>
      </c>
      <c r="K598" s="303" t="s">
        <v>1040</v>
      </c>
    </row>
    <row r="599" spans="1:17" ht="12">
      <c r="A599" s="290">
        <v>7827</v>
      </c>
      <c r="B599" s="291" t="s">
        <v>1119</v>
      </c>
      <c r="C599" s="292" t="s">
        <v>1120</v>
      </c>
      <c r="D599" s="292" t="s">
        <v>475</v>
      </c>
      <c r="E599" s="292"/>
      <c r="F599" s="293" t="s">
        <v>48</v>
      </c>
      <c r="G599" s="310" t="s">
        <v>78</v>
      </c>
      <c r="H599" s="311" t="s">
        <v>65</v>
      </c>
      <c r="I599" s="292" t="s">
        <v>1108</v>
      </c>
      <c r="J599" s="292" t="s">
        <v>1039</v>
      </c>
      <c r="K599" s="303" t="s">
        <v>1040</v>
      </c>
      <c r="L599" s="26"/>
      <c r="M599" s="26"/>
      <c r="N599" s="26"/>
      <c r="Q599" s="30"/>
    </row>
    <row r="600" spans="1:17">
      <c r="A600" s="312">
        <v>27004</v>
      </c>
      <c r="B600" s="313" t="s">
        <v>2518</v>
      </c>
      <c r="C600" s="314" t="s">
        <v>1660</v>
      </c>
      <c r="D600" s="314" t="s">
        <v>720</v>
      </c>
      <c r="E600" s="314"/>
      <c r="F600" s="315" t="s">
        <v>48</v>
      </c>
      <c r="G600" s="319" t="s">
        <v>78</v>
      </c>
      <c r="H600" s="316" t="s">
        <v>179</v>
      </c>
      <c r="I600" s="314" t="s">
        <v>1108</v>
      </c>
      <c r="J600" s="314" t="s">
        <v>1039</v>
      </c>
      <c r="K600" s="303" t="s">
        <v>1040</v>
      </c>
    </row>
    <row r="601" spans="1:17" ht="12">
      <c r="A601" s="290">
        <v>7886</v>
      </c>
      <c r="B601" s="291" t="s">
        <v>1123</v>
      </c>
      <c r="C601" s="292" t="s">
        <v>1124</v>
      </c>
      <c r="D601" s="292" t="s">
        <v>194</v>
      </c>
      <c r="E601" s="292"/>
      <c r="F601" s="293" t="s">
        <v>42</v>
      </c>
      <c r="G601" s="310" t="s">
        <v>43</v>
      </c>
      <c r="H601" s="311" t="s">
        <v>179</v>
      </c>
      <c r="I601" s="292" t="s">
        <v>1122</v>
      </c>
      <c r="J601" s="292" t="s">
        <v>1039</v>
      </c>
      <c r="K601" s="303" t="s">
        <v>1040</v>
      </c>
    </row>
    <row r="602" spans="1:17" ht="12">
      <c r="A602" s="290">
        <v>35141</v>
      </c>
      <c r="B602" s="291" t="s">
        <v>1909</v>
      </c>
      <c r="C602" s="292" t="s">
        <v>1910</v>
      </c>
      <c r="D602" s="292" t="s">
        <v>1911</v>
      </c>
      <c r="E602" s="292"/>
      <c r="F602" s="293" t="s">
        <v>42</v>
      </c>
      <c r="G602" s="310" t="s">
        <v>93</v>
      </c>
      <c r="H602" s="311" t="s">
        <v>238</v>
      </c>
      <c r="I602" s="292" t="s">
        <v>1122</v>
      </c>
      <c r="J602" s="292" t="s">
        <v>1039</v>
      </c>
      <c r="K602" s="303" t="s">
        <v>1040</v>
      </c>
    </row>
    <row r="603" spans="1:17" ht="12">
      <c r="A603" s="290">
        <v>38740</v>
      </c>
      <c r="B603" s="291" t="s">
        <v>1964</v>
      </c>
      <c r="C603" s="297" t="s">
        <v>1962</v>
      </c>
      <c r="D603" s="297" t="s">
        <v>1965</v>
      </c>
      <c r="E603" s="297" t="s">
        <v>2103</v>
      </c>
      <c r="F603" s="293" t="s">
        <v>42</v>
      </c>
      <c r="G603" s="310" t="s">
        <v>93</v>
      </c>
      <c r="H603" s="311" t="s">
        <v>179</v>
      </c>
      <c r="I603" s="297" t="s">
        <v>1122</v>
      </c>
      <c r="J603" s="297" t="s">
        <v>1039</v>
      </c>
      <c r="K603" s="303" t="s">
        <v>1040</v>
      </c>
    </row>
    <row r="604" spans="1:17" ht="12">
      <c r="A604" s="290">
        <v>16796</v>
      </c>
      <c r="B604" s="291" t="s">
        <v>1128</v>
      </c>
      <c r="C604" s="292" t="s">
        <v>1129</v>
      </c>
      <c r="D604" s="292" t="s">
        <v>194</v>
      </c>
      <c r="E604" s="292"/>
      <c r="F604" s="293" t="s">
        <v>42</v>
      </c>
      <c r="G604" s="310" t="s">
        <v>43</v>
      </c>
      <c r="H604" s="311" t="s">
        <v>179</v>
      </c>
      <c r="I604" s="292" t="s">
        <v>1122</v>
      </c>
      <c r="J604" s="292" t="s">
        <v>1039</v>
      </c>
      <c r="K604" s="303" t="s">
        <v>1040</v>
      </c>
    </row>
    <row r="605" spans="1:17" ht="12">
      <c r="A605" s="290">
        <v>7868</v>
      </c>
      <c r="B605" s="291" t="s">
        <v>2519</v>
      </c>
      <c r="C605" s="292" t="s">
        <v>2520</v>
      </c>
      <c r="D605" s="292" t="s">
        <v>63</v>
      </c>
      <c r="E605" s="292"/>
      <c r="F605" s="293" t="s">
        <v>42</v>
      </c>
      <c r="G605" s="298" t="s">
        <v>66</v>
      </c>
      <c r="H605" s="299">
        <v>0</v>
      </c>
      <c r="I605" s="292" t="s">
        <v>1122</v>
      </c>
      <c r="J605" s="292" t="s">
        <v>1039</v>
      </c>
      <c r="K605" s="303" t="s">
        <v>1040</v>
      </c>
    </row>
    <row r="606" spans="1:17" ht="12">
      <c r="A606" s="290">
        <v>16386</v>
      </c>
      <c r="B606" s="291" t="s">
        <v>2206</v>
      </c>
      <c r="C606" s="292" t="s">
        <v>1483</v>
      </c>
      <c r="D606" s="292" t="s">
        <v>98</v>
      </c>
      <c r="E606" s="292"/>
      <c r="F606" s="293" t="s">
        <v>42</v>
      </c>
      <c r="G606" s="310" t="s">
        <v>43</v>
      </c>
      <c r="H606" s="311" t="s">
        <v>238</v>
      </c>
      <c r="I606" s="292" t="s">
        <v>1122</v>
      </c>
      <c r="J606" s="292" t="s">
        <v>1039</v>
      </c>
      <c r="K606" s="303" t="s">
        <v>1040</v>
      </c>
      <c r="L606" s="26"/>
      <c r="M606" s="26"/>
      <c r="N606" s="26"/>
      <c r="Q606" s="30"/>
    </row>
    <row r="607" spans="1:17" ht="12">
      <c r="A607" s="290">
        <v>18802</v>
      </c>
      <c r="B607" s="291" t="s">
        <v>2207</v>
      </c>
      <c r="C607" s="292" t="s">
        <v>2208</v>
      </c>
      <c r="D607" s="292" t="s">
        <v>1155</v>
      </c>
      <c r="E607" s="292"/>
      <c r="F607" s="293" t="s">
        <v>42</v>
      </c>
      <c r="G607" s="310" t="s">
        <v>66</v>
      </c>
      <c r="H607" s="311" t="s">
        <v>238</v>
      </c>
      <c r="I607" s="292" t="s">
        <v>1122</v>
      </c>
      <c r="J607" s="292" t="s">
        <v>1039</v>
      </c>
      <c r="K607" s="303" t="s">
        <v>1040</v>
      </c>
    </row>
    <row r="608" spans="1:17" ht="12">
      <c r="A608" s="290">
        <v>38226</v>
      </c>
      <c r="B608" s="291" t="s">
        <v>1132</v>
      </c>
      <c r="C608" s="292" t="s">
        <v>767</v>
      </c>
      <c r="D608" s="292" t="s">
        <v>991</v>
      </c>
      <c r="E608" s="292"/>
      <c r="F608" s="293" t="s">
        <v>42</v>
      </c>
      <c r="G608" s="310" t="s">
        <v>43</v>
      </c>
      <c r="H608" s="311" t="s">
        <v>179</v>
      </c>
      <c r="I608" s="292" t="s">
        <v>1122</v>
      </c>
      <c r="J608" s="292" t="s">
        <v>1039</v>
      </c>
      <c r="K608" s="303" t="s">
        <v>1040</v>
      </c>
    </row>
    <row r="609" spans="1:11" ht="12">
      <c r="A609" s="290">
        <v>18530</v>
      </c>
      <c r="B609" s="291" t="s">
        <v>1133</v>
      </c>
      <c r="C609" s="292" t="s">
        <v>1134</v>
      </c>
      <c r="D609" s="292" t="s">
        <v>526</v>
      </c>
      <c r="E609" s="292"/>
      <c r="F609" s="293" t="s">
        <v>42</v>
      </c>
      <c r="G609" s="310" t="s">
        <v>51</v>
      </c>
      <c r="H609" s="311"/>
      <c r="I609" s="292" t="s">
        <v>1122</v>
      </c>
      <c r="J609" s="292" t="s">
        <v>1039</v>
      </c>
      <c r="K609" s="303" t="s">
        <v>1040</v>
      </c>
    </row>
    <row r="610" spans="1:11" ht="12">
      <c r="A610" s="290">
        <v>7869</v>
      </c>
      <c r="B610" s="291" t="s">
        <v>1137</v>
      </c>
      <c r="C610" s="292" t="s">
        <v>625</v>
      </c>
      <c r="D610" s="292" t="s">
        <v>72</v>
      </c>
      <c r="E610" s="292"/>
      <c r="F610" s="293" t="s">
        <v>42</v>
      </c>
      <c r="G610" s="310" t="s">
        <v>57</v>
      </c>
      <c r="H610" s="311" t="s">
        <v>179</v>
      </c>
      <c r="I610" s="292" t="s">
        <v>1122</v>
      </c>
      <c r="J610" s="292" t="s">
        <v>1039</v>
      </c>
      <c r="K610" s="303" t="s">
        <v>1040</v>
      </c>
    </row>
    <row r="611" spans="1:11" ht="12">
      <c r="A611" s="290">
        <v>38230</v>
      </c>
      <c r="B611" s="291" t="s">
        <v>1434</v>
      </c>
      <c r="C611" s="292" t="s">
        <v>1435</v>
      </c>
      <c r="D611" s="292" t="s">
        <v>1408</v>
      </c>
      <c r="E611" s="292"/>
      <c r="F611" s="293" t="s">
        <v>42</v>
      </c>
      <c r="G611" s="310" t="s">
        <v>93</v>
      </c>
      <c r="H611" s="311" t="s">
        <v>238</v>
      </c>
      <c r="I611" s="292" t="s">
        <v>1122</v>
      </c>
      <c r="J611" s="292" t="s">
        <v>1039</v>
      </c>
      <c r="K611" s="303" t="s">
        <v>1040</v>
      </c>
    </row>
    <row r="612" spans="1:11" ht="12">
      <c r="A612" s="290">
        <v>7900</v>
      </c>
      <c r="B612" s="291" t="s">
        <v>1141</v>
      </c>
      <c r="C612" s="292" t="s">
        <v>1140</v>
      </c>
      <c r="D612" s="292" t="s">
        <v>569</v>
      </c>
      <c r="E612" s="292"/>
      <c r="F612" s="293" t="s">
        <v>42</v>
      </c>
      <c r="G612" s="310" t="s">
        <v>51</v>
      </c>
      <c r="H612" s="311"/>
      <c r="I612" s="292" t="s">
        <v>1122</v>
      </c>
      <c r="J612" s="292" t="s">
        <v>1039</v>
      </c>
      <c r="K612" s="303" t="s">
        <v>1040</v>
      </c>
    </row>
    <row r="613" spans="1:11" ht="12">
      <c r="A613" s="290">
        <v>7836</v>
      </c>
      <c r="B613" s="291" t="s">
        <v>1145</v>
      </c>
      <c r="C613" s="292" t="s">
        <v>798</v>
      </c>
      <c r="D613" s="292" t="s">
        <v>1021</v>
      </c>
      <c r="E613" s="292"/>
      <c r="F613" s="293" t="s">
        <v>42</v>
      </c>
      <c r="G613" s="310" t="s">
        <v>57</v>
      </c>
      <c r="H613" s="311" t="s">
        <v>238</v>
      </c>
      <c r="I613" s="292" t="s">
        <v>1122</v>
      </c>
      <c r="J613" s="292" t="s">
        <v>1039</v>
      </c>
      <c r="K613" s="303" t="s">
        <v>1040</v>
      </c>
    </row>
    <row r="614" spans="1:11" ht="12">
      <c r="A614" s="290">
        <v>7647</v>
      </c>
      <c r="B614" s="291" t="s">
        <v>1146</v>
      </c>
      <c r="C614" s="297" t="s">
        <v>1099</v>
      </c>
      <c r="D614" s="297" t="s">
        <v>106</v>
      </c>
      <c r="E614" s="297" t="s">
        <v>2103</v>
      </c>
      <c r="F614" s="293" t="s">
        <v>42</v>
      </c>
      <c r="G614" s="310" t="s">
        <v>66</v>
      </c>
      <c r="H614" s="311" t="s">
        <v>238</v>
      </c>
      <c r="I614" s="292" t="s">
        <v>1122</v>
      </c>
      <c r="J614" s="297" t="s">
        <v>1039</v>
      </c>
      <c r="K614" s="303" t="s">
        <v>1040</v>
      </c>
    </row>
    <row r="615" spans="1:11" ht="12">
      <c r="A615" s="290">
        <v>7683</v>
      </c>
      <c r="B615" s="291" t="s">
        <v>340</v>
      </c>
      <c r="C615" s="292" t="s">
        <v>341</v>
      </c>
      <c r="D615" s="292" t="s">
        <v>259</v>
      </c>
      <c r="E615" s="292"/>
      <c r="F615" s="293" t="s">
        <v>48</v>
      </c>
      <c r="G615" s="310" t="s">
        <v>138</v>
      </c>
      <c r="H615" s="311"/>
      <c r="I615" s="292" t="s">
        <v>1525</v>
      </c>
      <c r="J615" s="292" t="s">
        <v>1912</v>
      </c>
      <c r="K615" s="303" t="s">
        <v>1913</v>
      </c>
    </row>
    <row r="616" spans="1:11" ht="12">
      <c r="A616" s="290">
        <v>25273</v>
      </c>
      <c r="B616" s="291" t="s">
        <v>1524</v>
      </c>
      <c r="C616" s="292" t="s">
        <v>1393</v>
      </c>
      <c r="D616" s="292" t="s">
        <v>1278</v>
      </c>
      <c r="E616" s="292"/>
      <c r="F616" s="293" t="s">
        <v>48</v>
      </c>
      <c r="G616" s="310" t="s">
        <v>49</v>
      </c>
      <c r="H616" s="311"/>
      <c r="I616" s="292" t="s">
        <v>1525</v>
      </c>
      <c r="J616" s="292" t="s">
        <v>1912</v>
      </c>
      <c r="K616" s="303" t="s">
        <v>1913</v>
      </c>
    </row>
    <row r="617" spans="1:11" ht="12">
      <c r="A617" s="290">
        <v>16426</v>
      </c>
      <c r="B617" s="291" t="s">
        <v>1526</v>
      </c>
      <c r="C617" s="297" t="s">
        <v>1527</v>
      </c>
      <c r="D617" s="297" t="s">
        <v>166</v>
      </c>
      <c r="E617" s="297" t="s">
        <v>2103</v>
      </c>
      <c r="F617" s="293" t="s">
        <v>48</v>
      </c>
      <c r="G617" s="310" t="s">
        <v>78</v>
      </c>
      <c r="H617" s="311" t="s">
        <v>179</v>
      </c>
      <c r="I617" s="297" t="s">
        <v>1525</v>
      </c>
      <c r="J617" s="297" t="s">
        <v>1912</v>
      </c>
      <c r="K617" s="303" t="s">
        <v>1913</v>
      </c>
    </row>
    <row r="618" spans="1:11" ht="12">
      <c r="A618" s="290">
        <v>38011</v>
      </c>
      <c r="B618" s="291" t="s">
        <v>1528</v>
      </c>
      <c r="C618" s="297" t="s">
        <v>1527</v>
      </c>
      <c r="D618" s="297" t="s">
        <v>1529</v>
      </c>
      <c r="E618" s="297" t="s">
        <v>2103</v>
      </c>
      <c r="F618" s="293" t="s">
        <v>48</v>
      </c>
      <c r="G618" s="310" t="s">
        <v>339</v>
      </c>
      <c r="H618" s="311" t="s">
        <v>50</v>
      </c>
      <c r="I618" s="297" t="s">
        <v>1525</v>
      </c>
      <c r="J618" s="297" t="s">
        <v>1912</v>
      </c>
      <c r="K618" s="303" t="s">
        <v>1913</v>
      </c>
    </row>
    <row r="619" spans="1:11" ht="12">
      <c r="A619" s="290">
        <v>16423</v>
      </c>
      <c r="B619" s="291" t="s">
        <v>1530</v>
      </c>
      <c r="C619" s="292" t="s">
        <v>1527</v>
      </c>
      <c r="D619" s="292" t="s">
        <v>119</v>
      </c>
      <c r="E619" s="292"/>
      <c r="F619" s="293" t="s">
        <v>42</v>
      </c>
      <c r="G619" s="310" t="s">
        <v>51</v>
      </c>
      <c r="H619" s="311" t="s">
        <v>65</v>
      </c>
      <c r="I619" s="292" t="s">
        <v>1525</v>
      </c>
      <c r="J619" s="292" t="s">
        <v>1912</v>
      </c>
      <c r="K619" s="303" t="s">
        <v>1913</v>
      </c>
    </row>
    <row r="620" spans="1:11" ht="12">
      <c r="A620" s="290">
        <v>16424</v>
      </c>
      <c r="B620" s="291" t="s">
        <v>1531</v>
      </c>
      <c r="C620" s="292" t="s">
        <v>1532</v>
      </c>
      <c r="D620" s="292" t="s">
        <v>56</v>
      </c>
      <c r="E620" s="292"/>
      <c r="F620" s="293" t="s">
        <v>42</v>
      </c>
      <c r="G620" s="310" t="s">
        <v>66</v>
      </c>
      <c r="H620" s="311" t="s">
        <v>65</v>
      </c>
      <c r="I620" s="292" t="s">
        <v>1525</v>
      </c>
      <c r="J620" s="292" t="s">
        <v>1912</v>
      </c>
      <c r="K620" s="303" t="s">
        <v>1913</v>
      </c>
    </row>
    <row r="621" spans="1:11" ht="12">
      <c r="A621" s="290">
        <v>34468</v>
      </c>
      <c r="B621" s="291" t="s">
        <v>1534</v>
      </c>
      <c r="C621" s="292" t="s">
        <v>1535</v>
      </c>
      <c r="D621" s="292" t="s">
        <v>270</v>
      </c>
      <c r="E621" s="292"/>
      <c r="F621" s="293" t="s">
        <v>48</v>
      </c>
      <c r="G621" s="310" t="s">
        <v>78</v>
      </c>
      <c r="H621" s="311"/>
      <c r="I621" s="292" t="s">
        <v>1525</v>
      </c>
      <c r="J621" s="292" t="s">
        <v>1912</v>
      </c>
      <c r="K621" s="303" t="s">
        <v>1913</v>
      </c>
    </row>
    <row r="622" spans="1:11" ht="12">
      <c r="A622" s="290">
        <v>10603</v>
      </c>
      <c r="B622" s="291" t="s">
        <v>1220</v>
      </c>
      <c r="C622" s="292" t="s">
        <v>1221</v>
      </c>
      <c r="D622" s="292" t="s">
        <v>1222</v>
      </c>
      <c r="E622" s="292"/>
      <c r="F622" s="293" t="s">
        <v>42</v>
      </c>
      <c r="G622" s="310" t="s">
        <v>43</v>
      </c>
      <c r="H622" s="311" t="s">
        <v>179</v>
      </c>
      <c r="I622" s="292" t="s">
        <v>1525</v>
      </c>
      <c r="J622" s="292" t="s">
        <v>1912</v>
      </c>
      <c r="K622" s="303" t="s">
        <v>1913</v>
      </c>
    </row>
    <row r="623" spans="1:11" ht="12">
      <c r="A623" s="290">
        <v>25277</v>
      </c>
      <c r="B623" s="291" t="s">
        <v>1538</v>
      </c>
      <c r="C623" s="292" t="s">
        <v>1539</v>
      </c>
      <c r="D623" s="292" t="s">
        <v>1540</v>
      </c>
      <c r="E623" s="292"/>
      <c r="F623" s="293" t="s">
        <v>48</v>
      </c>
      <c r="G623" s="310" t="s">
        <v>138</v>
      </c>
      <c r="H623" s="311" t="s">
        <v>50</v>
      </c>
      <c r="I623" s="292" t="s">
        <v>1525</v>
      </c>
      <c r="J623" s="292" t="s">
        <v>1912</v>
      </c>
      <c r="K623" s="303" t="s">
        <v>1913</v>
      </c>
    </row>
    <row r="624" spans="1:11" ht="12">
      <c r="A624" s="290">
        <v>25115</v>
      </c>
      <c r="B624" s="291" t="s">
        <v>1541</v>
      </c>
      <c r="C624" s="292" t="s">
        <v>1539</v>
      </c>
      <c r="D624" s="292" t="s">
        <v>526</v>
      </c>
      <c r="E624" s="292"/>
      <c r="F624" s="293" t="s">
        <v>42</v>
      </c>
      <c r="G624" s="310" t="s">
        <v>66</v>
      </c>
      <c r="H624" s="311" t="s">
        <v>65</v>
      </c>
      <c r="I624" s="292" t="s">
        <v>1525</v>
      </c>
      <c r="J624" s="292" t="s">
        <v>1912</v>
      </c>
      <c r="K624" s="303" t="s">
        <v>1913</v>
      </c>
    </row>
    <row r="625" spans="1:17" ht="12">
      <c r="A625" s="290">
        <v>38354</v>
      </c>
      <c r="B625" s="291" t="s">
        <v>1542</v>
      </c>
      <c r="C625" s="297" t="s">
        <v>1543</v>
      </c>
      <c r="D625" s="297" t="s">
        <v>56</v>
      </c>
      <c r="E625" s="297" t="s">
        <v>2103</v>
      </c>
      <c r="F625" s="293" t="s">
        <v>42</v>
      </c>
      <c r="G625" s="310" t="s">
        <v>43</v>
      </c>
      <c r="H625" s="311" t="s">
        <v>44</v>
      </c>
      <c r="I625" s="297" t="s">
        <v>1525</v>
      </c>
      <c r="J625" s="297" t="s">
        <v>1912</v>
      </c>
      <c r="K625" s="303" t="s">
        <v>1913</v>
      </c>
    </row>
    <row r="626" spans="1:17" ht="12">
      <c r="A626" s="290">
        <v>29670</v>
      </c>
      <c r="B626" s="291" t="s">
        <v>1544</v>
      </c>
      <c r="C626" s="292" t="s">
        <v>1545</v>
      </c>
      <c r="D626" s="292" t="s">
        <v>1107</v>
      </c>
      <c r="E626" s="292"/>
      <c r="F626" s="293" t="s">
        <v>48</v>
      </c>
      <c r="G626" s="310" t="s">
        <v>78</v>
      </c>
      <c r="H626" s="311" t="s">
        <v>44</v>
      </c>
      <c r="I626" s="292" t="s">
        <v>1525</v>
      </c>
      <c r="J626" s="292" t="s">
        <v>1912</v>
      </c>
      <c r="K626" s="303" t="s">
        <v>1913</v>
      </c>
      <c r="L626" s="26"/>
      <c r="M626" s="26"/>
      <c r="N626" s="26"/>
      <c r="Q626" s="30"/>
    </row>
    <row r="627" spans="1:17" ht="12">
      <c r="A627" s="290">
        <v>38348</v>
      </c>
      <c r="B627" s="291" t="s">
        <v>1546</v>
      </c>
      <c r="C627" s="297" t="s">
        <v>1547</v>
      </c>
      <c r="D627" s="297" t="s">
        <v>1548</v>
      </c>
      <c r="E627" s="297" t="s">
        <v>2103</v>
      </c>
      <c r="F627" s="293" t="s">
        <v>42</v>
      </c>
      <c r="G627" s="310" t="s">
        <v>93</v>
      </c>
      <c r="H627" s="311" t="s">
        <v>179</v>
      </c>
      <c r="I627" s="297" t="s">
        <v>1525</v>
      </c>
      <c r="J627" s="297" t="s">
        <v>1912</v>
      </c>
      <c r="K627" s="303" t="s">
        <v>1913</v>
      </c>
    </row>
    <row r="628" spans="1:17" ht="12">
      <c r="A628" s="290">
        <v>16828</v>
      </c>
      <c r="B628" s="291" t="s">
        <v>1549</v>
      </c>
      <c r="C628" s="292" t="s">
        <v>1547</v>
      </c>
      <c r="D628" s="292" t="s">
        <v>1550</v>
      </c>
      <c r="E628" s="292"/>
      <c r="F628" s="293" t="s">
        <v>48</v>
      </c>
      <c r="G628" s="310" t="s">
        <v>49</v>
      </c>
      <c r="H628" s="311" t="s">
        <v>50</v>
      </c>
      <c r="I628" s="292" t="s">
        <v>1525</v>
      </c>
      <c r="J628" s="292" t="s">
        <v>1912</v>
      </c>
      <c r="K628" s="303" t="s">
        <v>1913</v>
      </c>
    </row>
    <row r="629" spans="1:17" ht="12">
      <c r="A629" s="290">
        <v>16409</v>
      </c>
      <c r="B629" s="291" t="s">
        <v>1551</v>
      </c>
      <c r="C629" s="292" t="s">
        <v>1552</v>
      </c>
      <c r="D629" s="292" t="s">
        <v>178</v>
      </c>
      <c r="E629" s="292"/>
      <c r="F629" s="293" t="s">
        <v>42</v>
      </c>
      <c r="G629" s="310" t="s">
        <v>43</v>
      </c>
      <c r="H629" s="311" t="s">
        <v>44</v>
      </c>
      <c r="I629" s="292" t="s">
        <v>1525</v>
      </c>
      <c r="J629" s="292" t="s">
        <v>1912</v>
      </c>
      <c r="K629" s="303" t="s">
        <v>1913</v>
      </c>
    </row>
    <row r="630" spans="1:17" ht="12">
      <c r="A630" s="290">
        <v>7405</v>
      </c>
      <c r="B630" s="291" t="s">
        <v>1553</v>
      </c>
      <c r="C630" s="292" t="s">
        <v>1916</v>
      </c>
      <c r="D630" s="292" t="s">
        <v>183</v>
      </c>
      <c r="E630" s="292"/>
      <c r="F630" s="293" t="s">
        <v>42</v>
      </c>
      <c r="G630" s="310" t="s">
        <v>66</v>
      </c>
      <c r="H630" s="311" t="s">
        <v>179</v>
      </c>
      <c r="I630" s="292" t="s">
        <v>1525</v>
      </c>
      <c r="J630" s="292" t="s">
        <v>1912</v>
      </c>
      <c r="K630" s="303" t="s">
        <v>1913</v>
      </c>
    </row>
    <row r="631" spans="1:17" ht="12">
      <c r="A631" s="290">
        <v>16418</v>
      </c>
      <c r="B631" s="291" t="s">
        <v>1554</v>
      </c>
      <c r="C631" s="292" t="s">
        <v>1555</v>
      </c>
      <c r="D631" s="292" t="s">
        <v>205</v>
      </c>
      <c r="E631" s="292"/>
      <c r="F631" s="293" t="s">
        <v>42</v>
      </c>
      <c r="G631" s="310" t="s">
        <v>57</v>
      </c>
      <c r="H631" s="311"/>
      <c r="I631" s="292" t="s">
        <v>1525</v>
      </c>
      <c r="J631" s="292" t="s">
        <v>1912</v>
      </c>
      <c r="K631" s="303" t="s">
        <v>1913</v>
      </c>
    </row>
    <row r="632" spans="1:17" ht="12">
      <c r="A632" s="290">
        <v>25931</v>
      </c>
      <c r="B632" s="291" t="s">
        <v>1917</v>
      </c>
      <c r="C632" s="297" t="s">
        <v>1556</v>
      </c>
      <c r="D632" s="297" t="s">
        <v>212</v>
      </c>
      <c r="E632" s="297" t="s">
        <v>2103</v>
      </c>
      <c r="F632" s="293" t="s">
        <v>42</v>
      </c>
      <c r="G632" s="310" t="s">
        <v>51</v>
      </c>
      <c r="H632" s="311" t="s">
        <v>65</v>
      </c>
      <c r="I632" s="297" t="s">
        <v>1525</v>
      </c>
      <c r="J632" s="297" t="s">
        <v>1912</v>
      </c>
      <c r="K632" s="303" t="s">
        <v>1913</v>
      </c>
    </row>
    <row r="633" spans="1:17" ht="12">
      <c r="A633" s="290">
        <v>38658</v>
      </c>
      <c r="B633" s="291" t="s">
        <v>1557</v>
      </c>
      <c r="C633" s="292" t="s">
        <v>1558</v>
      </c>
      <c r="D633" s="292" t="s">
        <v>92</v>
      </c>
      <c r="E633" s="292"/>
      <c r="F633" s="293" t="s">
        <v>42</v>
      </c>
      <c r="G633" s="310" t="s">
        <v>43</v>
      </c>
      <c r="H633" s="311"/>
      <c r="I633" s="292" t="s">
        <v>1525</v>
      </c>
      <c r="J633" s="292" t="s">
        <v>1912</v>
      </c>
      <c r="K633" s="303" t="s">
        <v>1913</v>
      </c>
    </row>
    <row r="634" spans="1:17" ht="12">
      <c r="A634" s="290">
        <v>7471</v>
      </c>
      <c r="B634" s="291" t="s">
        <v>1559</v>
      </c>
      <c r="C634" s="292" t="s">
        <v>1560</v>
      </c>
      <c r="D634" s="292" t="s">
        <v>137</v>
      </c>
      <c r="E634" s="292"/>
      <c r="F634" s="293" t="s">
        <v>48</v>
      </c>
      <c r="G634" s="310" t="s">
        <v>138</v>
      </c>
      <c r="H634" s="311" t="s">
        <v>44</v>
      </c>
      <c r="I634" s="292" t="s">
        <v>1525</v>
      </c>
      <c r="J634" s="292" t="s">
        <v>1912</v>
      </c>
      <c r="K634" s="303" t="s">
        <v>1913</v>
      </c>
    </row>
    <row r="635" spans="1:17" ht="12">
      <c r="A635" s="290">
        <v>38395</v>
      </c>
      <c r="B635" s="291" t="s">
        <v>1240</v>
      </c>
      <c r="C635" s="292" t="s">
        <v>1241</v>
      </c>
      <c r="D635" s="292" t="s">
        <v>252</v>
      </c>
      <c r="E635" s="292"/>
      <c r="F635" s="293" t="s">
        <v>42</v>
      </c>
      <c r="G635" s="310" t="s">
        <v>51</v>
      </c>
      <c r="H635" s="311" t="s">
        <v>44</v>
      </c>
      <c r="I635" s="292" t="s">
        <v>1525</v>
      </c>
      <c r="J635" s="292" t="s">
        <v>1912</v>
      </c>
      <c r="K635" s="303" t="s">
        <v>1913</v>
      </c>
    </row>
    <row r="636" spans="1:17" ht="12">
      <c r="A636" s="290">
        <v>7670</v>
      </c>
      <c r="B636" s="291" t="s">
        <v>1561</v>
      </c>
      <c r="C636" s="292" t="s">
        <v>1562</v>
      </c>
      <c r="D636" s="292" t="s">
        <v>1563</v>
      </c>
      <c r="E636" s="292"/>
      <c r="F636" s="293" t="s">
        <v>42</v>
      </c>
      <c r="G636" s="310" t="s">
        <v>51</v>
      </c>
      <c r="H636" s="311" t="s">
        <v>44</v>
      </c>
      <c r="I636" s="292" t="s">
        <v>1525</v>
      </c>
      <c r="J636" s="292" t="s">
        <v>1912</v>
      </c>
      <c r="K636" s="303" t="s">
        <v>1913</v>
      </c>
    </row>
    <row r="637" spans="1:17" ht="12">
      <c r="A637" s="290">
        <v>7679</v>
      </c>
      <c r="B637" s="291" t="s">
        <v>1564</v>
      </c>
      <c r="C637" s="292" t="s">
        <v>1562</v>
      </c>
      <c r="D637" s="292" t="s">
        <v>1565</v>
      </c>
      <c r="E637" s="292"/>
      <c r="F637" s="293" t="s">
        <v>48</v>
      </c>
      <c r="G637" s="310" t="s">
        <v>49</v>
      </c>
      <c r="H637" s="311" t="s">
        <v>50</v>
      </c>
      <c r="I637" s="292" t="s">
        <v>1525</v>
      </c>
      <c r="J637" s="292" t="s">
        <v>1912</v>
      </c>
      <c r="K637" s="303" t="s">
        <v>1913</v>
      </c>
    </row>
    <row r="638" spans="1:17" ht="12">
      <c r="A638" s="290">
        <v>7583</v>
      </c>
      <c r="B638" s="291" t="s">
        <v>1566</v>
      </c>
      <c r="C638" s="292" t="s">
        <v>1567</v>
      </c>
      <c r="D638" s="292" t="s">
        <v>72</v>
      </c>
      <c r="E638" s="292"/>
      <c r="F638" s="293" t="s">
        <v>42</v>
      </c>
      <c r="G638" s="310" t="s">
        <v>51</v>
      </c>
      <c r="H638" s="311" t="s">
        <v>179</v>
      </c>
      <c r="I638" s="292" t="s">
        <v>1525</v>
      </c>
      <c r="J638" s="292" t="s">
        <v>1912</v>
      </c>
      <c r="K638" s="303" t="s">
        <v>1913</v>
      </c>
    </row>
    <row r="639" spans="1:17" ht="12">
      <c r="A639" s="290">
        <v>7545</v>
      </c>
      <c r="B639" s="291" t="s">
        <v>1568</v>
      </c>
      <c r="C639" s="292" t="s">
        <v>1567</v>
      </c>
      <c r="D639" s="292" t="s">
        <v>1569</v>
      </c>
      <c r="E639" s="292"/>
      <c r="F639" s="293" t="s">
        <v>48</v>
      </c>
      <c r="G639" s="310" t="s">
        <v>49</v>
      </c>
      <c r="H639" s="311" t="s">
        <v>44</v>
      </c>
      <c r="I639" s="292" t="s">
        <v>1525</v>
      </c>
      <c r="J639" s="292" t="s">
        <v>1912</v>
      </c>
      <c r="K639" s="303" t="s">
        <v>1913</v>
      </c>
    </row>
    <row r="640" spans="1:17" ht="12">
      <c r="A640" s="290">
        <v>7907</v>
      </c>
      <c r="B640" s="291" t="s">
        <v>1147</v>
      </c>
      <c r="C640" s="292" t="s">
        <v>1148</v>
      </c>
      <c r="D640" s="292" t="s">
        <v>1149</v>
      </c>
      <c r="E640" s="292"/>
      <c r="F640" s="293" t="s">
        <v>42</v>
      </c>
      <c r="G640" s="310" t="s">
        <v>51</v>
      </c>
      <c r="H640" s="311" t="s">
        <v>44</v>
      </c>
      <c r="I640" s="292" t="s">
        <v>1150</v>
      </c>
      <c r="J640" s="292" t="s">
        <v>1151</v>
      </c>
      <c r="K640" s="303" t="s">
        <v>1152</v>
      </c>
    </row>
    <row r="641" spans="1:17" ht="12">
      <c r="A641" s="290">
        <v>7914</v>
      </c>
      <c r="B641" s="291" t="s">
        <v>1153</v>
      </c>
      <c r="C641" s="292" t="s">
        <v>1154</v>
      </c>
      <c r="D641" s="292" t="s">
        <v>1155</v>
      </c>
      <c r="E641" s="292"/>
      <c r="F641" s="293" t="s">
        <v>42</v>
      </c>
      <c r="G641" s="310" t="s">
        <v>51</v>
      </c>
      <c r="H641" s="311" t="s">
        <v>179</v>
      </c>
      <c r="I641" s="292" t="s">
        <v>1150</v>
      </c>
      <c r="J641" s="292" t="s">
        <v>1151</v>
      </c>
      <c r="K641" s="303" t="s">
        <v>1152</v>
      </c>
    </row>
    <row r="642" spans="1:17" ht="12">
      <c r="A642" s="290">
        <v>38498</v>
      </c>
      <c r="B642" s="291" t="s">
        <v>1156</v>
      </c>
      <c r="C642" s="297" t="s">
        <v>1157</v>
      </c>
      <c r="D642" s="297" t="s">
        <v>1131</v>
      </c>
      <c r="E642" s="297" t="s">
        <v>2103</v>
      </c>
      <c r="F642" s="293" t="s">
        <v>42</v>
      </c>
      <c r="G642" s="310" t="s">
        <v>66</v>
      </c>
      <c r="H642" s="311"/>
      <c r="I642" s="297" t="s">
        <v>1150</v>
      </c>
      <c r="J642" s="292" t="s">
        <v>1151</v>
      </c>
      <c r="K642" s="303" t="s">
        <v>1152</v>
      </c>
    </row>
    <row r="643" spans="1:17" ht="12">
      <c r="A643" s="290">
        <v>38669</v>
      </c>
      <c r="B643" s="291" t="s">
        <v>1158</v>
      </c>
      <c r="C643" s="292" t="s">
        <v>1159</v>
      </c>
      <c r="D643" s="292" t="s">
        <v>1160</v>
      </c>
      <c r="E643" s="292"/>
      <c r="F643" s="293" t="s">
        <v>42</v>
      </c>
      <c r="G643" s="310" t="s">
        <v>66</v>
      </c>
      <c r="H643" s="311" t="s">
        <v>50</v>
      </c>
      <c r="I643" s="292" t="s">
        <v>1150</v>
      </c>
      <c r="J643" s="292" t="s">
        <v>1151</v>
      </c>
      <c r="K643" s="303" t="s">
        <v>1152</v>
      </c>
      <c r="L643" s="26"/>
      <c r="M643" s="26"/>
      <c r="N643" s="26"/>
      <c r="Q643" s="30"/>
    </row>
    <row r="644" spans="1:17" ht="12">
      <c r="A644" s="290">
        <v>38873</v>
      </c>
      <c r="B644" s="291" t="s">
        <v>2521</v>
      </c>
      <c r="C644" s="292" t="s">
        <v>2522</v>
      </c>
      <c r="D644" s="292" t="s">
        <v>119</v>
      </c>
      <c r="E644" s="292"/>
      <c r="F644" s="293" t="s">
        <v>42</v>
      </c>
      <c r="G644" s="310" t="s">
        <v>66</v>
      </c>
      <c r="H644" s="311" t="s">
        <v>50</v>
      </c>
      <c r="I644" s="292" t="s">
        <v>1150</v>
      </c>
      <c r="J644" s="292" t="s">
        <v>1151</v>
      </c>
      <c r="K644" s="303" t="s">
        <v>1152</v>
      </c>
    </row>
    <row r="645" spans="1:17" ht="12">
      <c r="A645" s="290">
        <v>38500</v>
      </c>
      <c r="B645" s="291" t="s">
        <v>1161</v>
      </c>
      <c r="C645" s="297" t="s">
        <v>1162</v>
      </c>
      <c r="D645" s="297" t="s">
        <v>951</v>
      </c>
      <c r="E645" s="297" t="s">
        <v>2103</v>
      </c>
      <c r="F645" s="293" t="s">
        <v>42</v>
      </c>
      <c r="G645" s="310" t="s">
        <v>51</v>
      </c>
      <c r="H645" s="311"/>
      <c r="I645" s="297" t="s">
        <v>1150</v>
      </c>
      <c r="J645" s="292" t="s">
        <v>1151</v>
      </c>
      <c r="K645" s="303" t="s">
        <v>1152</v>
      </c>
    </row>
    <row r="646" spans="1:17" ht="12">
      <c r="A646" s="290">
        <v>38502</v>
      </c>
      <c r="B646" s="291" t="s">
        <v>1163</v>
      </c>
      <c r="C646" s="297" t="s">
        <v>1164</v>
      </c>
      <c r="D646" s="297" t="s">
        <v>183</v>
      </c>
      <c r="E646" s="297" t="s">
        <v>2103</v>
      </c>
      <c r="F646" s="293" t="s">
        <v>42</v>
      </c>
      <c r="G646" s="310" t="s">
        <v>51</v>
      </c>
      <c r="H646" s="311"/>
      <c r="I646" s="297" t="s">
        <v>1150</v>
      </c>
      <c r="J646" s="292" t="s">
        <v>1151</v>
      </c>
      <c r="K646" s="303" t="s">
        <v>1152</v>
      </c>
    </row>
    <row r="647" spans="1:17" ht="12">
      <c r="A647" s="290">
        <v>7917</v>
      </c>
      <c r="B647" s="291" t="s">
        <v>1165</v>
      </c>
      <c r="C647" s="292" t="s">
        <v>1166</v>
      </c>
      <c r="D647" s="292" t="s">
        <v>1167</v>
      </c>
      <c r="E647" s="292"/>
      <c r="F647" s="293" t="s">
        <v>42</v>
      </c>
      <c r="G647" s="310" t="s">
        <v>51</v>
      </c>
      <c r="H647" s="311" t="s">
        <v>50</v>
      </c>
      <c r="I647" s="292" t="s">
        <v>1150</v>
      </c>
      <c r="J647" s="292" t="s">
        <v>1151</v>
      </c>
      <c r="K647" s="303" t="s">
        <v>1152</v>
      </c>
    </row>
    <row r="648" spans="1:17" ht="12">
      <c r="A648" s="290">
        <v>7906</v>
      </c>
      <c r="B648" s="291" t="s">
        <v>1168</v>
      </c>
      <c r="C648" s="292" t="s">
        <v>1169</v>
      </c>
      <c r="D648" s="292" t="s">
        <v>1170</v>
      </c>
      <c r="E648" s="292"/>
      <c r="F648" s="293" t="s">
        <v>42</v>
      </c>
      <c r="G648" s="310" t="s">
        <v>51</v>
      </c>
      <c r="H648" s="311" t="s">
        <v>50</v>
      </c>
      <c r="I648" s="292" t="s">
        <v>1150</v>
      </c>
      <c r="J648" s="292" t="s">
        <v>1151</v>
      </c>
      <c r="K648" s="303" t="s">
        <v>1152</v>
      </c>
      <c r="L648" s="26"/>
      <c r="M648" s="26"/>
      <c r="N648" s="26"/>
      <c r="Q648" s="30"/>
    </row>
    <row r="649" spans="1:17" ht="12">
      <c r="A649" s="290">
        <v>7909</v>
      </c>
      <c r="B649" s="291" t="s">
        <v>1171</v>
      </c>
      <c r="C649" s="292" t="s">
        <v>1169</v>
      </c>
      <c r="D649" s="292" t="s">
        <v>119</v>
      </c>
      <c r="E649" s="292"/>
      <c r="F649" s="293" t="s">
        <v>42</v>
      </c>
      <c r="G649" s="310" t="s">
        <v>51</v>
      </c>
      <c r="H649" s="311" t="s">
        <v>44</v>
      </c>
      <c r="I649" s="292" t="s">
        <v>1150</v>
      </c>
      <c r="J649" s="292" t="s">
        <v>1151</v>
      </c>
      <c r="K649" s="303" t="s">
        <v>1152</v>
      </c>
    </row>
    <row r="650" spans="1:17" ht="12">
      <c r="A650" s="290">
        <v>38916</v>
      </c>
      <c r="B650" s="291" t="s">
        <v>2523</v>
      </c>
      <c r="C650" s="292" t="s">
        <v>599</v>
      </c>
      <c r="D650" s="292" t="s">
        <v>2524</v>
      </c>
      <c r="E650" s="292"/>
      <c r="F650" s="293" t="s">
        <v>42</v>
      </c>
      <c r="G650" s="310" t="s">
        <v>66</v>
      </c>
      <c r="H650" s="311">
        <v>0</v>
      </c>
      <c r="I650" s="292" t="s">
        <v>1150</v>
      </c>
      <c r="J650" s="292" t="s">
        <v>1151</v>
      </c>
      <c r="K650" s="303" t="s">
        <v>1152</v>
      </c>
    </row>
    <row r="651" spans="1:17" ht="12">
      <c r="A651" s="290">
        <v>38749</v>
      </c>
      <c r="B651" s="291" t="s">
        <v>1992</v>
      </c>
      <c r="C651" s="292" t="s">
        <v>1993</v>
      </c>
      <c r="D651" s="292" t="s">
        <v>1469</v>
      </c>
      <c r="E651" s="292"/>
      <c r="F651" s="293" t="s">
        <v>42</v>
      </c>
      <c r="G651" s="310" t="s">
        <v>93</v>
      </c>
      <c r="H651" s="311"/>
      <c r="I651" s="292" t="s">
        <v>1150</v>
      </c>
      <c r="J651" s="292" t="s">
        <v>1151</v>
      </c>
      <c r="K651" s="303" t="s">
        <v>1152</v>
      </c>
    </row>
    <row r="652" spans="1:17" ht="12">
      <c r="A652" s="290">
        <v>38590</v>
      </c>
      <c r="B652" s="291" t="s">
        <v>1172</v>
      </c>
      <c r="C652" s="292" t="s">
        <v>1173</v>
      </c>
      <c r="D652" s="292" t="s">
        <v>98</v>
      </c>
      <c r="E652" s="292"/>
      <c r="F652" s="293" t="s">
        <v>42</v>
      </c>
      <c r="G652" s="310" t="s">
        <v>43</v>
      </c>
      <c r="H652" s="311" t="s">
        <v>44</v>
      </c>
      <c r="I652" s="292" t="s">
        <v>1150</v>
      </c>
      <c r="J652" s="292" t="s">
        <v>1151</v>
      </c>
      <c r="K652" s="303" t="s">
        <v>1152</v>
      </c>
    </row>
    <row r="653" spans="1:17" ht="12">
      <c r="A653" s="290">
        <v>25502</v>
      </c>
      <c r="B653" s="291" t="s">
        <v>1177</v>
      </c>
      <c r="C653" s="292" t="s">
        <v>80</v>
      </c>
      <c r="D653" s="292" t="s">
        <v>116</v>
      </c>
      <c r="E653" s="292"/>
      <c r="F653" s="293" t="s">
        <v>42</v>
      </c>
      <c r="G653" s="310" t="s">
        <v>51</v>
      </c>
      <c r="H653" s="311" t="s">
        <v>65</v>
      </c>
      <c r="I653" s="292" t="s">
        <v>1174</v>
      </c>
      <c r="J653" s="292" t="s">
        <v>1175</v>
      </c>
      <c r="K653" s="303" t="s">
        <v>1176</v>
      </c>
    </row>
    <row r="654" spans="1:17" ht="12">
      <c r="A654" s="290">
        <v>25684</v>
      </c>
      <c r="B654" s="291" t="s">
        <v>2525</v>
      </c>
      <c r="C654" s="292" t="s">
        <v>1181</v>
      </c>
      <c r="D654" s="292" t="s">
        <v>828</v>
      </c>
      <c r="E654" s="292"/>
      <c r="F654" s="293" t="s">
        <v>42</v>
      </c>
      <c r="G654" s="310" t="s">
        <v>43</v>
      </c>
      <c r="H654" s="311" t="s">
        <v>65</v>
      </c>
      <c r="I654" s="292" t="s">
        <v>1174</v>
      </c>
      <c r="J654" s="292" t="s">
        <v>1175</v>
      </c>
      <c r="K654" s="303" t="s">
        <v>1176</v>
      </c>
    </row>
    <row r="655" spans="1:17" ht="12">
      <c r="A655" s="290">
        <v>38741</v>
      </c>
      <c r="B655" s="291" t="s">
        <v>1994</v>
      </c>
      <c r="C655" s="292" t="s">
        <v>975</v>
      </c>
      <c r="D655" s="292" t="s">
        <v>119</v>
      </c>
      <c r="E655" s="292"/>
      <c r="F655" s="293" t="s">
        <v>42</v>
      </c>
      <c r="G655" s="310" t="s">
        <v>51</v>
      </c>
      <c r="H655" s="311" t="s">
        <v>50</v>
      </c>
      <c r="I655" s="292" t="s">
        <v>1174</v>
      </c>
      <c r="J655" s="292" t="s">
        <v>1175</v>
      </c>
      <c r="K655" s="303" t="s">
        <v>1176</v>
      </c>
    </row>
    <row r="656" spans="1:17" ht="12">
      <c r="A656" s="290">
        <v>38214</v>
      </c>
      <c r="B656" s="291" t="s">
        <v>1478</v>
      </c>
      <c r="C656" s="297" t="s">
        <v>91</v>
      </c>
      <c r="D656" s="297" t="s">
        <v>63</v>
      </c>
      <c r="E656" s="297" t="s">
        <v>2103</v>
      </c>
      <c r="F656" s="293" t="s">
        <v>42</v>
      </c>
      <c r="G656" s="310" t="s">
        <v>93</v>
      </c>
      <c r="H656" s="311" t="s">
        <v>44</v>
      </c>
      <c r="I656" s="297" t="s">
        <v>1174</v>
      </c>
      <c r="J656" s="297" t="s">
        <v>1175</v>
      </c>
      <c r="K656" s="303" t="s">
        <v>1176</v>
      </c>
    </row>
    <row r="657" spans="1:17" ht="12">
      <c r="A657" s="290">
        <v>25055</v>
      </c>
      <c r="B657" s="291" t="s">
        <v>1182</v>
      </c>
      <c r="C657" s="297" t="s">
        <v>1183</v>
      </c>
      <c r="D657" s="297" t="s">
        <v>252</v>
      </c>
      <c r="E657" s="297" t="s">
        <v>2103</v>
      </c>
      <c r="F657" s="293" t="s">
        <v>42</v>
      </c>
      <c r="G657" s="310" t="s">
        <v>57</v>
      </c>
      <c r="H657" s="311" t="s">
        <v>44</v>
      </c>
      <c r="I657" s="297" t="s">
        <v>1174</v>
      </c>
      <c r="J657" s="297" t="s">
        <v>1175</v>
      </c>
      <c r="K657" s="303" t="s">
        <v>1176</v>
      </c>
    </row>
    <row r="658" spans="1:17" ht="12">
      <c r="A658" s="290">
        <v>38450</v>
      </c>
      <c r="B658" s="291" t="s">
        <v>1184</v>
      </c>
      <c r="C658" s="297" t="s">
        <v>1183</v>
      </c>
      <c r="D658" s="297" t="s">
        <v>142</v>
      </c>
      <c r="E658" s="297" t="s">
        <v>2103</v>
      </c>
      <c r="F658" s="293" t="s">
        <v>42</v>
      </c>
      <c r="G658" s="310" t="s">
        <v>43</v>
      </c>
      <c r="H658" s="311" t="s">
        <v>44</v>
      </c>
      <c r="I658" s="297" t="s">
        <v>1174</v>
      </c>
      <c r="J658" s="297" t="s">
        <v>1175</v>
      </c>
      <c r="K658" s="303" t="s">
        <v>1176</v>
      </c>
    </row>
    <row r="659" spans="1:17" ht="12">
      <c r="A659" s="290">
        <v>38112</v>
      </c>
      <c r="B659" s="291" t="s">
        <v>1185</v>
      </c>
      <c r="C659" s="292" t="s">
        <v>576</v>
      </c>
      <c r="D659" s="292" t="s">
        <v>954</v>
      </c>
      <c r="E659" s="292"/>
      <c r="F659" s="293" t="s">
        <v>42</v>
      </c>
      <c r="G659" s="310" t="s">
        <v>43</v>
      </c>
      <c r="H659" s="311" t="s">
        <v>65</v>
      </c>
      <c r="I659" s="292" t="s">
        <v>1174</v>
      </c>
      <c r="J659" s="292" t="s">
        <v>1175</v>
      </c>
      <c r="K659" s="303" t="s">
        <v>1176</v>
      </c>
    </row>
    <row r="660" spans="1:17" ht="12">
      <c r="A660" s="290">
        <v>25901</v>
      </c>
      <c r="B660" s="291">
        <v>9111314</v>
      </c>
      <c r="C660" s="292" t="s">
        <v>1186</v>
      </c>
      <c r="D660" s="292" t="s">
        <v>69</v>
      </c>
      <c r="E660" s="292"/>
      <c r="F660" s="293" t="s">
        <v>42</v>
      </c>
      <c r="G660" s="310" t="s">
        <v>43</v>
      </c>
      <c r="H660" s="311" t="s">
        <v>44</v>
      </c>
      <c r="I660" s="292" t="s">
        <v>1174</v>
      </c>
      <c r="J660" s="292" t="s">
        <v>1175</v>
      </c>
      <c r="K660" s="303" t="s">
        <v>1176</v>
      </c>
      <c r="L660" s="26"/>
      <c r="M660" s="26"/>
      <c r="N660" s="26"/>
      <c r="Q660" s="30"/>
    </row>
    <row r="661" spans="1:17" ht="12">
      <c r="A661" s="290">
        <v>38576</v>
      </c>
      <c r="B661" s="291" t="s">
        <v>1397</v>
      </c>
      <c r="C661" s="297" t="s">
        <v>810</v>
      </c>
      <c r="D661" s="297" t="s">
        <v>131</v>
      </c>
      <c r="E661" s="297" t="s">
        <v>2103</v>
      </c>
      <c r="F661" s="293" t="s">
        <v>42</v>
      </c>
      <c r="G661" s="310" t="s">
        <v>43</v>
      </c>
      <c r="H661" s="311" t="s">
        <v>179</v>
      </c>
      <c r="I661" s="297" t="s">
        <v>1174</v>
      </c>
      <c r="J661" s="297" t="s">
        <v>1175</v>
      </c>
      <c r="K661" s="303" t="s">
        <v>1176</v>
      </c>
      <c r="L661" s="26"/>
      <c r="M661" s="26"/>
      <c r="N661" s="26"/>
      <c r="Q661" s="30"/>
    </row>
    <row r="662" spans="1:17" ht="12">
      <c r="A662" s="290">
        <v>16393</v>
      </c>
      <c r="B662" s="291">
        <v>9109463</v>
      </c>
      <c r="C662" s="292" t="s">
        <v>1190</v>
      </c>
      <c r="D662" s="292" t="s">
        <v>988</v>
      </c>
      <c r="E662" s="292"/>
      <c r="F662" s="293" t="s">
        <v>42</v>
      </c>
      <c r="G662" s="310" t="s">
        <v>57</v>
      </c>
      <c r="H662" s="311"/>
      <c r="I662" s="297" t="s">
        <v>1174</v>
      </c>
      <c r="J662" s="292" t="s">
        <v>1175</v>
      </c>
      <c r="K662" s="303" t="s">
        <v>1176</v>
      </c>
    </row>
    <row r="663" spans="1:17" ht="12">
      <c r="A663" s="290">
        <v>25302</v>
      </c>
      <c r="B663" s="291" t="s">
        <v>1191</v>
      </c>
      <c r="C663" s="297" t="s">
        <v>1192</v>
      </c>
      <c r="D663" s="297" t="s">
        <v>212</v>
      </c>
      <c r="E663" s="297" t="s">
        <v>2103</v>
      </c>
      <c r="F663" s="293" t="s">
        <v>42</v>
      </c>
      <c r="G663" s="310" t="s">
        <v>66</v>
      </c>
      <c r="H663" s="311" t="s">
        <v>44</v>
      </c>
      <c r="I663" s="297" t="s">
        <v>1174</v>
      </c>
      <c r="J663" s="297" t="s">
        <v>1175</v>
      </c>
      <c r="K663" s="303" t="s">
        <v>1176</v>
      </c>
    </row>
    <row r="664" spans="1:17" ht="12">
      <c r="A664" s="290">
        <v>25074</v>
      </c>
      <c r="B664" s="291" t="s">
        <v>2209</v>
      </c>
      <c r="C664" s="292" t="s">
        <v>2210</v>
      </c>
      <c r="D664" s="292" t="s">
        <v>2211</v>
      </c>
      <c r="E664" s="292"/>
      <c r="F664" s="293" t="s">
        <v>42</v>
      </c>
      <c r="G664" s="310" t="s">
        <v>43</v>
      </c>
      <c r="H664" s="311"/>
      <c r="I664" s="292" t="s">
        <v>1174</v>
      </c>
      <c r="J664" s="292" t="s">
        <v>1175</v>
      </c>
      <c r="K664" s="303" t="s">
        <v>1176</v>
      </c>
    </row>
    <row r="665" spans="1:17" ht="12">
      <c r="A665" s="290">
        <v>16402</v>
      </c>
      <c r="B665" s="291" t="s">
        <v>1193</v>
      </c>
      <c r="C665" s="292" t="s">
        <v>1194</v>
      </c>
      <c r="D665" s="292" t="s">
        <v>988</v>
      </c>
      <c r="E665" s="292"/>
      <c r="F665" s="293" t="s">
        <v>42</v>
      </c>
      <c r="G665" s="310" t="s">
        <v>51</v>
      </c>
      <c r="H665" s="311" t="s">
        <v>44</v>
      </c>
      <c r="I665" s="292" t="s">
        <v>1174</v>
      </c>
      <c r="J665" s="292" t="s">
        <v>1175</v>
      </c>
      <c r="K665" s="303" t="s">
        <v>1176</v>
      </c>
    </row>
    <row r="666" spans="1:17" ht="12">
      <c r="A666" s="290">
        <v>16763</v>
      </c>
      <c r="B666" s="291" t="s">
        <v>1195</v>
      </c>
      <c r="C666" s="292" t="s">
        <v>59</v>
      </c>
      <c r="D666" s="292" t="s">
        <v>703</v>
      </c>
      <c r="E666" s="292"/>
      <c r="F666" s="293" t="s">
        <v>42</v>
      </c>
      <c r="G666" s="310" t="s">
        <v>43</v>
      </c>
      <c r="H666" s="311" t="s">
        <v>65</v>
      </c>
      <c r="I666" s="292" t="s">
        <v>1174</v>
      </c>
      <c r="J666" s="292" t="s">
        <v>1175</v>
      </c>
      <c r="K666" s="303" t="s">
        <v>1176</v>
      </c>
    </row>
    <row r="667" spans="1:17" ht="12">
      <c r="A667" s="290">
        <v>16391</v>
      </c>
      <c r="B667" s="291" t="s">
        <v>2212</v>
      </c>
      <c r="C667" s="297" t="s">
        <v>2213</v>
      </c>
      <c r="D667" s="297" t="s">
        <v>212</v>
      </c>
      <c r="E667" s="297" t="s">
        <v>2103</v>
      </c>
      <c r="F667" s="293" t="s">
        <v>42</v>
      </c>
      <c r="G667" s="300" t="s">
        <v>57</v>
      </c>
      <c r="H667" s="301">
        <v>0</v>
      </c>
      <c r="I667" s="297" t="s">
        <v>1174</v>
      </c>
      <c r="J667" s="297" t="s">
        <v>1175</v>
      </c>
      <c r="K667" s="303" t="s">
        <v>1176</v>
      </c>
    </row>
    <row r="668" spans="1:17" ht="12">
      <c r="A668" s="290">
        <v>25802</v>
      </c>
      <c r="B668" s="291">
        <v>9105696</v>
      </c>
      <c r="C668" s="297" t="s">
        <v>1196</v>
      </c>
      <c r="D668" s="297" t="s">
        <v>299</v>
      </c>
      <c r="E668" s="297" t="s">
        <v>2103</v>
      </c>
      <c r="F668" s="293" t="s">
        <v>42</v>
      </c>
      <c r="G668" s="310" t="s">
        <v>57</v>
      </c>
      <c r="H668" s="311" t="s">
        <v>50</v>
      </c>
      <c r="I668" s="297" t="s">
        <v>1174</v>
      </c>
      <c r="J668" s="297" t="s">
        <v>1175</v>
      </c>
      <c r="K668" s="303" t="s">
        <v>1176</v>
      </c>
      <c r="L668" s="26"/>
      <c r="M668" s="26"/>
      <c r="N668" s="26"/>
      <c r="Q668" s="30"/>
    </row>
    <row r="669" spans="1:17" ht="12">
      <c r="A669" s="290">
        <v>16390</v>
      </c>
      <c r="B669" s="291" t="s">
        <v>1197</v>
      </c>
      <c r="C669" s="297" t="s">
        <v>1198</v>
      </c>
      <c r="D669" s="297" t="s">
        <v>581</v>
      </c>
      <c r="E669" s="297" t="s">
        <v>2103</v>
      </c>
      <c r="F669" s="293" t="s">
        <v>42</v>
      </c>
      <c r="G669" s="310" t="s">
        <v>51</v>
      </c>
      <c r="H669" s="311" t="s">
        <v>44</v>
      </c>
      <c r="I669" s="297" t="s">
        <v>1174</v>
      </c>
      <c r="J669" s="297" t="s">
        <v>1175</v>
      </c>
      <c r="K669" s="303" t="s">
        <v>1176</v>
      </c>
    </row>
    <row r="670" spans="1:17" ht="12">
      <c r="A670" s="290">
        <v>16389</v>
      </c>
      <c r="B670" s="291">
        <v>9109464</v>
      </c>
      <c r="C670" s="292" t="s">
        <v>1199</v>
      </c>
      <c r="D670" s="292" t="s">
        <v>283</v>
      </c>
      <c r="E670" s="292"/>
      <c r="F670" s="293" t="s">
        <v>42</v>
      </c>
      <c r="G670" s="310" t="s">
        <v>57</v>
      </c>
      <c r="H670" s="311" t="s">
        <v>103</v>
      </c>
      <c r="I670" s="297" t="s">
        <v>1174</v>
      </c>
      <c r="J670" s="292" t="s">
        <v>1175</v>
      </c>
      <c r="K670" s="303" t="s">
        <v>1176</v>
      </c>
    </row>
    <row r="671" spans="1:17" ht="12">
      <c r="A671" s="290">
        <v>21197</v>
      </c>
      <c r="B671" s="291" t="s">
        <v>1200</v>
      </c>
      <c r="C671" s="297" t="s">
        <v>1201</v>
      </c>
      <c r="D671" s="297" t="s">
        <v>58</v>
      </c>
      <c r="E671" s="297" t="s">
        <v>2103</v>
      </c>
      <c r="F671" s="293" t="s">
        <v>42</v>
      </c>
      <c r="G671" s="310" t="s">
        <v>43</v>
      </c>
      <c r="H671" s="311" t="s">
        <v>179</v>
      </c>
      <c r="I671" s="297" t="s">
        <v>1174</v>
      </c>
      <c r="J671" s="297" t="s">
        <v>1175</v>
      </c>
      <c r="K671" s="303" t="s">
        <v>1176</v>
      </c>
    </row>
    <row r="672" spans="1:17" ht="12">
      <c r="A672" s="290">
        <v>7493</v>
      </c>
      <c r="B672" s="291" t="s">
        <v>1202</v>
      </c>
      <c r="C672" s="292" t="s">
        <v>1203</v>
      </c>
      <c r="D672" s="292" t="s">
        <v>72</v>
      </c>
      <c r="E672" s="292"/>
      <c r="F672" s="293" t="s">
        <v>42</v>
      </c>
      <c r="G672" s="310" t="s">
        <v>57</v>
      </c>
      <c r="H672" s="311" t="s">
        <v>44</v>
      </c>
      <c r="I672" s="292" t="s">
        <v>1174</v>
      </c>
      <c r="J672" s="292" t="s">
        <v>1175</v>
      </c>
      <c r="K672" s="303" t="s">
        <v>1176</v>
      </c>
    </row>
    <row r="673" spans="1:11" ht="12">
      <c r="A673" s="290">
        <v>38932</v>
      </c>
      <c r="B673" s="291" t="s">
        <v>2526</v>
      </c>
      <c r="C673" s="292" t="s">
        <v>2527</v>
      </c>
      <c r="D673" s="292" t="s">
        <v>87</v>
      </c>
      <c r="E673" s="292"/>
      <c r="F673" s="293" t="s">
        <v>42</v>
      </c>
      <c r="G673" s="310" t="s">
        <v>43</v>
      </c>
      <c r="H673" s="311">
        <v>0</v>
      </c>
      <c r="I673" s="292" t="s">
        <v>1174</v>
      </c>
      <c r="J673" s="292" t="s">
        <v>1175</v>
      </c>
      <c r="K673" s="303" t="s">
        <v>1176</v>
      </c>
    </row>
    <row r="674" spans="1:11" ht="12">
      <c r="A674" s="290">
        <v>25554</v>
      </c>
      <c r="B674" s="291" t="s">
        <v>1207</v>
      </c>
      <c r="C674" s="292" t="s">
        <v>1208</v>
      </c>
      <c r="D674" s="292" t="s">
        <v>747</v>
      </c>
      <c r="E674" s="292"/>
      <c r="F674" s="293" t="s">
        <v>42</v>
      </c>
      <c r="G674" s="310" t="s">
        <v>51</v>
      </c>
      <c r="H674" s="311" t="s">
        <v>65</v>
      </c>
      <c r="I674" s="292" t="s">
        <v>1206</v>
      </c>
      <c r="J674" s="292" t="s">
        <v>1175</v>
      </c>
      <c r="K674" s="303" t="s">
        <v>1176</v>
      </c>
    </row>
    <row r="675" spans="1:11" ht="12">
      <c r="A675" s="290">
        <v>38706</v>
      </c>
      <c r="B675" s="291" t="s">
        <v>1879</v>
      </c>
      <c r="C675" s="302" t="s">
        <v>271</v>
      </c>
      <c r="D675" s="297" t="s">
        <v>1880</v>
      </c>
      <c r="E675" s="297" t="s">
        <v>2103</v>
      </c>
      <c r="F675" s="293" t="s">
        <v>42</v>
      </c>
      <c r="G675" s="310" t="s">
        <v>88</v>
      </c>
      <c r="H675" s="311" t="s">
        <v>103</v>
      </c>
      <c r="I675" s="297" t="s">
        <v>1206</v>
      </c>
      <c r="J675" s="297" t="s">
        <v>1175</v>
      </c>
      <c r="K675" s="303" t="s">
        <v>1176</v>
      </c>
    </row>
    <row r="676" spans="1:11" ht="12">
      <c r="A676" s="290">
        <v>16398</v>
      </c>
      <c r="B676" s="291" t="s">
        <v>1209</v>
      </c>
      <c r="C676" s="292" t="s">
        <v>1210</v>
      </c>
      <c r="D676" s="292" t="s">
        <v>1211</v>
      </c>
      <c r="E676" s="292"/>
      <c r="F676" s="293" t="s">
        <v>42</v>
      </c>
      <c r="G676" s="310" t="s">
        <v>66</v>
      </c>
      <c r="H676" s="311" t="s">
        <v>179</v>
      </c>
      <c r="I676" s="297" t="s">
        <v>1206</v>
      </c>
      <c r="J676" s="292" t="s">
        <v>1175</v>
      </c>
      <c r="K676" s="303" t="s">
        <v>1176</v>
      </c>
    </row>
    <row r="677" spans="1:11" ht="12">
      <c r="A677" s="290">
        <v>7418</v>
      </c>
      <c r="B677" s="291" t="s">
        <v>1212</v>
      </c>
      <c r="C677" s="292" t="s">
        <v>1213</v>
      </c>
      <c r="D677" s="292" t="s">
        <v>768</v>
      </c>
      <c r="E677" s="292"/>
      <c r="F677" s="293" t="s">
        <v>42</v>
      </c>
      <c r="G677" s="310" t="s">
        <v>66</v>
      </c>
      <c r="H677" s="311" t="s">
        <v>179</v>
      </c>
      <c r="I677" s="292" t="s">
        <v>1206</v>
      </c>
      <c r="J677" s="292" t="s">
        <v>1175</v>
      </c>
      <c r="K677" s="303" t="s">
        <v>1176</v>
      </c>
    </row>
    <row r="678" spans="1:11" ht="12">
      <c r="A678" s="290">
        <v>38673</v>
      </c>
      <c r="B678" s="291" t="s">
        <v>1663</v>
      </c>
      <c r="C678" s="292" t="s">
        <v>1213</v>
      </c>
      <c r="D678" s="292" t="s">
        <v>1664</v>
      </c>
      <c r="E678" s="292"/>
      <c r="F678" s="293" t="s">
        <v>42</v>
      </c>
      <c r="G678" s="310" t="s">
        <v>93</v>
      </c>
      <c r="H678" s="311" t="s">
        <v>44</v>
      </c>
      <c r="I678" s="292" t="s">
        <v>1206</v>
      </c>
      <c r="J678" s="292" t="s">
        <v>1175</v>
      </c>
      <c r="K678" s="303" t="s">
        <v>1176</v>
      </c>
    </row>
    <row r="679" spans="1:11" ht="12">
      <c r="A679" s="290">
        <v>7596</v>
      </c>
      <c r="B679" s="291" t="s">
        <v>1214</v>
      </c>
      <c r="C679" s="292" t="s">
        <v>1215</v>
      </c>
      <c r="D679" s="292" t="s">
        <v>124</v>
      </c>
      <c r="E679" s="292"/>
      <c r="F679" s="293" t="s">
        <v>42</v>
      </c>
      <c r="G679" s="294" t="s">
        <v>66</v>
      </c>
      <c r="H679" s="295">
        <v>0</v>
      </c>
      <c r="I679" s="292" t="s">
        <v>1206</v>
      </c>
      <c r="J679" s="292" t="s">
        <v>1175</v>
      </c>
      <c r="K679" s="303" t="s">
        <v>1176</v>
      </c>
    </row>
    <row r="680" spans="1:11" ht="12">
      <c r="A680" s="290">
        <v>38918</v>
      </c>
      <c r="B680" s="291" t="s">
        <v>2528</v>
      </c>
      <c r="C680" s="292" t="s">
        <v>2529</v>
      </c>
      <c r="D680" s="292" t="s">
        <v>828</v>
      </c>
      <c r="E680" s="292"/>
      <c r="F680" s="293" t="s">
        <v>42</v>
      </c>
      <c r="G680" s="294" t="s">
        <v>43</v>
      </c>
      <c r="H680" s="295">
        <v>0</v>
      </c>
      <c r="I680" s="292" t="s">
        <v>1206</v>
      </c>
      <c r="J680" s="292" t="s">
        <v>1175</v>
      </c>
      <c r="K680" s="303" t="s">
        <v>1176</v>
      </c>
    </row>
    <row r="681" spans="1:11" ht="12">
      <c r="A681" s="290">
        <v>38910</v>
      </c>
      <c r="B681" s="291" t="s">
        <v>2530</v>
      </c>
      <c r="C681" s="292" t="s">
        <v>2529</v>
      </c>
      <c r="D681" s="292" t="s">
        <v>2531</v>
      </c>
      <c r="E681" s="292"/>
      <c r="F681" s="293" t="s">
        <v>48</v>
      </c>
      <c r="G681" s="294" t="s">
        <v>774</v>
      </c>
      <c r="H681" s="295">
        <v>0</v>
      </c>
      <c r="I681" s="292" t="s">
        <v>1206</v>
      </c>
      <c r="J681" s="292" t="s">
        <v>1175</v>
      </c>
      <c r="K681" s="303" t="s">
        <v>1176</v>
      </c>
    </row>
    <row r="682" spans="1:11" ht="12">
      <c r="A682" s="290">
        <v>7881</v>
      </c>
      <c r="B682" s="291" t="s">
        <v>1216</v>
      </c>
      <c r="C682" s="292" t="s">
        <v>1217</v>
      </c>
      <c r="D682" s="292" t="s">
        <v>687</v>
      </c>
      <c r="E682" s="292"/>
      <c r="F682" s="293" t="s">
        <v>42</v>
      </c>
      <c r="G682" s="310" t="s">
        <v>43</v>
      </c>
      <c r="H682" s="311" t="s">
        <v>179</v>
      </c>
      <c r="I682" s="292" t="s">
        <v>1206</v>
      </c>
      <c r="J682" s="292" t="s">
        <v>1175</v>
      </c>
      <c r="K682" s="303" t="s">
        <v>1176</v>
      </c>
    </row>
    <row r="683" spans="1:11" ht="12">
      <c r="A683" s="290">
        <v>7883</v>
      </c>
      <c r="B683" s="291" t="s">
        <v>1218</v>
      </c>
      <c r="C683" s="292" t="s">
        <v>1219</v>
      </c>
      <c r="D683" s="292" t="s">
        <v>1170</v>
      </c>
      <c r="E683" s="292"/>
      <c r="F683" s="293" t="s">
        <v>42</v>
      </c>
      <c r="G683" s="310" t="s">
        <v>66</v>
      </c>
      <c r="H683" s="311" t="s">
        <v>238</v>
      </c>
      <c r="I683" s="292" t="s">
        <v>1206</v>
      </c>
      <c r="J683" s="292" t="s">
        <v>1175</v>
      </c>
      <c r="K683" s="303" t="s">
        <v>1176</v>
      </c>
    </row>
    <row r="684" spans="1:11" ht="12">
      <c r="A684" s="290">
        <v>25540</v>
      </c>
      <c r="B684" s="291" t="s">
        <v>1919</v>
      </c>
      <c r="C684" s="297" t="s">
        <v>1219</v>
      </c>
      <c r="D684" s="297" t="s">
        <v>487</v>
      </c>
      <c r="E684" s="297" t="s">
        <v>2103</v>
      </c>
      <c r="F684" s="293" t="s">
        <v>42</v>
      </c>
      <c r="G684" s="310" t="s">
        <v>43</v>
      </c>
      <c r="H684" s="311" t="s">
        <v>238</v>
      </c>
      <c r="I684" s="297" t="s">
        <v>1206</v>
      </c>
      <c r="J684" s="297" t="s">
        <v>1175</v>
      </c>
      <c r="K684" s="303" t="s">
        <v>1176</v>
      </c>
    </row>
    <row r="685" spans="1:11" ht="12">
      <c r="A685" s="290">
        <v>38890</v>
      </c>
      <c r="B685" s="291" t="s">
        <v>2532</v>
      </c>
      <c r="C685" s="292" t="s">
        <v>2533</v>
      </c>
      <c r="D685" s="292" t="s">
        <v>137</v>
      </c>
      <c r="E685" s="292"/>
      <c r="F685" s="293" t="s">
        <v>48</v>
      </c>
      <c r="G685" s="310" t="s">
        <v>774</v>
      </c>
      <c r="H685" s="311" t="s">
        <v>103</v>
      </c>
      <c r="I685" s="292" t="s">
        <v>1206</v>
      </c>
      <c r="J685" s="292" t="s">
        <v>1175</v>
      </c>
      <c r="K685" s="303" t="s">
        <v>1176</v>
      </c>
    </row>
    <row r="686" spans="1:11" ht="12">
      <c r="A686" s="290">
        <v>25675</v>
      </c>
      <c r="B686" s="291" t="s">
        <v>2534</v>
      </c>
      <c r="C686" s="292" t="s">
        <v>1373</v>
      </c>
      <c r="D686" s="292" t="s">
        <v>77</v>
      </c>
      <c r="E686" s="292"/>
      <c r="F686" s="293" t="s">
        <v>48</v>
      </c>
      <c r="G686" s="310" t="s">
        <v>138</v>
      </c>
      <c r="H686" s="311" t="s">
        <v>44</v>
      </c>
      <c r="I686" s="292" t="s">
        <v>1206</v>
      </c>
      <c r="J686" s="292" t="s">
        <v>1175</v>
      </c>
      <c r="K686" s="303" t="s">
        <v>1176</v>
      </c>
    </row>
    <row r="687" spans="1:11" ht="12">
      <c r="A687" s="290">
        <v>7557</v>
      </c>
      <c r="B687" s="291" t="s">
        <v>1223</v>
      </c>
      <c r="C687" s="292" t="s">
        <v>1224</v>
      </c>
      <c r="D687" s="292" t="s">
        <v>380</v>
      </c>
      <c r="E687" s="292"/>
      <c r="F687" s="293" t="s">
        <v>42</v>
      </c>
      <c r="G687" s="310" t="s">
        <v>66</v>
      </c>
      <c r="H687" s="311" t="s">
        <v>65</v>
      </c>
      <c r="I687" s="292" t="s">
        <v>1206</v>
      </c>
      <c r="J687" s="292" t="s">
        <v>1175</v>
      </c>
      <c r="K687" s="303" t="s">
        <v>1176</v>
      </c>
    </row>
    <row r="688" spans="1:11" ht="12">
      <c r="A688" s="290">
        <v>7879</v>
      </c>
      <c r="B688" s="291" t="s">
        <v>1225</v>
      </c>
      <c r="C688" s="292" t="s">
        <v>1226</v>
      </c>
      <c r="D688" s="292" t="s">
        <v>124</v>
      </c>
      <c r="E688" s="292"/>
      <c r="F688" s="293" t="s">
        <v>42</v>
      </c>
      <c r="G688" s="310" t="s">
        <v>43</v>
      </c>
      <c r="H688" s="311" t="s">
        <v>238</v>
      </c>
      <c r="I688" s="292" t="s">
        <v>1206</v>
      </c>
      <c r="J688" s="292" t="s">
        <v>1175</v>
      </c>
      <c r="K688" s="303" t="s">
        <v>1176</v>
      </c>
    </row>
    <row r="689" spans="1:11" ht="12">
      <c r="A689" s="290">
        <v>38868</v>
      </c>
      <c r="B689" s="291" t="s">
        <v>2337</v>
      </c>
      <c r="C689" s="292" t="s">
        <v>1192</v>
      </c>
      <c r="D689" s="292" t="s">
        <v>2205</v>
      </c>
      <c r="E689" s="292"/>
      <c r="F689" s="293" t="s">
        <v>48</v>
      </c>
      <c r="G689" s="310" t="s">
        <v>339</v>
      </c>
      <c r="H689" s="311" t="s">
        <v>103</v>
      </c>
      <c r="I689" s="292" t="s">
        <v>1206</v>
      </c>
      <c r="J689" s="292" t="s">
        <v>1175</v>
      </c>
      <c r="K689" s="303" t="s">
        <v>1176</v>
      </c>
    </row>
    <row r="690" spans="1:11" ht="12">
      <c r="A690" s="290">
        <v>13493</v>
      </c>
      <c r="B690" s="291" t="s">
        <v>1227</v>
      </c>
      <c r="C690" s="297" t="s">
        <v>1228</v>
      </c>
      <c r="D690" s="297" t="s">
        <v>98</v>
      </c>
      <c r="E690" s="297" t="s">
        <v>2103</v>
      </c>
      <c r="F690" s="293" t="s">
        <v>42</v>
      </c>
      <c r="G690" s="310" t="s">
        <v>43</v>
      </c>
      <c r="H690" s="311" t="s">
        <v>238</v>
      </c>
      <c r="I690" s="297" t="s">
        <v>1206</v>
      </c>
      <c r="J690" s="297" t="s">
        <v>1175</v>
      </c>
      <c r="K690" s="303" t="s">
        <v>1176</v>
      </c>
    </row>
    <row r="691" spans="1:11" ht="12">
      <c r="A691" s="290">
        <v>38349</v>
      </c>
      <c r="B691" s="291" t="s">
        <v>1627</v>
      </c>
      <c r="C691" s="292" t="s">
        <v>1628</v>
      </c>
      <c r="D691" s="292" t="s">
        <v>1629</v>
      </c>
      <c r="E691" s="292"/>
      <c r="F691" s="293" t="s">
        <v>42</v>
      </c>
      <c r="G691" s="310" t="s">
        <v>359</v>
      </c>
      <c r="H691" s="311" t="s">
        <v>65</v>
      </c>
      <c r="I691" s="292" t="s">
        <v>1206</v>
      </c>
      <c r="J691" s="292" t="s">
        <v>1175</v>
      </c>
      <c r="K691" s="303" t="s">
        <v>1176</v>
      </c>
    </row>
    <row r="692" spans="1:11" ht="12">
      <c r="A692" s="290">
        <v>27134</v>
      </c>
      <c r="B692" s="291" t="s">
        <v>2535</v>
      </c>
      <c r="C692" s="292" t="s">
        <v>1918</v>
      </c>
      <c r="D692" s="292" t="s">
        <v>81</v>
      </c>
      <c r="E692" s="292"/>
      <c r="F692" s="293" t="s">
        <v>42</v>
      </c>
      <c r="G692" s="310" t="s">
        <v>43</v>
      </c>
      <c r="H692" s="311" t="s">
        <v>179</v>
      </c>
      <c r="I692" s="292" t="s">
        <v>1206</v>
      </c>
      <c r="J692" s="292" t="s">
        <v>1175</v>
      </c>
      <c r="K692" s="303" t="s">
        <v>1176</v>
      </c>
    </row>
    <row r="693" spans="1:11" ht="12">
      <c r="A693" s="290">
        <v>38648</v>
      </c>
      <c r="B693" s="291" t="s">
        <v>930</v>
      </c>
      <c r="C693" s="292" t="s">
        <v>711</v>
      </c>
      <c r="D693" s="292" t="s">
        <v>931</v>
      </c>
      <c r="E693" s="292"/>
      <c r="F693" s="293" t="s">
        <v>42</v>
      </c>
      <c r="G693" s="310" t="s">
        <v>43</v>
      </c>
      <c r="H693" s="311" t="s">
        <v>179</v>
      </c>
      <c r="I693" s="292" t="s">
        <v>1206</v>
      </c>
      <c r="J693" s="292" t="s">
        <v>1175</v>
      </c>
      <c r="K693" s="303" t="s">
        <v>1176</v>
      </c>
    </row>
    <row r="694" spans="1:11" ht="12">
      <c r="A694" s="290">
        <v>25839</v>
      </c>
      <c r="B694" s="291" t="s">
        <v>2536</v>
      </c>
      <c r="C694" s="297" t="s">
        <v>1229</v>
      </c>
      <c r="D694" s="297" t="s">
        <v>64</v>
      </c>
      <c r="E694" s="297" t="s">
        <v>2103</v>
      </c>
      <c r="F694" s="293" t="s">
        <v>42</v>
      </c>
      <c r="G694" s="310" t="s">
        <v>51</v>
      </c>
      <c r="H694" s="311" t="s">
        <v>44</v>
      </c>
      <c r="I694" s="297" t="s">
        <v>1206</v>
      </c>
      <c r="J694" s="297" t="s">
        <v>1175</v>
      </c>
      <c r="K694" s="303" t="s">
        <v>1176</v>
      </c>
    </row>
    <row r="695" spans="1:11" ht="12">
      <c r="A695" s="290">
        <v>25778</v>
      </c>
      <c r="B695" s="291" t="s">
        <v>2537</v>
      </c>
      <c r="C695" s="292" t="s">
        <v>1692</v>
      </c>
      <c r="D695" s="292" t="s">
        <v>106</v>
      </c>
      <c r="E695" s="292"/>
      <c r="F695" s="293" t="s">
        <v>42</v>
      </c>
      <c r="G695" s="310" t="s">
        <v>66</v>
      </c>
      <c r="H695" s="311" t="s">
        <v>65</v>
      </c>
      <c r="I695" s="292" t="s">
        <v>1206</v>
      </c>
      <c r="J695" s="292" t="s">
        <v>1175</v>
      </c>
      <c r="K695" s="303" t="s">
        <v>1176</v>
      </c>
    </row>
    <row r="696" spans="1:11" ht="12">
      <c r="A696" s="290">
        <v>7489</v>
      </c>
      <c r="B696" s="291" t="s">
        <v>1403</v>
      </c>
      <c r="C696" s="297" t="s">
        <v>396</v>
      </c>
      <c r="D696" s="297" t="s">
        <v>98</v>
      </c>
      <c r="E696" s="297" t="s">
        <v>2103</v>
      </c>
      <c r="F696" s="293" t="s">
        <v>42</v>
      </c>
      <c r="G696" s="310" t="s">
        <v>66</v>
      </c>
      <c r="H696" s="311" t="s">
        <v>179</v>
      </c>
      <c r="I696" s="297" t="s">
        <v>1206</v>
      </c>
      <c r="J696" s="297" t="s">
        <v>1175</v>
      </c>
      <c r="K696" s="303" t="s">
        <v>1176</v>
      </c>
    </row>
    <row r="697" spans="1:11" ht="12">
      <c r="A697" s="290">
        <v>38769</v>
      </c>
      <c r="B697" s="291" t="s">
        <v>2032</v>
      </c>
      <c r="C697" s="292" t="s">
        <v>2033</v>
      </c>
      <c r="D697" s="292" t="s">
        <v>262</v>
      </c>
      <c r="E697" s="292"/>
      <c r="F697" s="293" t="s">
        <v>42</v>
      </c>
      <c r="G697" s="310" t="s">
        <v>93</v>
      </c>
      <c r="H697" s="311" t="s">
        <v>44</v>
      </c>
      <c r="I697" s="292" t="s">
        <v>1206</v>
      </c>
      <c r="J697" s="292" t="s">
        <v>1175</v>
      </c>
      <c r="K697" s="303" t="s">
        <v>1176</v>
      </c>
    </row>
    <row r="698" spans="1:11" ht="12">
      <c r="A698" s="290">
        <v>38785</v>
      </c>
      <c r="B698" s="291" t="s">
        <v>2098</v>
      </c>
      <c r="C698" s="292" t="s">
        <v>1230</v>
      </c>
      <c r="D698" s="292" t="s">
        <v>2099</v>
      </c>
      <c r="E698" s="292"/>
      <c r="F698" s="293" t="s">
        <v>48</v>
      </c>
      <c r="G698" s="310" t="s">
        <v>774</v>
      </c>
      <c r="H698" s="311" t="s">
        <v>103</v>
      </c>
      <c r="I698" s="292" t="s">
        <v>1206</v>
      </c>
      <c r="J698" s="292" t="s">
        <v>1175</v>
      </c>
      <c r="K698" s="303" t="s">
        <v>1176</v>
      </c>
    </row>
    <row r="699" spans="1:11" ht="12">
      <c r="A699" s="290">
        <v>7442</v>
      </c>
      <c r="B699" s="291" t="s">
        <v>1920</v>
      </c>
      <c r="C699" s="292" t="s">
        <v>1230</v>
      </c>
      <c r="D699" s="292" t="s">
        <v>1921</v>
      </c>
      <c r="E699" s="292"/>
      <c r="F699" s="293" t="s">
        <v>48</v>
      </c>
      <c r="G699" s="310" t="s">
        <v>78</v>
      </c>
      <c r="H699" s="311" t="s">
        <v>44</v>
      </c>
      <c r="I699" s="292" t="s">
        <v>1206</v>
      </c>
      <c r="J699" s="292" t="s">
        <v>1175</v>
      </c>
      <c r="K699" s="303" t="s">
        <v>1176</v>
      </c>
    </row>
    <row r="700" spans="1:11" ht="12">
      <c r="A700" s="290">
        <v>7653</v>
      </c>
      <c r="B700" s="291">
        <v>9099125</v>
      </c>
      <c r="C700" s="292" t="s">
        <v>1230</v>
      </c>
      <c r="D700" s="292" t="s">
        <v>490</v>
      </c>
      <c r="E700" s="292"/>
      <c r="F700" s="293" t="s">
        <v>42</v>
      </c>
      <c r="G700" s="310" t="s">
        <v>43</v>
      </c>
      <c r="H700" s="311" t="s">
        <v>238</v>
      </c>
      <c r="I700" s="292" t="s">
        <v>1206</v>
      </c>
      <c r="J700" s="292" t="s">
        <v>1175</v>
      </c>
      <c r="K700" s="303" t="s">
        <v>1176</v>
      </c>
    </row>
    <row r="701" spans="1:11" ht="12">
      <c r="A701" s="290">
        <v>38659</v>
      </c>
      <c r="B701" s="291" t="s">
        <v>1668</v>
      </c>
      <c r="C701" s="292" t="s">
        <v>1669</v>
      </c>
      <c r="D701" s="292" t="s">
        <v>539</v>
      </c>
      <c r="E701" s="292"/>
      <c r="F701" s="293" t="s">
        <v>42</v>
      </c>
      <c r="G701" s="310" t="s">
        <v>359</v>
      </c>
      <c r="H701" s="311" t="s">
        <v>179</v>
      </c>
      <c r="I701" s="292" t="s">
        <v>1206</v>
      </c>
      <c r="J701" s="292" t="s">
        <v>1175</v>
      </c>
      <c r="K701" s="303" t="s">
        <v>1176</v>
      </c>
    </row>
    <row r="702" spans="1:11" ht="12">
      <c r="A702" s="290">
        <v>38660</v>
      </c>
      <c r="B702" s="291" t="s">
        <v>1670</v>
      </c>
      <c r="C702" s="292" t="s">
        <v>1669</v>
      </c>
      <c r="D702" s="292" t="s">
        <v>1671</v>
      </c>
      <c r="E702" s="292"/>
      <c r="F702" s="293" t="s">
        <v>42</v>
      </c>
      <c r="G702" s="310" t="s">
        <v>359</v>
      </c>
      <c r="H702" s="311" t="s">
        <v>179</v>
      </c>
      <c r="I702" s="292" t="s">
        <v>1206</v>
      </c>
      <c r="J702" s="292" t="s">
        <v>1175</v>
      </c>
      <c r="K702" s="303" t="s">
        <v>1176</v>
      </c>
    </row>
    <row r="703" spans="1:11" ht="12">
      <c r="A703" s="290">
        <v>38830</v>
      </c>
      <c r="B703" s="291" t="s">
        <v>2214</v>
      </c>
      <c r="C703" s="292" t="s">
        <v>2215</v>
      </c>
      <c r="D703" s="292" t="s">
        <v>1060</v>
      </c>
      <c r="E703" s="292"/>
      <c r="F703" s="293" t="s">
        <v>42</v>
      </c>
      <c r="G703" s="310" t="s">
        <v>43</v>
      </c>
      <c r="H703" s="311" t="s">
        <v>44</v>
      </c>
      <c r="I703" s="292" t="s">
        <v>1206</v>
      </c>
      <c r="J703" s="292" t="s">
        <v>1175</v>
      </c>
      <c r="K703" s="303" t="s">
        <v>1176</v>
      </c>
    </row>
    <row r="704" spans="1:11" ht="12">
      <c r="A704" s="290">
        <v>24496</v>
      </c>
      <c r="B704" s="291" t="s">
        <v>2216</v>
      </c>
      <c r="C704" s="292" t="s">
        <v>2217</v>
      </c>
      <c r="D704" s="292" t="s">
        <v>632</v>
      </c>
      <c r="E704" s="292"/>
      <c r="F704" s="293" t="s">
        <v>42</v>
      </c>
      <c r="G704" s="310" t="s">
        <v>43</v>
      </c>
      <c r="H704" s="311" t="s">
        <v>179</v>
      </c>
      <c r="I704" s="292" t="s">
        <v>1206</v>
      </c>
      <c r="J704" s="292" t="s">
        <v>1175</v>
      </c>
      <c r="K704" s="303" t="s">
        <v>1176</v>
      </c>
    </row>
    <row r="705" spans="1:17" ht="12">
      <c r="A705" s="290">
        <v>7428</v>
      </c>
      <c r="B705" s="291" t="s">
        <v>1693</v>
      </c>
      <c r="C705" s="292" t="s">
        <v>1694</v>
      </c>
      <c r="D705" s="292" t="s">
        <v>106</v>
      </c>
      <c r="E705" s="292"/>
      <c r="F705" s="293" t="s">
        <v>42</v>
      </c>
      <c r="G705" s="294" t="s">
        <v>43</v>
      </c>
      <c r="H705" s="295">
        <v>0</v>
      </c>
      <c r="I705" s="297" t="s">
        <v>1206</v>
      </c>
      <c r="J705" s="297" t="s">
        <v>1175</v>
      </c>
      <c r="K705" s="303" t="s">
        <v>1176</v>
      </c>
    </row>
    <row r="706" spans="1:17" ht="12">
      <c r="A706" s="290">
        <v>7602</v>
      </c>
      <c r="B706" s="291" t="s">
        <v>2538</v>
      </c>
      <c r="C706" s="292" t="s">
        <v>1234</v>
      </c>
      <c r="D706" s="292" t="s">
        <v>402</v>
      </c>
      <c r="E706" s="292"/>
      <c r="F706" s="293" t="s">
        <v>42</v>
      </c>
      <c r="G706" s="310" t="s">
        <v>43</v>
      </c>
      <c r="H706" s="311"/>
      <c r="I706" s="292" t="s">
        <v>1206</v>
      </c>
      <c r="J706" s="292" t="s">
        <v>1175</v>
      </c>
      <c r="K706" s="303" t="s">
        <v>1176</v>
      </c>
    </row>
    <row r="707" spans="1:17" ht="12">
      <c r="A707" s="290">
        <v>38801</v>
      </c>
      <c r="B707" s="291" t="s">
        <v>2242</v>
      </c>
      <c r="C707" s="297" t="s">
        <v>2243</v>
      </c>
      <c r="D707" s="297" t="s">
        <v>1110</v>
      </c>
      <c r="E707" s="297" t="s">
        <v>2103</v>
      </c>
      <c r="F707" s="293" t="s">
        <v>48</v>
      </c>
      <c r="G707" s="310" t="s">
        <v>138</v>
      </c>
      <c r="H707" s="311" t="s">
        <v>44</v>
      </c>
      <c r="I707" s="297" t="s">
        <v>1206</v>
      </c>
      <c r="J707" s="297" t="s">
        <v>1175</v>
      </c>
      <c r="K707" s="303" t="s">
        <v>1176</v>
      </c>
    </row>
    <row r="708" spans="1:17">
      <c r="A708" s="312">
        <v>41008</v>
      </c>
      <c r="B708" s="313" t="s">
        <v>2539</v>
      </c>
      <c r="C708" s="314" t="s">
        <v>2540</v>
      </c>
      <c r="D708" s="314" t="s">
        <v>281</v>
      </c>
      <c r="E708" s="314"/>
      <c r="F708" s="315" t="s">
        <v>42</v>
      </c>
      <c r="G708" s="317" t="s">
        <v>43</v>
      </c>
      <c r="H708" s="318" t="s">
        <v>65</v>
      </c>
      <c r="I708" s="314" t="s">
        <v>1206</v>
      </c>
      <c r="J708" s="314" t="s">
        <v>1175</v>
      </c>
      <c r="K708" s="303" t="s">
        <v>1176</v>
      </c>
    </row>
    <row r="709" spans="1:17" ht="12">
      <c r="A709" s="290">
        <v>7264</v>
      </c>
      <c r="B709" s="291" t="s">
        <v>1235</v>
      </c>
      <c r="C709" s="292" t="s">
        <v>1236</v>
      </c>
      <c r="D709" s="292" t="s">
        <v>768</v>
      </c>
      <c r="E709" s="292"/>
      <c r="F709" s="293" t="s">
        <v>42</v>
      </c>
      <c r="G709" s="310" t="s">
        <v>43</v>
      </c>
      <c r="H709" s="311" t="s">
        <v>179</v>
      </c>
      <c r="I709" s="292" t="s">
        <v>1206</v>
      </c>
      <c r="J709" s="292" t="s">
        <v>1175</v>
      </c>
      <c r="K709" s="303" t="s">
        <v>1176</v>
      </c>
    </row>
    <row r="710" spans="1:17" ht="12">
      <c r="A710" s="290">
        <v>38312</v>
      </c>
      <c r="B710" s="291" t="s">
        <v>1237</v>
      </c>
      <c r="C710" s="292" t="s">
        <v>1238</v>
      </c>
      <c r="D710" s="292" t="s">
        <v>1239</v>
      </c>
      <c r="E710" s="292"/>
      <c r="F710" s="293" t="s">
        <v>42</v>
      </c>
      <c r="G710" s="294" t="s">
        <v>43</v>
      </c>
      <c r="H710" s="295">
        <v>0</v>
      </c>
      <c r="I710" s="292" t="s">
        <v>1206</v>
      </c>
      <c r="J710" s="292" t="s">
        <v>1175</v>
      </c>
      <c r="K710" s="303" t="s">
        <v>1176</v>
      </c>
    </row>
    <row r="711" spans="1:17" ht="12">
      <c r="A711" s="290">
        <v>38634</v>
      </c>
      <c r="B711" s="291" t="s">
        <v>1404</v>
      </c>
      <c r="C711" s="297" t="s">
        <v>1405</v>
      </c>
      <c r="D711" s="297" t="s">
        <v>1406</v>
      </c>
      <c r="E711" s="297" t="s">
        <v>2103</v>
      </c>
      <c r="F711" s="293" t="s">
        <v>48</v>
      </c>
      <c r="G711" s="310" t="s">
        <v>78</v>
      </c>
      <c r="H711" s="311" t="s">
        <v>44</v>
      </c>
      <c r="I711" s="297" t="s">
        <v>1206</v>
      </c>
      <c r="J711" s="297" t="s">
        <v>1175</v>
      </c>
      <c r="K711" s="303" t="s">
        <v>1176</v>
      </c>
    </row>
    <row r="712" spans="1:17" ht="12">
      <c r="A712" s="290">
        <v>38846</v>
      </c>
      <c r="B712" s="291" t="s">
        <v>2218</v>
      </c>
      <c r="C712" s="292" t="s">
        <v>2219</v>
      </c>
      <c r="D712" s="292" t="s">
        <v>1450</v>
      </c>
      <c r="E712" s="292"/>
      <c r="F712" s="293" t="s">
        <v>42</v>
      </c>
      <c r="G712" s="310" t="s">
        <v>88</v>
      </c>
      <c r="H712" s="311" t="s">
        <v>50</v>
      </c>
      <c r="I712" s="292" t="s">
        <v>1206</v>
      </c>
      <c r="J712" s="292" t="s">
        <v>1175</v>
      </c>
      <c r="K712" s="303" t="s">
        <v>1176</v>
      </c>
    </row>
    <row r="713" spans="1:17" ht="12">
      <c r="A713" s="290">
        <v>16351</v>
      </c>
      <c r="B713" s="291" t="s">
        <v>1242</v>
      </c>
      <c r="C713" s="292" t="s">
        <v>1243</v>
      </c>
      <c r="D713" s="292" t="s">
        <v>1244</v>
      </c>
      <c r="E713" s="292"/>
      <c r="F713" s="293" t="s">
        <v>42</v>
      </c>
      <c r="G713" s="310" t="s">
        <v>43</v>
      </c>
      <c r="H713" s="311" t="s">
        <v>238</v>
      </c>
      <c r="I713" s="292" t="s">
        <v>1206</v>
      </c>
      <c r="J713" s="292" t="s">
        <v>1175</v>
      </c>
      <c r="K713" s="303" t="s">
        <v>1176</v>
      </c>
    </row>
    <row r="714" spans="1:17" ht="12">
      <c r="A714" s="290">
        <v>38904</v>
      </c>
      <c r="B714" s="291" t="s">
        <v>2541</v>
      </c>
      <c r="C714" s="292" t="s">
        <v>500</v>
      </c>
      <c r="D714" s="292" t="s">
        <v>2542</v>
      </c>
      <c r="E714" s="292"/>
      <c r="F714" s="293" t="s">
        <v>42</v>
      </c>
      <c r="G714" s="294" t="s">
        <v>2052</v>
      </c>
      <c r="H714" s="295">
        <v>0</v>
      </c>
      <c r="I714" s="292" t="s">
        <v>1206</v>
      </c>
      <c r="J714" s="292" t="s">
        <v>1175</v>
      </c>
      <c r="K714" s="303" t="s">
        <v>1176</v>
      </c>
    </row>
    <row r="715" spans="1:17" ht="12">
      <c r="A715" s="290">
        <v>38613</v>
      </c>
      <c r="B715" s="291" t="s">
        <v>950</v>
      </c>
      <c r="C715" s="292" t="s">
        <v>732</v>
      </c>
      <c r="D715" s="292" t="s">
        <v>951</v>
      </c>
      <c r="E715" s="292"/>
      <c r="F715" s="293" t="s">
        <v>42</v>
      </c>
      <c r="G715" s="310" t="s">
        <v>43</v>
      </c>
      <c r="H715" s="311" t="s">
        <v>65</v>
      </c>
      <c r="I715" s="292" t="s">
        <v>1206</v>
      </c>
      <c r="J715" s="292" t="s">
        <v>1175</v>
      </c>
      <c r="K715" s="303" t="s">
        <v>1176</v>
      </c>
    </row>
    <row r="716" spans="1:17" ht="12">
      <c r="A716" s="290">
        <v>25325</v>
      </c>
      <c r="B716" s="291" t="s">
        <v>1247</v>
      </c>
      <c r="C716" s="292" t="s">
        <v>1248</v>
      </c>
      <c r="D716" s="292" t="s">
        <v>106</v>
      </c>
      <c r="E716" s="292"/>
      <c r="F716" s="293" t="s">
        <v>42</v>
      </c>
      <c r="G716" s="310" t="s">
        <v>43</v>
      </c>
      <c r="H716" s="311" t="s">
        <v>65</v>
      </c>
      <c r="I716" s="292" t="s">
        <v>1206</v>
      </c>
      <c r="J716" s="292" t="s">
        <v>1175</v>
      </c>
      <c r="K716" s="303" t="s">
        <v>1176</v>
      </c>
    </row>
    <row r="717" spans="1:17" ht="12">
      <c r="A717" s="290">
        <v>25849</v>
      </c>
      <c r="B717" s="291" t="s">
        <v>1249</v>
      </c>
      <c r="C717" s="292" t="s">
        <v>1250</v>
      </c>
      <c r="D717" s="292" t="s">
        <v>124</v>
      </c>
      <c r="E717" s="292"/>
      <c r="F717" s="293" t="s">
        <v>42</v>
      </c>
      <c r="G717" s="310" t="s">
        <v>93</v>
      </c>
      <c r="H717" s="311" t="s">
        <v>179</v>
      </c>
      <c r="I717" s="292" t="s">
        <v>1206</v>
      </c>
      <c r="J717" s="292" t="s">
        <v>1175</v>
      </c>
      <c r="K717" s="303" t="s">
        <v>1176</v>
      </c>
    </row>
    <row r="718" spans="1:17" ht="12">
      <c r="A718" s="290">
        <v>7028</v>
      </c>
      <c r="B718" s="291" t="s">
        <v>1252</v>
      </c>
      <c r="C718" s="292" t="s">
        <v>1250</v>
      </c>
      <c r="D718" s="292" t="s">
        <v>142</v>
      </c>
      <c r="E718" s="292"/>
      <c r="F718" s="293" t="s">
        <v>42</v>
      </c>
      <c r="G718" s="310" t="s">
        <v>66</v>
      </c>
      <c r="H718" s="311" t="s">
        <v>44</v>
      </c>
      <c r="I718" s="292" t="s">
        <v>1206</v>
      </c>
      <c r="J718" s="292" t="s">
        <v>1175</v>
      </c>
      <c r="K718" s="303" t="s">
        <v>1176</v>
      </c>
    </row>
    <row r="719" spans="1:17" ht="12">
      <c r="A719" s="290">
        <v>25695</v>
      </c>
      <c r="B719" s="291" t="s">
        <v>1253</v>
      </c>
      <c r="C719" s="297" t="s">
        <v>1250</v>
      </c>
      <c r="D719" s="297" t="s">
        <v>131</v>
      </c>
      <c r="E719" s="297" t="s">
        <v>2103</v>
      </c>
      <c r="F719" s="293" t="s">
        <v>42</v>
      </c>
      <c r="G719" s="310" t="s">
        <v>43</v>
      </c>
      <c r="H719" s="311" t="s">
        <v>44</v>
      </c>
      <c r="I719" s="292" t="s">
        <v>1206</v>
      </c>
      <c r="J719" s="297" t="s">
        <v>1175</v>
      </c>
      <c r="K719" s="303" t="s">
        <v>1176</v>
      </c>
    </row>
    <row r="720" spans="1:17" ht="12">
      <c r="A720" s="290">
        <v>7009</v>
      </c>
      <c r="B720" s="291" t="s">
        <v>1254</v>
      </c>
      <c r="C720" s="292" t="s">
        <v>1255</v>
      </c>
      <c r="D720" s="292" t="s">
        <v>60</v>
      </c>
      <c r="E720" s="292"/>
      <c r="F720" s="293" t="s">
        <v>42</v>
      </c>
      <c r="G720" s="310" t="s">
        <v>43</v>
      </c>
      <c r="H720" s="311" t="s">
        <v>65</v>
      </c>
      <c r="I720" s="292" t="s">
        <v>1206</v>
      </c>
      <c r="J720" s="292" t="s">
        <v>1175</v>
      </c>
      <c r="K720" s="303" t="s">
        <v>1176</v>
      </c>
      <c r="L720" s="26"/>
      <c r="M720" s="26"/>
      <c r="N720" s="26"/>
      <c r="Q720" s="30"/>
    </row>
    <row r="721" spans="1:17" ht="12">
      <c r="A721" s="290">
        <v>38787</v>
      </c>
      <c r="B721" s="291" t="s">
        <v>2543</v>
      </c>
      <c r="C721" s="292" t="s">
        <v>2544</v>
      </c>
      <c r="D721" s="292" t="s">
        <v>194</v>
      </c>
      <c r="E721" s="292"/>
      <c r="F721" s="293" t="s">
        <v>42</v>
      </c>
      <c r="G721" s="294" t="s">
        <v>43</v>
      </c>
      <c r="H721" s="295">
        <v>0</v>
      </c>
      <c r="I721" s="292" t="s">
        <v>1206</v>
      </c>
      <c r="J721" s="292" t="s">
        <v>1175</v>
      </c>
      <c r="K721" s="303" t="s">
        <v>1176</v>
      </c>
    </row>
    <row r="722" spans="1:17" ht="12">
      <c r="A722" s="290">
        <v>7087</v>
      </c>
      <c r="B722" s="291" t="s">
        <v>2545</v>
      </c>
      <c r="C722" s="292" t="s">
        <v>909</v>
      </c>
      <c r="D722" s="292" t="s">
        <v>1256</v>
      </c>
      <c r="E722" s="292"/>
      <c r="F722" s="293" t="s">
        <v>48</v>
      </c>
      <c r="G722" s="310" t="s">
        <v>49</v>
      </c>
      <c r="H722" s="311" t="s">
        <v>179</v>
      </c>
      <c r="I722" s="292" t="s">
        <v>1257</v>
      </c>
      <c r="J722" s="292" t="s">
        <v>1175</v>
      </c>
      <c r="K722" s="303" t="s">
        <v>1176</v>
      </c>
    </row>
    <row r="723" spans="1:17" ht="12">
      <c r="A723" s="290">
        <v>7431</v>
      </c>
      <c r="B723" s="291" t="s">
        <v>1258</v>
      </c>
      <c r="C723" s="292" t="s">
        <v>1210</v>
      </c>
      <c r="D723" s="292" t="s">
        <v>935</v>
      </c>
      <c r="E723" s="292"/>
      <c r="F723" s="293" t="s">
        <v>48</v>
      </c>
      <c r="G723" s="310" t="s">
        <v>138</v>
      </c>
      <c r="H723" s="311" t="s">
        <v>65</v>
      </c>
      <c r="I723" s="292" t="s">
        <v>1257</v>
      </c>
      <c r="J723" s="292" t="s">
        <v>1175</v>
      </c>
      <c r="K723" s="303" t="s">
        <v>1176</v>
      </c>
      <c r="L723" s="26"/>
      <c r="M723" s="26"/>
      <c r="N723" s="26"/>
      <c r="Q723" s="30"/>
    </row>
    <row r="724" spans="1:17" ht="12">
      <c r="A724" s="290">
        <v>16414</v>
      </c>
      <c r="B724" s="291" t="s">
        <v>2316</v>
      </c>
      <c r="C724" s="297" t="s">
        <v>1259</v>
      </c>
      <c r="D724" s="297" t="s">
        <v>1260</v>
      </c>
      <c r="E724" s="297" t="s">
        <v>2103</v>
      </c>
      <c r="F724" s="293" t="s">
        <v>48</v>
      </c>
      <c r="G724" s="310" t="s">
        <v>138</v>
      </c>
      <c r="H724" s="311" t="s">
        <v>65</v>
      </c>
      <c r="I724" s="297" t="s">
        <v>1257</v>
      </c>
      <c r="J724" s="297" t="s">
        <v>1175</v>
      </c>
      <c r="K724" s="303" t="s">
        <v>1176</v>
      </c>
      <c r="L724" s="26"/>
      <c r="M724" s="26"/>
      <c r="N724" s="26"/>
      <c r="Q724" s="30"/>
    </row>
    <row r="725" spans="1:17" ht="12">
      <c r="A725" s="290">
        <v>16713</v>
      </c>
      <c r="B725" s="291" t="s">
        <v>1261</v>
      </c>
      <c r="C725" s="297" t="s">
        <v>1262</v>
      </c>
      <c r="D725" s="297" t="s">
        <v>147</v>
      </c>
      <c r="E725" s="297" t="s">
        <v>2103</v>
      </c>
      <c r="F725" s="293" t="s">
        <v>48</v>
      </c>
      <c r="G725" s="310" t="s">
        <v>49</v>
      </c>
      <c r="H725" s="311" t="s">
        <v>44</v>
      </c>
      <c r="I725" s="297" t="s">
        <v>1257</v>
      </c>
      <c r="J725" s="297" t="s">
        <v>1175</v>
      </c>
      <c r="K725" s="303" t="s">
        <v>1176</v>
      </c>
    </row>
    <row r="726" spans="1:17" ht="12">
      <c r="A726" s="290">
        <v>7541</v>
      </c>
      <c r="B726" s="291" t="s">
        <v>1263</v>
      </c>
      <c r="C726" s="297" t="s">
        <v>1264</v>
      </c>
      <c r="D726" s="297" t="s">
        <v>1265</v>
      </c>
      <c r="E726" s="297" t="s">
        <v>2103</v>
      </c>
      <c r="F726" s="293" t="s">
        <v>48</v>
      </c>
      <c r="G726" s="310" t="s">
        <v>227</v>
      </c>
      <c r="H726" s="311"/>
      <c r="I726" s="297" t="s">
        <v>1257</v>
      </c>
      <c r="J726" s="297" t="s">
        <v>1175</v>
      </c>
      <c r="K726" s="303" t="s">
        <v>1176</v>
      </c>
    </row>
    <row r="727" spans="1:17" ht="12">
      <c r="A727" s="290">
        <v>7167</v>
      </c>
      <c r="B727" s="291" t="s">
        <v>1266</v>
      </c>
      <c r="C727" s="292" t="s">
        <v>1267</v>
      </c>
      <c r="D727" s="292" t="s">
        <v>1268</v>
      </c>
      <c r="E727" s="292"/>
      <c r="F727" s="293" t="s">
        <v>48</v>
      </c>
      <c r="G727" s="310" t="s">
        <v>138</v>
      </c>
      <c r="H727" s="311" t="s">
        <v>179</v>
      </c>
      <c r="I727" s="292" t="s">
        <v>1257</v>
      </c>
      <c r="J727" s="292" t="s">
        <v>1175</v>
      </c>
      <c r="K727" s="303" t="s">
        <v>1176</v>
      </c>
    </row>
    <row r="728" spans="1:17" ht="12">
      <c r="A728" s="290">
        <v>7546</v>
      </c>
      <c r="B728" s="291" t="s">
        <v>2546</v>
      </c>
      <c r="C728" s="292" t="s">
        <v>1271</v>
      </c>
      <c r="D728" s="292" t="s">
        <v>1272</v>
      </c>
      <c r="E728" s="292"/>
      <c r="F728" s="293" t="s">
        <v>48</v>
      </c>
      <c r="G728" s="310" t="s">
        <v>227</v>
      </c>
      <c r="H728" s="311" t="s">
        <v>65</v>
      </c>
      <c r="I728" s="292" t="s">
        <v>1257</v>
      </c>
      <c r="J728" s="292" t="s">
        <v>1175</v>
      </c>
      <c r="K728" s="303" t="s">
        <v>1176</v>
      </c>
    </row>
    <row r="729" spans="1:17" ht="12">
      <c r="A729" s="290">
        <v>16953</v>
      </c>
      <c r="B729" s="291" t="s">
        <v>1273</v>
      </c>
      <c r="C729" s="297" t="s">
        <v>1274</v>
      </c>
      <c r="D729" s="297" t="s">
        <v>1251</v>
      </c>
      <c r="E729" s="297" t="s">
        <v>2103</v>
      </c>
      <c r="F729" s="293" t="s">
        <v>48</v>
      </c>
      <c r="G729" s="310" t="s">
        <v>78</v>
      </c>
      <c r="H729" s="311" t="s">
        <v>44</v>
      </c>
      <c r="I729" s="297" t="s">
        <v>1257</v>
      </c>
      <c r="J729" s="297" t="s">
        <v>1175</v>
      </c>
      <c r="K729" s="303" t="s">
        <v>1176</v>
      </c>
    </row>
    <row r="730" spans="1:17">
      <c r="A730" s="312">
        <v>21185</v>
      </c>
      <c r="B730" s="313" t="s">
        <v>2547</v>
      </c>
      <c r="C730" s="314" t="s">
        <v>2540</v>
      </c>
      <c r="D730" s="314" t="s">
        <v>229</v>
      </c>
      <c r="E730" s="314"/>
      <c r="F730" s="315" t="s">
        <v>48</v>
      </c>
      <c r="G730" s="320" t="s">
        <v>49</v>
      </c>
      <c r="H730" s="318" t="s">
        <v>44</v>
      </c>
      <c r="I730" s="314" t="s">
        <v>1257</v>
      </c>
      <c r="J730" s="314" t="s">
        <v>1175</v>
      </c>
      <c r="K730" s="303" t="s">
        <v>1176</v>
      </c>
    </row>
    <row r="731" spans="1:17" ht="12">
      <c r="A731" s="290">
        <v>7551</v>
      </c>
      <c r="B731" s="291" t="s">
        <v>2548</v>
      </c>
      <c r="C731" s="292" t="s">
        <v>1279</v>
      </c>
      <c r="D731" s="292" t="s">
        <v>317</v>
      </c>
      <c r="E731" s="292"/>
      <c r="F731" s="293" t="s">
        <v>48</v>
      </c>
      <c r="G731" s="310" t="s">
        <v>49</v>
      </c>
      <c r="H731" s="311" t="s">
        <v>65</v>
      </c>
      <c r="I731" s="292" t="s">
        <v>1257</v>
      </c>
      <c r="J731" s="292" t="s">
        <v>1175</v>
      </c>
      <c r="K731" s="303" t="s">
        <v>1176</v>
      </c>
    </row>
    <row r="732" spans="1:17" ht="12">
      <c r="A732" s="290">
        <v>16096</v>
      </c>
      <c r="B732" s="291">
        <v>9109358</v>
      </c>
      <c r="C732" s="292" t="s">
        <v>1282</v>
      </c>
      <c r="D732" s="292" t="s">
        <v>581</v>
      </c>
      <c r="E732" s="292"/>
      <c r="F732" s="293" t="s">
        <v>42</v>
      </c>
      <c r="G732" s="310" t="s">
        <v>57</v>
      </c>
      <c r="H732" s="311" t="s">
        <v>44</v>
      </c>
      <c r="I732" s="292" t="s">
        <v>1283</v>
      </c>
      <c r="J732" s="292" t="s">
        <v>16</v>
      </c>
      <c r="K732" s="303" t="s">
        <v>12</v>
      </c>
    </row>
    <row r="733" spans="1:17" ht="12">
      <c r="A733" s="290">
        <v>16099</v>
      </c>
      <c r="B733" s="291" t="s">
        <v>1284</v>
      </c>
      <c r="C733" s="292" t="s">
        <v>1285</v>
      </c>
      <c r="D733" s="292" t="s">
        <v>79</v>
      </c>
      <c r="E733" s="292"/>
      <c r="F733" s="293" t="s">
        <v>42</v>
      </c>
      <c r="G733" s="310" t="s">
        <v>43</v>
      </c>
      <c r="H733" s="311" t="s">
        <v>179</v>
      </c>
      <c r="I733" s="292" t="s">
        <v>1283</v>
      </c>
      <c r="J733" s="292" t="s">
        <v>16</v>
      </c>
      <c r="K733" s="303" t="s">
        <v>12</v>
      </c>
    </row>
    <row r="734" spans="1:17" ht="12">
      <c r="A734" s="290">
        <v>16094</v>
      </c>
      <c r="B734" s="291">
        <v>9109449</v>
      </c>
      <c r="C734" s="292" t="s">
        <v>1286</v>
      </c>
      <c r="D734" s="292" t="s">
        <v>142</v>
      </c>
      <c r="E734" s="292"/>
      <c r="F734" s="293" t="s">
        <v>42</v>
      </c>
      <c r="G734" s="310" t="s">
        <v>57</v>
      </c>
      <c r="H734" s="311" t="s">
        <v>65</v>
      </c>
      <c r="I734" s="292" t="s">
        <v>1283</v>
      </c>
      <c r="J734" s="292" t="s">
        <v>16</v>
      </c>
      <c r="K734" s="303" t="s">
        <v>12</v>
      </c>
    </row>
    <row r="735" spans="1:17" ht="12">
      <c r="A735" s="290">
        <v>16095</v>
      </c>
      <c r="B735" s="291">
        <v>9109450</v>
      </c>
      <c r="C735" s="292" t="s">
        <v>1286</v>
      </c>
      <c r="D735" s="292" t="s">
        <v>119</v>
      </c>
      <c r="E735" s="292"/>
      <c r="F735" s="293" t="s">
        <v>42</v>
      </c>
      <c r="G735" s="310" t="s">
        <v>57</v>
      </c>
      <c r="H735" s="311" t="s">
        <v>44</v>
      </c>
      <c r="I735" s="292" t="s">
        <v>1283</v>
      </c>
      <c r="J735" s="292" t="s">
        <v>16</v>
      </c>
      <c r="K735" s="303" t="s">
        <v>12</v>
      </c>
      <c r="L735" s="26"/>
      <c r="M735" s="26"/>
      <c r="N735" s="26"/>
      <c r="Q735" s="30"/>
    </row>
    <row r="736" spans="1:17" ht="12">
      <c r="A736" s="290">
        <v>16084</v>
      </c>
      <c r="B736" s="291" t="s">
        <v>1287</v>
      </c>
      <c r="C736" s="292" t="s">
        <v>1288</v>
      </c>
      <c r="D736" s="292" t="s">
        <v>765</v>
      </c>
      <c r="E736" s="292"/>
      <c r="F736" s="293" t="s">
        <v>42</v>
      </c>
      <c r="G736" s="310" t="s">
        <v>43</v>
      </c>
      <c r="H736" s="311"/>
      <c r="I736" s="292" t="s">
        <v>1283</v>
      </c>
      <c r="J736" s="292" t="s">
        <v>16</v>
      </c>
      <c r="K736" s="303" t="s">
        <v>12</v>
      </c>
    </row>
    <row r="737" spans="1:17" ht="12">
      <c r="A737" s="290">
        <v>16105</v>
      </c>
      <c r="B737" s="291" t="s">
        <v>2317</v>
      </c>
      <c r="C737" s="292" t="s">
        <v>1015</v>
      </c>
      <c r="D737" s="292" t="s">
        <v>283</v>
      </c>
      <c r="E737" s="292"/>
      <c r="F737" s="293" t="s">
        <v>42</v>
      </c>
      <c r="G737" s="310" t="s">
        <v>51</v>
      </c>
      <c r="H737" s="311" t="s">
        <v>65</v>
      </c>
      <c r="I737" s="292" t="s">
        <v>1283</v>
      </c>
      <c r="J737" s="292" t="s">
        <v>16</v>
      </c>
      <c r="K737" s="303" t="s">
        <v>12</v>
      </c>
    </row>
    <row r="738" spans="1:17" ht="12">
      <c r="A738" s="290">
        <v>25788</v>
      </c>
      <c r="B738" s="291">
        <v>9099245</v>
      </c>
      <c r="C738" s="297" t="s">
        <v>743</v>
      </c>
      <c r="D738" s="297" t="s">
        <v>63</v>
      </c>
      <c r="E738" s="297" t="s">
        <v>2103</v>
      </c>
      <c r="F738" s="293" t="s">
        <v>42</v>
      </c>
      <c r="G738" s="310" t="s">
        <v>43</v>
      </c>
      <c r="H738" s="311"/>
      <c r="I738" s="292" t="s">
        <v>1292</v>
      </c>
      <c r="J738" s="292" t="s">
        <v>1293</v>
      </c>
      <c r="K738" s="303" t="s">
        <v>1294</v>
      </c>
    </row>
    <row r="739" spans="1:17" ht="12">
      <c r="A739" s="290">
        <v>38066</v>
      </c>
      <c r="B739" s="291" t="s">
        <v>1289</v>
      </c>
      <c r="C739" s="292" t="s">
        <v>1290</v>
      </c>
      <c r="D739" s="292" t="s">
        <v>1291</v>
      </c>
      <c r="E739" s="292"/>
      <c r="F739" s="293" t="s">
        <v>42</v>
      </c>
      <c r="G739" s="294" t="s">
        <v>43</v>
      </c>
      <c r="H739" s="295">
        <v>0</v>
      </c>
      <c r="I739" s="292" t="s">
        <v>1292</v>
      </c>
      <c r="J739" s="292" t="s">
        <v>1293</v>
      </c>
      <c r="K739" s="303" t="s">
        <v>1294</v>
      </c>
    </row>
    <row r="740" spans="1:17" ht="12">
      <c r="A740" s="290">
        <v>16749</v>
      </c>
      <c r="B740" s="291" t="s">
        <v>1295</v>
      </c>
      <c r="C740" s="292" t="s">
        <v>1296</v>
      </c>
      <c r="D740" s="292" t="s">
        <v>237</v>
      </c>
      <c r="E740" s="292"/>
      <c r="F740" s="293" t="s">
        <v>42</v>
      </c>
      <c r="G740" s="310" t="s">
        <v>43</v>
      </c>
      <c r="H740" s="311" t="s">
        <v>65</v>
      </c>
      <c r="I740" s="292" t="s">
        <v>1292</v>
      </c>
      <c r="J740" s="292" t="s">
        <v>1293</v>
      </c>
      <c r="K740" s="303" t="s">
        <v>1294</v>
      </c>
    </row>
    <row r="741" spans="1:17" ht="12">
      <c r="A741" s="290">
        <v>38193</v>
      </c>
      <c r="B741" s="291" t="s">
        <v>1297</v>
      </c>
      <c r="C741" s="292" t="s">
        <v>1298</v>
      </c>
      <c r="D741" s="292" t="s">
        <v>1299</v>
      </c>
      <c r="E741" s="292"/>
      <c r="F741" s="293" t="s">
        <v>42</v>
      </c>
      <c r="G741" s="310" t="s">
        <v>43</v>
      </c>
      <c r="H741" s="311"/>
      <c r="I741" s="292" t="s">
        <v>1292</v>
      </c>
      <c r="J741" s="292" t="s">
        <v>1293</v>
      </c>
      <c r="K741" s="303" t="s">
        <v>1294</v>
      </c>
    </row>
    <row r="742" spans="1:17" ht="12">
      <c r="A742" s="290">
        <v>25649</v>
      </c>
      <c r="B742" s="291" t="s">
        <v>1922</v>
      </c>
      <c r="C742" s="292" t="s">
        <v>910</v>
      </c>
      <c r="D742" s="292" t="s">
        <v>372</v>
      </c>
      <c r="E742" s="292"/>
      <c r="F742" s="293" t="s">
        <v>42</v>
      </c>
      <c r="G742" s="310" t="s">
        <v>43</v>
      </c>
      <c r="H742" s="311" t="s">
        <v>179</v>
      </c>
      <c r="I742" s="292" t="s">
        <v>1292</v>
      </c>
      <c r="J742" s="292" t="s">
        <v>1293</v>
      </c>
      <c r="K742" s="303" t="s">
        <v>1294</v>
      </c>
    </row>
    <row r="743" spans="1:17" ht="12">
      <c r="A743" s="290">
        <v>38065</v>
      </c>
      <c r="B743" s="291" t="s">
        <v>1300</v>
      </c>
      <c r="C743" s="292" t="s">
        <v>1301</v>
      </c>
      <c r="D743" s="292" t="s">
        <v>56</v>
      </c>
      <c r="E743" s="292"/>
      <c r="F743" s="293" t="s">
        <v>42</v>
      </c>
      <c r="G743" s="310" t="s">
        <v>66</v>
      </c>
      <c r="H743" s="311" t="s">
        <v>44</v>
      </c>
      <c r="I743" s="292" t="s">
        <v>1292</v>
      </c>
      <c r="J743" s="292" t="s">
        <v>1293</v>
      </c>
      <c r="K743" s="303" t="s">
        <v>1294</v>
      </c>
    </row>
    <row r="744" spans="1:17" ht="12">
      <c r="A744" s="290">
        <v>7314</v>
      </c>
      <c r="B744" s="291">
        <v>747611</v>
      </c>
      <c r="C744" s="292" t="s">
        <v>1302</v>
      </c>
      <c r="D744" s="292" t="s">
        <v>237</v>
      </c>
      <c r="E744" s="292"/>
      <c r="F744" s="293" t="s">
        <v>42</v>
      </c>
      <c r="G744" s="310" t="s">
        <v>43</v>
      </c>
      <c r="H744" s="311" t="s">
        <v>238</v>
      </c>
      <c r="I744" s="292" t="s">
        <v>1292</v>
      </c>
      <c r="J744" s="292" t="s">
        <v>1293</v>
      </c>
      <c r="K744" s="303" t="s">
        <v>1294</v>
      </c>
    </row>
    <row r="745" spans="1:17" ht="12">
      <c r="A745" s="290">
        <v>7309</v>
      </c>
      <c r="B745" s="291" t="s">
        <v>1303</v>
      </c>
      <c r="C745" s="292" t="s">
        <v>1304</v>
      </c>
      <c r="D745" s="292" t="s">
        <v>944</v>
      </c>
      <c r="E745" s="292"/>
      <c r="F745" s="293" t="s">
        <v>42</v>
      </c>
      <c r="G745" s="310" t="s">
        <v>66</v>
      </c>
      <c r="H745" s="311" t="s">
        <v>65</v>
      </c>
      <c r="I745" s="292" t="s">
        <v>1292</v>
      </c>
      <c r="J745" s="292" t="s">
        <v>1293</v>
      </c>
      <c r="K745" s="303" t="s">
        <v>1294</v>
      </c>
    </row>
    <row r="746" spans="1:17" ht="12">
      <c r="A746" s="290">
        <v>38510</v>
      </c>
      <c r="B746" s="291" t="s">
        <v>1305</v>
      </c>
      <c r="C746" s="292" t="s">
        <v>1304</v>
      </c>
      <c r="D746" s="292" t="s">
        <v>1306</v>
      </c>
      <c r="E746" s="292"/>
      <c r="F746" s="293" t="s">
        <v>42</v>
      </c>
      <c r="G746" s="310" t="s">
        <v>93</v>
      </c>
      <c r="H746" s="311" t="s">
        <v>44</v>
      </c>
      <c r="I746" s="292" t="s">
        <v>1292</v>
      </c>
      <c r="J746" s="292" t="s">
        <v>1293</v>
      </c>
      <c r="K746" s="303" t="s">
        <v>1294</v>
      </c>
    </row>
    <row r="747" spans="1:17" ht="12">
      <c r="A747" s="290">
        <v>7322</v>
      </c>
      <c r="B747" s="291" t="s">
        <v>1307</v>
      </c>
      <c r="C747" s="292" t="s">
        <v>1304</v>
      </c>
      <c r="D747" s="292" t="s">
        <v>1308</v>
      </c>
      <c r="E747" s="292"/>
      <c r="F747" s="293" t="s">
        <v>48</v>
      </c>
      <c r="G747" s="310" t="s">
        <v>138</v>
      </c>
      <c r="H747" s="311" t="s">
        <v>44</v>
      </c>
      <c r="I747" s="292" t="s">
        <v>1292</v>
      </c>
      <c r="J747" s="292" t="s">
        <v>1293</v>
      </c>
      <c r="K747" s="303" t="s">
        <v>1294</v>
      </c>
    </row>
    <row r="748" spans="1:17" ht="12">
      <c r="A748" s="290">
        <v>38316</v>
      </c>
      <c r="B748" s="291" t="s">
        <v>1309</v>
      </c>
      <c r="C748" s="292" t="s">
        <v>1310</v>
      </c>
      <c r="D748" s="292" t="s">
        <v>876</v>
      </c>
      <c r="E748" s="292"/>
      <c r="F748" s="293" t="s">
        <v>48</v>
      </c>
      <c r="G748" s="298" t="s">
        <v>78</v>
      </c>
      <c r="H748" s="299">
        <v>0</v>
      </c>
      <c r="I748" s="292" t="s">
        <v>1292</v>
      </c>
      <c r="J748" s="292" t="s">
        <v>1293</v>
      </c>
      <c r="K748" s="303" t="s">
        <v>1294</v>
      </c>
    </row>
    <row r="749" spans="1:17" ht="12">
      <c r="A749" s="290">
        <v>25166</v>
      </c>
      <c r="B749" s="291" t="s">
        <v>1231</v>
      </c>
      <c r="C749" s="297" t="s">
        <v>1232</v>
      </c>
      <c r="D749" s="297" t="s">
        <v>1139</v>
      </c>
      <c r="E749" s="297" t="s">
        <v>2103</v>
      </c>
      <c r="F749" s="293" t="s">
        <v>42</v>
      </c>
      <c r="G749" s="310" t="s">
        <v>43</v>
      </c>
      <c r="H749" s="311" t="s">
        <v>179</v>
      </c>
      <c r="I749" s="297" t="s">
        <v>1292</v>
      </c>
      <c r="J749" s="297" t="s">
        <v>1293</v>
      </c>
      <c r="K749" s="303" t="s">
        <v>1294</v>
      </c>
      <c r="L749" s="26"/>
      <c r="M749" s="26"/>
      <c r="N749" s="26"/>
      <c r="Q749" s="30"/>
    </row>
    <row r="750" spans="1:17" ht="12">
      <c r="A750" s="290">
        <v>7321</v>
      </c>
      <c r="B750" s="291" t="s">
        <v>1311</v>
      </c>
      <c r="C750" s="292" t="s">
        <v>1312</v>
      </c>
      <c r="D750" s="292" t="s">
        <v>212</v>
      </c>
      <c r="E750" s="292"/>
      <c r="F750" s="293" t="s">
        <v>42</v>
      </c>
      <c r="G750" s="310" t="s">
        <v>66</v>
      </c>
      <c r="H750" s="311" t="s">
        <v>44</v>
      </c>
      <c r="I750" s="292" t="s">
        <v>1292</v>
      </c>
      <c r="J750" s="292" t="s">
        <v>1293</v>
      </c>
      <c r="K750" s="303" t="s">
        <v>1294</v>
      </c>
      <c r="L750" s="26"/>
      <c r="M750" s="26"/>
      <c r="N750" s="26"/>
      <c r="Q750" s="30"/>
    </row>
    <row r="751" spans="1:17" ht="12">
      <c r="A751" s="290">
        <v>25453</v>
      </c>
      <c r="B751" s="291" t="s">
        <v>2042</v>
      </c>
      <c r="C751" s="292" t="s">
        <v>1313</v>
      </c>
      <c r="D751" s="292" t="s">
        <v>212</v>
      </c>
      <c r="E751" s="292"/>
      <c r="F751" s="293" t="s">
        <v>42</v>
      </c>
      <c r="G751" s="310" t="s">
        <v>51</v>
      </c>
      <c r="H751" s="311"/>
      <c r="I751" s="292" t="s">
        <v>1292</v>
      </c>
      <c r="J751" s="292" t="s">
        <v>1293</v>
      </c>
      <c r="K751" s="303" t="s">
        <v>1294</v>
      </c>
    </row>
    <row r="752" spans="1:17" ht="12">
      <c r="A752" s="290">
        <v>25454</v>
      </c>
      <c r="B752" s="291">
        <v>9063267</v>
      </c>
      <c r="C752" s="292" t="s">
        <v>1314</v>
      </c>
      <c r="D752" s="292" t="s">
        <v>587</v>
      </c>
      <c r="E752" s="292"/>
      <c r="F752" s="293" t="s">
        <v>42</v>
      </c>
      <c r="G752" s="300" t="s">
        <v>43</v>
      </c>
      <c r="H752" s="301">
        <v>0</v>
      </c>
      <c r="I752" s="292" t="s">
        <v>1292</v>
      </c>
      <c r="J752" s="292" t="s">
        <v>1293</v>
      </c>
      <c r="K752" s="303" t="s">
        <v>1294</v>
      </c>
    </row>
    <row r="753" spans="1:11" ht="12">
      <c r="A753" s="290">
        <v>25915</v>
      </c>
      <c r="B753" s="291">
        <v>9111678</v>
      </c>
      <c r="C753" s="292" t="s">
        <v>1315</v>
      </c>
      <c r="D753" s="292" t="s">
        <v>183</v>
      </c>
      <c r="E753" s="292"/>
      <c r="F753" s="293" t="s">
        <v>42</v>
      </c>
      <c r="G753" s="310" t="s">
        <v>51</v>
      </c>
      <c r="H753" s="311"/>
      <c r="I753" s="292" t="s">
        <v>1292</v>
      </c>
      <c r="J753" s="292" t="s">
        <v>1293</v>
      </c>
      <c r="K753" s="303" t="s">
        <v>1294</v>
      </c>
    </row>
    <row r="754" spans="1:11" ht="12">
      <c r="A754" s="290">
        <v>7317</v>
      </c>
      <c r="B754" s="291" t="s">
        <v>1316</v>
      </c>
      <c r="C754" s="292" t="s">
        <v>1317</v>
      </c>
      <c r="D754" s="292" t="s">
        <v>178</v>
      </c>
      <c r="E754" s="292"/>
      <c r="F754" s="293" t="s">
        <v>42</v>
      </c>
      <c r="G754" s="310" t="s">
        <v>43</v>
      </c>
      <c r="H754" s="311" t="s">
        <v>179</v>
      </c>
      <c r="I754" s="292" t="s">
        <v>1292</v>
      </c>
      <c r="J754" s="292" t="s">
        <v>1293</v>
      </c>
      <c r="K754" s="303" t="s">
        <v>1294</v>
      </c>
    </row>
    <row r="755" spans="1:11" ht="12">
      <c r="A755" s="290">
        <v>38705</v>
      </c>
      <c r="B755" s="291" t="s">
        <v>1318</v>
      </c>
      <c r="C755" s="292" t="s">
        <v>1319</v>
      </c>
      <c r="D755" s="292" t="s">
        <v>643</v>
      </c>
      <c r="E755" s="292"/>
      <c r="F755" s="293" t="s">
        <v>42</v>
      </c>
      <c r="G755" s="294" t="s">
        <v>43</v>
      </c>
      <c r="H755" s="295">
        <v>0</v>
      </c>
      <c r="I755" s="292" t="s">
        <v>1292</v>
      </c>
      <c r="J755" s="292" t="s">
        <v>1293</v>
      </c>
      <c r="K755" s="303" t="s">
        <v>1294</v>
      </c>
    </row>
    <row r="756" spans="1:11" ht="12">
      <c r="A756" s="290">
        <v>38704</v>
      </c>
      <c r="B756" s="291" t="s">
        <v>1320</v>
      </c>
      <c r="C756" s="292" t="s">
        <v>1321</v>
      </c>
      <c r="D756" s="292" t="s">
        <v>498</v>
      </c>
      <c r="E756" s="292"/>
      <c r="F756" s="293" t="s">
        <v>42</v>
      </c>
      <c r="G756" s="294" t="s">
        <v>43</v>
      </c>
      <c r="H756" s="295">
        <v>0</v>
      </c>
      <c r="I756" s="292" t="s">
        <v>1292</v>
      </c>
      <c r="J756" s="292" t="s">
        <v>1293</v>
      </c>
      <c r="K756" s="303" t="s">
        <v>1294</v>
      </c>
    </row>
    <row r="757" spans="1:11" ht="12">
      <c r="A757" s="290">
        <v>38058</v>
      </c>
      <c r="B757" s="291" t="s">
        <v>1322</v>
      </c>
      <c r="C757" s="292" t="s">
        <v>1323</v>
      </c>
      <c r="D757" s="292" t="s">
        <v>1131</v>
      </c>
      <c r="E757" s="292"/>
      <c r="F757" s="293" t="s">
        <v>42</v>
      </c>
      <c r="G757" s="294" t="s">
        <v>57</v>
      </c>
      <c r="H757" s="295">
        <v>0</v>
      </c>
      <c r="I757" s="292" t="s">
        <v>1292</v>
      </c>
      <c r="J757" s="292" t="s">
        <v>1293</v>
      </c>
      <c r="K757" s="303" t="s">
        <v>1294</v>
      </c>
    </row>
    <row r="758" spans="1:11" ht="12">
      <c r="A758" s="290">
        <v>25452</v>
      </c>
      <c r="B758" s="291" t="s">
        <v>2043</v>
      </c>
      <c r="C758" s="292" t="s">
        <v>1324</v>
      </c>
      <c r="D758" s="292" t="s">
        <v>330</v>
      </c>
      <c r="E758" s="292"/>
      <c r="F758" s="293" t="s">
        <v>42</v>
      </c>
      <c r="G758" s="310" t="s">
        <v>66</v>
      </c>
      <c r="H758" s="311"/>
      <c r="I758" s="292" t="s">
        <v>1292</v>
      </c>
      <c r="J758" s="292" t="s">
        <v>1293</v>
      </c>
      <c r="K758" s="303" t="s">
        <v>1294</v>
      </c>
    </row>
    <row r="759" spans="1:11" ht="12">
      <c r="A759" s="290">
        <v>38537</v>
      </c>
      <c r="B759" s="291" t="s">
        <v>1325</v>
      </c>
      <c r="C759" s="292" t="s">
        <v>1326</v>
      </c>
      <c r="D759" s="292" t="s">
        <v>831</v>
      </c>
      <c r="E759" s="292"/>
      <c r="F759" s="293" t="s">
        <v>42</v>
      </c>
      <c r="G759" s="294" t="s">
        <v>66</v>
      </c>
      <c r="H759" s="295">
        <v>0</v>
      </c>
      <c r="I759" s="292" t="s">
        <v>1292</v>
      </c>
      <c r="J759" s="292" t="s">
        <v>1293</v>
      </c>
      <c r="K759" s="303" t="s">
        <v>1294</v>
      </c>
    </row>
    <row r="760" spans="1:11" ht="12">
      <c r="A760" s="290">
        <v>38555</v>
      </c>
      <c r="B760" s="291" t="s">
        <v>1330</v>
      </c>
      <c r="C760" s="294" t="s">
        <v>2100</v>
      </c>
      <c r="D760" s="294" t="s">
        <v>1097</v>
      </c>
      <c r="E760" s="294"/>
      <c r="F760" s="295" t="s">
        <v>48</v>
      </c>
      <c r="G760" s="310" t="s">
        <v>78</v>
      </c>
      <c r="H760" s="311" t="s">
        <v>44</v>
      </c>
      <c r="I760" s="297" t="s">
        <v>1327</v>
      </c>
      <c r="J760" s="297" t="s">
        <v>1328</v>
      </c>
      <c r="K760" s="303" t="s">
        <v>1329</v>
      </c>
    </row>
    <row r="761" spans="1:11" ht="12">
      <c r="A761" s="290">
        <v>38388</v>
      </c>
      <c r="B761" s="291" t="s">
        <v>1536</v>
      </c>
      <c r="C761" s="292" t="s">
        <v>1537</v>
      </c>
      <c r="D761" s="292" t="s">
        <v>96</v>
      </c>
      <c r="E761" s="292"/>
      <c r="F761" s="293" t="s">
        <v>42</v>
      </c>
      <c r="G761" s="310" t="s">
        <v>51</v>
      </c>
      <c r="H761" s="311" t="s">
        <v>50</v>
      </c>
      <c r="I761" s="294" t="s">
        <v>1327</v>
      </c>
      <c r="J761" s="294" t="s">
        <v>1328</v>
      </c>
      <c r="K761" s="303" t="s">
        <v>1329</v>
      </c>
    </row>
    <row r="762" spans="1:11" ht="12">
      <c r="A762" s="290">
        <v>16582</v>
      </c>
      <c r="B762" s="291" t="s">
        <v>1923</v>
      </c>
      <c r="C762" s="297" t="s">
        <v>1924</v>
      </c>
      <c r="D762" s="297" t="s">
        <v>1925</v>
      </c>
      <c r="E762" s="297" t="s">
        <v>2103</v>
      </c>
      <c r="F762" s="293" t="s">
        <v>42</v>
      </c>
      <c r="G762" s="310" t="s">
        <v>43</v>
      </c>
      <c r="H762" s="311" t="s">
        <v>44</v>
      </c>
      <c r="I762" s="297" t="s">
        <v>1327</v>
      </c>
      <c r="J762" s="297" t="s">
        <v>1328</v>
      </c>
      <c r="K762" s="303" t="s">
        <v>1329</v>
      </c>
    </row>
    <row r="763" spans="1:11" ht="12">
      <c r="A763" s="290">
        <v>16876</v>
      </c>
      <c r="B763" s="291" t="s">
        <v>1334</v>
      </c>
      <c r="C763" s="294" t="s">
        <v>1335</v>
      </c>
      <c r="D763" s="294" t="s">
        <v>476</v>
      </c>
      <c r="E763" s="294"/>
      <c r="F763" s="295" t="s">
        <v>42</v>
      </c>
      <c r="G763" s="310" t="s">
        <v>43</v>
      </c>
      <c r="H763" s="311" t="s">
        <v>44</v>
      </c>
      <c r="I763" s="297" t="s">
        <v>1327</v>
      </c>
      <c r="J763" s="297" t="s">
        <v>1328</v>
      </c>
      <c r="K763" s="303" t="s">
        <v>1329</v>
      </c>
    </row>
    <row r="764" spans="1:11" ht="12">
      <c r="A764" s="290">
        <v>38289</v>
      </c>
      <c r="B764" s="291" t="s">
        <v>1336</v>
      </c>
      <c r="C764" s="294" t="s">
        <v>1335</v>
      </c>
      <c r="D764" s="294" t="s">
        <v>410</v>
      </c>
      <c r="E764" s="294"/>
      <c r="F764" s="295" t="s">
        <v>48</v>
      </c>
      <c r="G764" s="310" t="s">
        <v>78</v>
      </c>
      <c r="H764" s="311" t="s">
        <v>65</v>
      </c>
      <c r="I764" s="297" t="s">
        <v>1327</v>
      </c>
      <c r="J764" s="297" t="s">
        <v>1328</v>
      </c>
      <c r="K764" s="303" t="s">
        <v>1329</v>
      </c>
    </row>
    <row r="765" spans="1:11" ht="12">
      <c r="A765" s="290">
        <v>38605</v>
      </c>
      <c r="B765" s="291" t="s">
        <v>1337</v>
      </c>
      <c r="C765" s="294" t="s">
        <v>1338</v>
      </c>
      <c r="D765" s="294" t="s">
        <v>304</v>
      </c>
      <c r="E765" s="294"/>
      <c r="F765" s="295" t="s">
        <v>42</v>
      </c>
      <c r="G765" s="310" t="s">
        <v>43</v>
      </c>
      <c r="H765" s="311" t="s">
        <v>50</v>
      </c>
      <c r="I765" s="297" t="s">
        <v>1327</v>
      </c>
      <c r="J765" s="297" t="s">
        <v>1328</v>
      </c>
      <c r="K765" s="303" t="s">
        <v>1329</v>
      </c>
    </row>
    <row r="766" spans="1:11" ht="12">
      <c r="A766" s="290">
        <v>16583</v>
      </c>
      <c r="B766" s="291" t="s">
        <v>1340</v>
      </c>
      <c r="C766" s="294" t="s">
        <v>1339</v>
      </c>
      <c r="D766" s="294" t="s">
        <v>168</v>
      </c>
      <c r="E766" s="294"/>
      <c r="F766" s="295" t="s">
        <v>42</v>
      </c>
      <c r="G766" s="310" t="s">
        <v>43</v>
      </c>
      <c r="H766" s="311" t="s">
        <v>44</v>
      </c>
      <c r="I766" s="292" t="s">
        <v>1327</v>
      </c>
      <c r="J766" s="292" t="s">
        <v>1328</v>
      </c>
      <c r="K766" s="303" t="s">
        <v>1329</v>
      </c>
    </row>
    <row r="767" spans="1:11" ht="12">
      <c r="A767" s="290">
        <v>38618</v>
      </c>
      <c r="B767" s="291" t="s">
        <v>2261</v>
      </c>
      <c r="C767" s="297" t="s">
        <v>1339</v>
      </c>
      <c r="D767" s="297" t="s">
        <v>2262</v>
      </c>
      <c r="E767" s="297" t="s">
        <v>2103</v>
      </c>
      <c r="F767" s="293" t="s">
        <v>48</v>
      </c>
      <c r="G767" s="310" t="s">
        <v>774</v>
      </c>
      <c r="H767" s="311" t="s">
        <v>103</v>
      </c>
      <c r="I767" s="297" t="s">
        <v>1327</v>
      </c>
      <c r="J767" s="297" t="s">
        <v>1328</v>
      </c>
      <c r="K767" s="303" t="s">
        <v>1329</v>
      </c>
    </row>
    <row r="768" spans="1:11" ht="12">
      <c r="A768" s="290">
        <v>16137</v>
      </c>
      <c r="B768" s="291" t="s">
        <v>1341</v>
      </c>
      <c r="C768" s="292" t="s">
        <v>767</v>
      </c>
      <c r="D768" s="292" t="s">
        <v>361</v>
      </c>
      <c r="E768" s="292"/>
      <c r="F768" s="293" t="s">
        <v>42</v>
      </c>
      <c r="G768" s="310" t="s">
        <v>51</v>
      </c>
      <c r="H768" s="311"/>
      <c r="I768" s="292" t="s">
        <v>1327</v>
      </c>
      <c r="J768" s="292" t="s">
        <v>1328</v>
      </c>
      <c r="K768" s="303" t="s">
        <v>1329</v>
      </c>
    </row>
    <row r="769" spans="1:17" ht="12">
      <c r="A769" s="290">
        <v>38663</v>
      </c>
      <c r="B769" s="291" t="s">
        <v>1342</v>
      </c>
      <c r="C769" s="297" t="s">
        <v>1343</v>
      </c>
      <c r="D769" s="297" t="s">
        <v>1344</v>
      </c>
      <c r="E769" s="297" t="s">
        <v>2103</v>
      </c>
      <c r="F769" s="293" t="s">
        <v>48</v>
      </c>
      <c r="G769" s="310" t="s">
        <v>1121</v>
      </c>
      <c r="H769" s="311" t="s">
        <v>50</v>
      </c>
      <c r="I769" s="297" t="s">
        <v>1327</v>
      </c>
      <c r="J769" s="297" t="s">
        <v>1328</v>
      </c>
      <c r="K769" s="303" t="s">
        <v>1329</v>
      </c>
      <c r="L769" s="26"/>
      <c r="M769" s="26"/>
      <c r="N769" s="26"/>
      <c r="Q769" s="30"/>
    </row>
    <row r="770" spans="1:17" ht="12">
      <c r="A770" s="290">
        <v>38887</v>
      </c>
      <c r="B770" s="291" t="s">
        <v>2549</v>
      </c>
      <c r="C770" s="297" t="s">
        <v>2550</v>
      </c>
      <c r="D770" s="297" t="s">
        <v>178</v>
      </c>
      <c r="E770" s="297" t="s">
        <v>2103</v>
      </c>
      <c r="F770" s="293" t="s">
        <v>42</v>
      </c>
      <c r="G770" s="310" t="s">
        <v>66</v>
      </c>
      <c r="H770" s="311" t="s">
        <v>50</v>
      </c>
      <c r="I770" s="297" t="s">
        <v>1327</v>
      </c>
      <c r="J770" s="297" t="s">
        <v>1328</v>
      </c>
      <c r="K770" s="303" t="s">
        <v>1329</v>
      </c>
    </row>
    <row r="771" spans="1:17" ht="12">
      <c r="A771" s="290">
        <v>7484</v>
      </c>
      <c r="B771" s="291" t="s">
        <v>1347</v>
      </c>
      <c r="C771" s="292" t="s">
        <v>648</v>
      </c>
      <c r="D771" s="292" t="s">
        <v>178</v>
      </c>
      <c r="E771" s="292"/>
      <c r="F771" s="293" t="s">
        <v>42</v>
      </c>
      <c r="G771" s="310" t="s">
        <v>51</v>
      </c>
      <c r="H771" s="311" t="s">
        <v>50</v>
      </c>
      <c r="I771" s="292" t="s">
        <v>1327</v>
      </c>
      <c r="J771" s="292" t="s">
        <v>1328</v>
      </c>
      <c r="K771" s="303" t="s">
        <v>1329</v>
      </c>
    </row>
    <row r="772" spans="1:17" ht="12">
      <c r="A772" s="290">
        <v>38903</v>
      </c>
      <c r="B772" s="291" t="s">
        <v>2551</v>
      </c>
      <c r="C772" s="297" t="s">
        <v>2552</v>
      </c>
      <c r="D772" s="297" t="s">
        <v>533</v>
      </c>
      <c r="E772" s="297" t="s">
        <v>2103</v>
      </c>
      <c r="F772" s="293" t="s">
        <v>48</v>
      </c>
      <c r="G772" s="298" t="s">
        <v>339</v>
      </c>
      <c r="H772" s="299">
        <v>0</v>
      </c>
      <c r="I772" s="297" t="s">
        <v>1327</v>
      </c>
      <c r="J772" s="297" t="s">
        <v>1328</v>
      </c>
      <c r="K772" s="303" t="s">
        <v>1329</v>
      </c>
    </row>
    <row r="773" spans="1:17" ht="12">
      <c r="A773" s="290">
        <v>25833</v>
      </c>
      <c r="B773" s="291" t="s">
        <v>2553</v>
      </c>
      <c r="C773" s="292" t="s">
        <v>2552</v>
      </c>
      <c r="D773" s="292" t="s">
        <v>528</v>
      </c>
      <c r="E773" s="292"/>
      <c r="F773" s="293" t="s">
        <v>42</v>
      </c>
      <c r="G773" s="310" t="s">
        <v>66</v>
      </c>
      <c r="H773" s="311" t="s">
        <v>44</v>
      </c>
      <c r="I773" s="292" t="s">
        <v>1327</v>
      </c>
      <c r="J773" s="292" t="s">
        <v>1328</v>
      </c>
      <c r="K773" s="303" t="s">
        <v>1329</v>
      </c>
    </row>
    <row r="774" spans="1:17" ht="12">
      <c r="A774" s="290">
        <v>25466</v>
      </c>
      <c r="B774" s="291" t="s">
        <v>2554</v>
      </c>
      <c r="C774" s="297" t="s">
        <v>2552</v>
      </c>
      <c r="D774" s="297" t="s">
        <v>908</v>
      </c>
      <c r="E774" s="297" t="s">
        <v>2103</v>
      </c>
      <c r="F774" s="293" t="s">
        <v>48</v>
      </c>
      <c r="G774" s="298" t="s">
        <v>138</v>
      </c>
      <c r="H774" s="299">
        <v>0</v>
      </c>
      <c r="I774" s="292" t="s">
        <v>1327</v>
      </c>
      <c r="J774" s="292" t="s">
        <v>1328</v>
      </c>
      <c r="K774" s="303" t="s">
        <v>1329</v>
      </c>
    </row>
    <row r="775" spans="1:17" ht="12">
      <c r="A775" s="290">
        <v>16141</v>
      </c>
      <c r="B775" s="291" t="s">
        <v>1348</v>
      </c>
      <c r="C775" s="292" t="s">
        <v>1349</v>
      </c>
      <c r="D775" s="292" t="s">
        <v>1350</v>
      </c>
      <c r="E775" s="292"/>
      <c r="F775" s="293" t="s">
        <v>48</v>
      </c>
      <c r="G775" s="310" t="s">
        <v>78</v>
      </c>
      <c r="H775" s="311" t="s">
        <v>65</v>
      </c>
      <c r="I775" s="292" t="s">
        <v>1327</v>
      </c>
      <c r="J775" s="292" t="s">
        <v>1328</v>
      </c>
      <c r="K775" s="303" t="s">
        <v>1329</v>
      </c>
      <c r="L775" s="26"/>
      <c r="M775" s="26"/>
      <c r="N775" s="26"/>
      <c r="Q775" s="30"/>
    </row>
    <row r="776" spans="1:17" ht="12">
      <c r="A776" s="290">
        <v>38641</v>
      </c>
      <c r="B776" s="291" t="s">
        <v>1351</v>
      </c>
      <c r="C776" s="297" t="s">
        <v>1352</v>
      </c>
      <c r="D776" s="297" t="s">
        <v>252</v>
      </c>
      <c r="E776" s="297" t="s">
        <v>2103</v>
      </c>
      <c r="F776" s="293" t="s">
        <v>42</v>
      </c>
      <c r="G776" s="310" t="s">
        <v>66</v>
      </c>
      <c r="H776" s="311" t="s">
        <v>44</v>
      </c>
      <c r="I776" s="297" t="s">
        <v>1327</v>
      </c>
      <c r="J776" s="297" t="s">
        <v>1328</v>
      </c>
      <c r="K776" s="303" t="s">
        <v>1329</v>
      </c>
      <c r="L776" s="26"/>
      <c r="M776" s="26"/>
      <c r="N776" s="26"/>
      <c r="Q776" s="30"/>
    </row>
    <row r="777" spans="1:17" ht="12">
      <c r="A777" s="290">
        <v>16992</v>
      </c>
      <c r="B777" s="291">
        <v>9029310</v>
      </c>
      <c r="C777" s="294" t="s">
        <v>1352</v>
      </c>
      <c r="D777" s="294" t="s">
        <v>1270</v>
      </c>
      <c r="E777" s="294"/>
      <c r="F777" s="295" t="s">
        <v>48</v>
      </c>
      <c r="G777" s="310" t="s">
        <v>138</v>
      </c>
      <c r="H777" s="311" t="s">
        <v>50</v>
      </c>
      <c r="I777" s="297" t="s">
        <v>1327</v>
      </c>
      <c r="J777" s="297" t="s">
        <v>1328</v>
      </c>
      <c r="K777" s="303" t="s">
        <v>1329</v>
      </c>
    </row>
    <row r="778" spans="1:17" ht="12">
      <c r="A778" s="290">
        <v>38662</v>
      </c>
      <c r="B778" s="291" t="s">
        <v>1353</v>
      </c>
      <c r="C778" s="294" t="s">
        <v>1354</v>
      </c>
      <c r="D778" s="294" t="s">
        <v>1355</v>
      </c>
      <c r="E778" s="294"/>
      <c r="F778" s="295" t="s">
        <v>48</v>
      </c>
      <c r="G778" s="310" t="s">
        <v>49</v>
      </c>
      <c r="H778" s="311"/>
      <c r="I778" s="297" t="s">
        <v>1327</v>
      </c>
      <c r="J778" s="297" t="s">
        <v>1328</v>
      </c>
      <c r="K778" s="303" t="s">
        <v>1329</v>
      </c>
    </row>
    <row r="779" spans="1:17" ht="12">
      <c r="A779" s="290">
        <v>7641</v>
      </c>
      <c r="B779" s="291" t="s">
        <v>1356</v>
      </c>
      <c r="C779" s="292" t="s">
        <v>1357</v>
      </c>
      <c r="D779" s="292" t="s">
        <v>142</v>
      </c>
      <c r="E779" s="292"/>
      <c r="F779" s="293" t="s">
        <v>42</v>
      </c>
      <c r="G779" s="310" t="s">
        <v>66</v>
      </c>
      <c r="H779" s="311" t="s">
        <v>65</v>
      </c>
      <c r="I779" s="292" t="s">
        <v>1358</v>
      </c>
      <c r="J779" s="292" t="s">
        <v>1359</v>
      </c>
      <c r="K779" s="303" t="s">
        <v>26</v>
      </c>
    </row>
    <row r="780" spans="1:17" ht="12">
      <c r="A780" s="290">
        <v>10526</v>
      </c>
      <c r="B780" s="291" t="s">
        <v>1360</v>
      </c>
      <c r="C780" s="297" t="s">
        <v>152</v>
      </c>
      <c r="D780" s="297" t="s">
        <v>86</v>
      </c>
      <c r="E780" s="297" t="s">
        <v>2103</v>
      </c>
      <c r="F780" s="293" t="s">
        <v>42</v>
      </c>
      <c r="G780" s="310" t="s">
        <v>43</v>
      </c>
      <c r="H780" s="311" t="s">
        <v>50</v>
      </c>
      <c r="I780" s="297" t="s">
        <v>1358</v>
      </c>
      <c r="J780" s="297" t="s">
        <v>1359</v>
      </c>
      <c r="K780" s="303" t="s">
        <v>26</v>
      </c>
    </row>
    <row r="781" spans="1:17" ht="12">
      <c r="A781" s="290">
        <v>25886</v>
      </c>
      <c r="B781" s="291" t="s">
        <v>1361</v>
      </c>
      <c r="C781" s="297" t="s">
        <v>1362</v>
      </c>
      <c r="D781" s="297" t="s">
        <v>1272</v>
      </c>
      <c r="E781" s="297" t="s">
        <v>2103</v>
      </c>
      <c r="F781" s="293" t="s">
        <v>48</v>
      </c>
      <c r="G781" s="310" t="s">
        <v>138</v>
      </c>
      <c r="H781" s="311" t="s">
        <v>50</v>
      </c>
      <c r="I781" s="297" t="s">
        <v>1358</v>
      </c>
      <c r="J781" s="297" t="s">
        <v>1359</v>
      </c>
      <c r="K781" s="303" t="s">
        <v>26</v>
      </c>
    </row>
    <row r="782" spans="1:17" ht="12">
      <c r="A782" s="290">
        <v>38837</v>
      </c>
      <c r="B782" s="291" t="s">
        <v>2220</v>
      </c>
      <c r="C782" s="297" t="s">
        <v>2221</v>
      </c>
      <c r="D782" s="297" t="s">
        <v>2222</v>
      </c>
      <c r="E782" s="297" t="s">
        <v>2103</v>
      </c>
      <c r="F782" s="293" t="s">
        <v>48</v>
      </c>
      <c r="G782" s="310" t="s">
        <v>49</v>
      </c>
      <c r="H782" s="311" t="s">
        <v>103</v>
      </c>
      <c r="I782" s="297" t="s">
        <v>1358</v>
      </c>
      <c r="J782" s="297" t="s">
        <v>1359</v>
      </c>
      <c r="K782" s="303" t="s">
        <v>26</v>
      </c>
    </row>
    <row r="783" spans="1:17" ht="12">
      <c r="A783" s="290">
        <v>25786</v>
      </c>
      <c r="B783" s="291" t="s">
        <v>2223</v>
      </c>
      <c r="C783" s="292" t="s">
        <v>2224</v>
      </c>
      <c r="D783" s="292" t="s">
        <v>380</v>
      </c>
      <c r="E783" s="292"/>
      <c r="F783" s="293" t="s">
        <v>42</v>
      </c>
      <c r="G783" s="310" t="s">
        <v>43</v>
      </c>
      <c r="H783" s="311" t="s">
        <v>44</v>
      </c>
      <c r="I783" s="292" t="s">
        <v>1358</v>
      </c>
      <c r="J783" s="292" t="s">
        <v>1359</v>
      </c>
      <c r="K783" s="303" t="s">
        <v>26</v>
      </c>
      <c r="L783" s="26"/>
      <c r="M783" s="26"/>
      <c r="N783" s="26"/>
      <c r="Q783" s="30"/>
    </row>
    <row r="784" spans="1:17" ht="12">
      <c r="A784" s="290">
        <v>10797</v>
      </c>
      <c r="B784" s="291" t="s">
        <v>1914</v>
      </c>
      <c r="C784" s="292" t="s">
        <v>1915</v>
      </c>
      <c r="D784" s="292" t="s">
        <v>476</v>
      </c>
      <c r="E784" s="292"/>
      <c r="F784" s="293" t="s">
        <v>42</v>
      </c>
      <c r="G784" s="310" t="s">
        <v>66</v>
      </c>
      <c r="H784" s="311" t="s">
        <v>44</v>
      </c>
      <c r="I784" s="292" t="s">
        <v>1358</v>
      </c>
      <c r="J784" s="292" t="s">
        <v>1359</v>
      </c>
      <c r="K784" s="303" t="s">
        <v>26</v>
      </c>
    </row>
    <row r="785" spans="1:17" ht="12">
      <c r="A785" s="290">
        <v>38393</v>
      </c>
      <c r="B785" s="291" t="s">
        <v>1363</v>
      </c>
      <c r="C785" s="297" t="s">
        <v>1364</v>
      </c>
      <c r="D785" s="297" t="s">
        <v>166</v>
      </c>
      <c r="E785" s="297" t="s">
        <v>2103</v>
      </c>
      <c r="F785" s="293" t="s">
        <v>48</v>
      </c>
      <c r="G785" s="310" t="s">
        <v>49</v>
      </c>
      <c r="H785" s="311" t="s">
        <v>44</v>
      </c>
      <c r="I785" s="297" t="s">
        <v>1358</v>
      </c>
      <c r="J785" s="297" t="s">
        <v>1359</v>
      </c>
      <c r="K785" s="303" t="s">
        <v>26</v>
      </c>
    </row>
    <row r="786" spans="1:17" ht="12">
      <c r="A786" s="290">
        <v>16760</v>
      </c>
      <c r="B786" s="291" t="s">
        <v>112</v>
      </c>
      <c r="C786" s="292" t="s">
        <v>113</v>
      </c>
      <c r="D786" s="292" t="s">
        <v>86</v>
      </c>
      <c r="E786" s="292"/>
      <c r="F786" s="293" t="s">
        <v>42</v>
      </c>
      <c r="G786" s="310" t="s">
        <v>66</v>
      </c>
      <c r="H786" s="311" t="s">
        <v>179</v>
      </c>
      <c r="I786" s="292" t="s">
        <v>1358</v>
      </c>
      <c r="J786" s="292" t="s">
        <v>1359</v>
      </c>
      <c r="K786" s="303" t="s">
        <v>26</v>
      </c>
    </row>
    <row r="787" spans="1:17" ht="12">
      <c r="A787" s="290">
        <v>25884</v>
      </c>
      <c r="B787" s="291">
        <v>9111431</v>
      </c>
      <c r="C787" s="297" t="s">
        <v>1365</v>
      </c>
      <c r="D787" s="297" t="s">
        <v>205</v>
      </c>
      <c r="E787" s="297" t="s">
        <v>2103</v>
      </c>
      <c r="F787" s="293" t="s">
        <v>42</v>
      </c>
      <c r="G787" s="310" t="s">
        <v>51</v>
      </c>
      <c r="H787" s="311" t="s">
        <v>44</v>
      </c>
      <c r="I787" s="297" t="s">
        <v>1358</v>
      </c>
      <c r="J787" s="297" t="s">
        <v>1359</v>
      </c>
      <c r="K787" s="303" t="s">
        <v>26</v>
      </c>
    </row>
    <row r="788" spans="1:17" ht="12">
      <c r="A788" s="290">
        <v>25885</v>
      </c>
      <c r="B788" s="291">
        <v>9111424</v>
      </c>
      <c r="C788" s="297" t="s">
        <v>1365</v>
      </c>
      <c r="D788" s="297" t="s">
        <v>1276</v>
      </c>
      <c r="E788" s="297" t="s">
        <v>2103</v>
      </c>
      <c r="F788" s="293" t="s">
        <v>48</v>
      </c>
      <c r="G788" s="310" t="s">
        <v>49</v>
      </c>
      <c r="H788" s="311" t="s">
        <v>50</v>
      </c>
      <c r="I788" s="297" t="s">
        <v>1358</v>
      </c>
      <c r="J788" s="297" t="s">
        <v>1359</v>
      </c>
      <c r="K788" s="303" t="s">
        <v>26</v>
      </c>
    </row>
    <row r="789" spans="1:17" ht="12">
      <c r="A789" s="290">
        <v>10185</v>
      </c>
      <c r="B789" s="291" t="s">
        <v>1366</v>
      </c>
      <c r="C789" s="297" t="s">
        <v>1367</v>
      </c>
      <c r="D789" s="297" t="s">
        <v>262</v>
      </c>
      <c r="E789" s="297" t="s">
        <v>2103</v>
      </c>
      <c r="F789" s="293" t="s">
        <v>42</v>
      </c>
      <c r="G789" s="310" t="s">
        <v>51</v>
      </c>
      <c r="H789" s="311" t="s">
        <v>44</v>
      </c>
      <c r="I789" s="297" t="s">
        <v>1358</v>
      </c>
      <c r="J789" s="297" t="s">
        <v>1359</v>
      </c>
      <c r="K789" s="303" t="s">
        <v>26</v>
      </c>
    </row>
    <row r="790" spans="1:17" ht="12">
      <c r="A790" s="290">
        <v>25992</v>
      </c>
      <c r="B790" s="291" t="s">
        <v>1368</v>
      </c>
      <c r="C790" s="297" t="s">
        <v>1369</v>
      </c>
      <c r="D790" s="297" t="s">
        <v>1370</v>
      </c>
      <c r="E790" s="297" t="s">
        <v>2103</v>
      </c>
      <c r="F790" s="293" t="s">
        <v>48</v>
      </c>
      <c r="G790" s="310" t="s">
        <v>49</v>
      </c>
      <c r="H790" s="311" t="s">
        <v>44</v>
      </c>
      <c r="I790" s="297" t="s">
        <v>1358</v>
      </c>
      <c r="J790" s="297" t="s">
        <v>1359</v>
      </c>
      <c r="K790" s="303" t="s">
        <v>26</v>
      </c>
    </row>
    <row r="791" spans="1:17" ht="12">
      <c r="A791" s="290">
        <v>25993</v>
      </c>
      <c r="B791" s="291" t="s">
        <v>1371</v>
      </c>
      <c r="C791" s="297" t="s">
        <v>1369</v>
      </c>
      <c r="D791" s="297" t="s">
        <v>116</v>
      </c>
      <c r="E791" s="297" t="s">
        <v>2103</v>
      </c>
      <c r="F791" s="293" t="s">
        <v>42</v>
      </c>
      <c r="G791" s="310" t="s">
        <v>51</v>
      </c>
      <c r="H791" s="311" t="s">
        <v>65</v>
      </c>
      <c r="I791" s="297" t="s">
        <v>1358</v>
      </c>
      <c r="J791" s="297" t="s">
        <v>1359</v>
      </c>
      <c r="K791" s="303" t="s">
        <v>26</v>
      </c>
    </row>
    <row r="792" spans="1:17" ht="12">
      <c r="A792" s="290">
        <v>38608</v>
      </c>
      <c r="B792" s="291" t="s">
        <v>1372</v>
      </c>
      <c r="C792" s="297" t="s">
        <v>1373</v>
      </c>
      <c r="D792" s="297" t="s">
        <v>1374</v>
      </c>
      <c r="E792" s="297" t="s">
        <v>2103</v>
      </c>
      <c r="F792" s="293" t="s">
        <v>48</v>
      </c>
      <c r="G792" s="310" t="s">
        <v>78</v>
      </c>
      <c r="H792" s="311" t="s">
        <v>50</v>
      </c>
      <c r="I792" s="297" t="s">
        <v>1358</v>
      </c>
      <c r="J792" s="297" t="s">
        <v>1359</v>
      </c>
      <c r="K792" s="303" t="s">
        <v>26</v>
      </c>
    </row>
    <row r="793" spans="1:17" ht="12">
      <c r="A793" s="290">
        <v>38588</v>
      </c>
      <c r="B793" s="291" t="s">
        <v>2225</v>
      </c>
      <c r="C793" s="297" t="s">
        <v>2226</v>
      </c>
      <c r="D793" s="297" t="s">
        <v>828</v>
      </c>
      <c r="E793" s="297" t="s">
        <v>2103</v>
      </c>
      <c r="F793" s="293" t="s">
        <v>42</v>
      </c>
      <c r="G793" s="310" t="s">
        <v>43</v>
      </c>
      <c r="H793" s="311" t="s">
        <v>50</v>
      </c>
      <c r="I793" s="297" t="s">
        <v>1358</v>
      </c>
      <c r="J793" s="297" t="s">
        <v>1359</v>
      </c>
      <c r="K793" s="303" t="s">
        <v>26</v>
      </c>
    </row>
    <row r="794" spans="1:17" ht="12">
      <c r="A794" s="290">
        <v>25524</v>
      </c>
      <c r="B794" s="291" t="s">
        <v>1448</v>
      </c>
      <c r="C794" s="297" t="s">
        <v>1449</v>
      </c>
      <c r="D794" s="297" t="s">
        <v>1450</v>
      </c>
      <c r="E794" s="297" t="s">
        <v>2103</v>
      </c>
      <c r="F794" s="293" t="s">
        <v>42</v>
      </c>
      <c r="G794" s="310" t="s">
        <v>43</v>
      </c>
      <c r="H794" s="311" t="s">
        <v>65</v>
      </c>
      <c r="I794" s="297" t="s">
        <v>1358</v>
      </c>
      <c r="J794" s="297" t="s">
        <v>1359</v>
      </c>
      <c r="K794" s="303" t="s">
        <v>26</v>
      </c>
    </row>
    <row r="795" spans="1:17" ht="12">
      <c r="A795" s="290">
        <v>16184</v>
      </c>
      <c r="B795" s="291" t="s">
        <v>117</v>
      </c>
      <c r="C795" s="292" t="s">
        <v>118</v>
      </c>
      <c r="D795" s="292" t="s">
        <v>119</v>
      </c>
      <c r="E795" s="292"/>
      <c r="F795" s="293" t="s">
        <v>42</v>
      </c>
      <c r="G795" s="310" t="s">
        <v>57</v>
      </c>
      <c r="H795" s="311" t="s">
        <v>65</v>
      </c>
      <c r="I795" s="292" t="s">
        <v>1358</v>
      </c>
      <c r="J795" s="292" t="s">
        <v>1359</v>
      </c>
      <c r="K795" s="303" t="s">
        <v>26</v>
      </c>
    </row>
    <row r="796" spans="1:17" ht="12">
      <c r="A796" s="290">
        <v>25887</v>
      </c>
      <c r="B796" s="291">
        <v>9111426</v>
      </c>
      <c r="C796" s="297" t="s">
        <v>499</v>
      </c>
      <c r="D796" s="297" t="s">
        <v>657</v>
      </c>
      <c r="E796" s="297" t="s">
        <v>2103</v>
      </c>
      <c r="F796" s="293" t="s">
        <v>48</v>
      </c>
      <c r="G796" s="310" t="s">
        <v>138</v>
      </c>
      <c r="H796" s="311"/>
      <c r="I796" s="297" t="s">
        <v>1358</v>
      </c>
      <c r="J796" s="297" t="s">
        <v>1359</v>
      </c>
      <c r="K796" s="303" t="s">
        <v>26</v>
      </c>
    </row>
    <row r="797" spans="1:17" ht="12">
      <c r="A797" s="290">
        <v>7607</v>
      </c>
      <c r="B797" s="291" t="s">
        <v>780</v>
      </c>
      <c r="C797" s="292" t="s">
        <v>499</v>
      </c>
      <c r="D797" s="292" t="s">
        <v>60</v>
      </c>
      <c r="E797" s="292"/>
      <c r="F797" s="293" t="s">
        <v>42</v>
      </c>
      <c r="G797" s="310" t="s">
        <v>51</v>
      </c>
      <c r="H797" s="311" t="s">
        <v>44</v>
      </c>
      <c r="I797" s="292" t="s">
        <v>1358</v>
      </c>
      <c r="J797" s="292" t="s">
        <v>1359</v>
      </c>
      <c r="K797" s="303" t="s">
        <v>26</v>
      </c>
    </row>
    <row r="798" spans="1:17" ht="12">
      <c r="A798" s="290">
        <v>25888</v>
      </c>
      <c r="B798" s="291">
        <v>9111425</v>
      </c>
      <c r="C798" s="297" t="s">
        <v>499</v>
      </c>
      <c r="D798" s="297" t="s">
        <v>644</v>
      </c>
      <c r="E798" s="297" t="s">
        <v>2103</v>
      </c>
      <c r="F798" s="293" t="s">
        <v>42</v>
      </c>
      <c r="G798" s="310" t="s">
        <v>66</v>
      </c>
      <c r="H798" s="311" t="s">
        <v>44</v>
      </c>
      <c r="I798" s="297" t="s">
        <v>1358</v>
      </c>
      <c r="J798" s="297" t="s">
        <v>1359</v>
      </c>
      <c r="K798" s="303" t="s">
        <v>26</v>
      </c>
      <c r="L798" s="26"/>
      <c r="M798" s="26"/>
      <c r="N798" s="26"/>
      <c r="Q798" s="30"/>
    </row>
    <row r="799" spans="1:17" ht="12">
      <c r="A799" s="290">
        <v>38548</v>
      </c>
      <c r="B799" s="291" t="s">
        <v>1375</v>
      </c>
      <c r="C799" s="297" t="s">
        <v>499</v>
      </c>
      <c r="D799" s="297" t="s">
        <v>1275</v>
      </c>
      <c r="E799" s="297" t="s">
        <v>2103</v>
      </c>
      <c r="F799" s="293" t="s">
        <v>48</v>
      </c>
      <c r="G799" s="310" t="s">
        <v>78</v>
      </c>
      <c r="H799" s="311" t="s">
        <v>44</v>
      </c>
      <c r="I799" s="297" t="s">
        <v>1358</v>
      </c>
      <c r="J799" s="297" t="s">
        <v>1359</v>
      </c>
      <c r="K799" s="303" t="s">
        <v>26</v>
      </c>
    </row>
    <row r="800" spans="1:17" ht="12">
      <c r="A800" s="290">
        <v>38417</v>
      </c>
      <c r="B800" s="291" t="s">
        <v>1377</v>
      </c>
      <c r="C800" s="297" t="s">
        <v>1378</v>
      </c>
      <c r="D800" s="297" t="s">
        <v>1379</v>
      </c>
      <c r="E800" s="297" t="s">
        <v>2103</v>
      </c>
      <c r="F800" s="293" t="s">
        <v>42</v>
      </c>
      <c r="G800" s="310" t="s">
        <v>51</v>
      </c>
      <c r="H800" s="311" t="s">
        <v>50</v>
      </c>
      <c r="I800" s="297" t="s">
        <v>1358</v>
      </c>
      <c r="J800" s="297" t="s">
        <v>1359</v>
      </c>
      <c r="K800" s="303" t="s">
        <v>26</v>
      </c>
    </row>
    <row r="801" spans="1:17" ht="12">
      <c r="A801" s="290">
        <v>25891</v>
      </c>
      <c r="B801" s="291">
        <v>9111432</v>
      </c>
      <c r="C801" s="297" t="s">
        <v>1380</v>
      </c>
      <c r="D801" s="297" t="s">
        <v>476</v>
      </c>
      <c r="E801" s="297" t="s">
        <v>2103</v>
      </c>
      <c r="F801" s="293" t="s">
        <v>42</v>
      </c>
      <c r="G801" s="310" t="s">
        <v>43</v>
      </c>
      <c r="H801" s="311" t="s">
        <v>44</v>
      </c>
      <c r="I801" s="297" t="s">
        <v>1358</v>
      </c>
      <c r="J801" s="297" t="s">
        <v>1359</v>
      </c>
      <c r="K801" s="303" t="s">
        <v>26</v>
      </c>
    </row>
    <row r="802" spans="1:17" ht="12">
      <c r="A802" s="290">
        <v>38516</v>
      </c>
      <c r="B802" s="291" t="s">
        <v>1381</v>
      </c>
      <c r="C802" s="297" t="s">
        <v>1382</v>
      </c>
      <c r="D802" s="297" t="s">
        <v>314</v>
      </c>
      <c r="E802" s="297" t="s">
        <v>2103</v>
      </c>
      <c r="F802" s="293" t="s">
        <v>42</v>
      </c>
      <c r="G802" s="310" t="s">
        <v>51</v>
      </c>
      <c r="H802" s="311" t="s">
        <v>44</v>
      </c>
      <c r="I802" s="297" t="s">
        <v>1358</v>
      </c>
      <c r="J802" s="297" t="s">
        <v>1359</v>
      </c>
      <c r="K802" s="303" t="s">
        <v>26</v>
      </c>
    </row>
    <row r="803" spans="1:17" ht="12">
      <c r="A803" s="290">
        <v>7627</v>
      </c>
      <c r="B803" s="291" t="s">
        <v>1383</v>
      </c>
      <c r="C803" s="292" t="s">
        <v>1384</v>
      </c>
      <c r="D803" s="292" t="s">
        <v>613</v>
      </c>
      <c r="E803" s="292"/>
      <c r="F803" s="293" t="s">
        <v>48</v>
      </c>
      <c r="G803" s="310" t="s">
        <v>49</v>
      </c>
      <c r="H803" s="311" t="s">
        <v>44</v>
      </c>
      <c r="I803" s="292" t="s">
        <v>1358</v>
      </c>
      <c r="J803" s="292" t="s">
        <v>1359</v>
      </c>
      <c r="K803" s="303" t="s">
        <v>26</v>
      </c>
    </row>
    <row r="804" spans="1:17" ht="12">
      <c r="A804" s="290">
        <v>7620</v>
      </c>
      <c r="B804" s="291" t="s">
        <v>1385</v>
      </c>
      <c r="C804" s="292" t="s">
        <v>1384</v>
      </c>
      <c r="D804" s="292" t="s">
        <v>1072</v>
      </c>
      <c r="E804" s="292"/>
      <c r="F804" s="293" t="s">
        <v>42</v>
      </c>
      <c r="G804" s="310" t="s">
        <v>57</v>
      </c>
      <c r="H804" s="311" t="s">
        <v>44</v>
      </c>
      <c r="I804" s="292" t="s">
        <v>1358</v>
      </c>
      <c r="J804" s="292" t="s">
        <v>1359</v>
      </c>
      <c r="K804" s="303" t="s">
        <v>26</v>
      </c>
    </row>
    <row r="805" spans="1:17" ht="12">
      <c r="A805" s="290">
        <v>16672</v>
      </c>
      <c r="B805" s="291" t="s">
        <v>1386</v>
      </c>
      <c r="C805" s="292" t="s">
        <v>648</v>
      </c>
      <c r="D805" s="292" t="s">
        <v>60</v>
      </c>
      <c r="E805" s="292"/>
      <c r="F805" s="293" t="s">
        <v>42</v>
      </c>
      <c r="G805" s="310" t="s">
        <v>51</v>
      </c>
      <c r="H805" s="311" t="s">
        <v>44</v>
      </c>
      <c r="I805" s="292" t="s">
        <v>1358</v>
      </c>
      <c r="J805" s="292" t="s">
        <v>1359</v>
      </c>
      <c r="K805" s="303" t="s">
        <v>26</v>
      </c>
    </row>
    <row r="806" spans="1:17" ht="12">
      <c r="A806" s="290">
        <v>38391</v>
      </c>
      <c r="B806" s="291" t="s">
        <v>1387</v>
      </c>
      <c r="C806" s="297" t="s">
        <v>1388</v>
      </c>
      <c r="D806" s="297" t="s">
        <v>86</v>
      </c>
      <c r="E806" s="297" t="s">
        <v>2103</v>
      </c>
      <c r="F806" s="293" t="s">
        <v>42</v>
      </c>
      <c r="G806" s="310" t="s">
        <v>66</v>
      </c>
      <c r="H806" s="311" t="s">
        <v>65</v>
      </c>
      <c r="I806" s="297" t="s">
        <v>1358</v>
      </c>
      <c r="J806" s="297" t="s">
        <v>1359</v>
      </c>
      <c r="K806" s="303" t="s">
        <v>26</v>
      </c>
    </row>
    <row r="807" spans="1:17" ht="12">
      <c r="A807" s="290">
        <v>38392</v>
      </c>
      <c r="B807" s="291" t="s">
        <v>1498</v>
      </c>
      <c r="C807" s="297" t="s">
        <v>1388</v>
      </c>
      <c r="D807" s="297" t="s">
        <v>87</v>
      </c>
      <c r="E807" s="297" t="s">
        <v>2103</v>
      </c>
      <c r="F807" s="293" t="s">
        <v>42</v>
      </c>
      <c r="G807" s="310" t="s">
        <v>93</v>
      </c>
      <c r="H807" s="311" t="s">
        <v>65</v>
      </c>
      <c r="I807" s="297" t="s">
        <v>1358</v>
      </c>
      <c r="J807" s="297" t="s">
        <v>1359</v>
      </c>
      <c r="K807" s="303" t="s">
        <v>26</v>
      </c>
      <c r="L807" s="26"/>
      <c r="M807" s="26"/>
      <c r="N807" s="26"/>
      <c r="Q807" s="30"/>
    </row>
    <row r="808" spans="1:17" ht="12">
      <c r="A808" s="290">
        <v>38586</v>
      </c>
      <c r="B808" s="291" t="s">
        <v>1389</v>
      </c>
      <c r="C808" s="297" t="s">
        <v>1390</v>
      </c>
      <c r="D808" s="297" t="s">
        <v>72</v>
      </c>
      <c r="E808" s="297" t="s">
        <v>2103</v>
      </c>
      <c r="F808" s="293" t="s">
        <v>42</v>
      </c>
      <c r="G808" s="310" t="s">
        <v>43</v>
      </c>
      <c r="H808" s="311" t="s">
        <v>44</v>
      </c>
      <c r="I808" s="297" t="s">
        <v>1358</v>
      </c>
      <c r="J808" s="297" t="s">
        <v>1359</v>
      </c>
      <c r="K808" s="303" t="s">
        <v>26</v>
      </c>
    </row>
    <row r="809" spans="1:17" ht="12">
      <c r="A809" s="290">
        <v>38530</v>
      </c>
      <c r="B809" s="291" t="s">
        <v>1391</v>
      </c>
      <c r="C809" s="292" t="s">
        <v>1392</v>
      </c>
      <c r="D809" s="292" t="s">
        <v>194</v>
      </c>
      <c r="E809" s="292"/>
      <c r="F809" s="293" t="s">
        <v>42</v>
      </c>
      <c r="G809" s="310" t="s">
        <v>43</v>
      </c>
      <c r="H809" s="311" t="s">
        <v>179</v>
      </c>
      <c r="I809" s="292" t="s">
        <v>1358</v>
      </c>
      <c r="J809" s="292" t="s">
        <v>1359</v>
      </c>
      <c r="K809" s="303" t="s">
        <v>26</v>
      </c>
    </row>
    <row r="810" spans="1:17" ht="12">
      <c r="A810" s="290">
        <v>16187</v>
      </c>
      <c r="B810" s="291" t="s">
        <v>107</v>
      </c>
      <c r="C810" s="292" t="s">
        <v>108</v>
      </c>
      <c r="D810" s="292" t="s">
        <v>92</v>
      </c>
      <c r="E810" s="292"/>
      <c r="F810" s="293" t="s">
        <v>42</v>
      </c>
      <c r="G810" s="310" t="s">
        <v>43</v>
      </c>
      <c r="H810" s="311" t="s">
        <v>44</v>
      </c>
      <c r="I810" s="292" t="s">
        <v>1358</v>
      </c>
      <c r="J810" s="292" t="s">
        <v>1359</v>
      </c>
      <c r="K810" s="303" t="s">
        <v>26</v>
      </c>
    </row>
    <row r="811" spans="1:17" ht="12">
      <c r="A811" s="290">
        <v>16185</v>
      </c>
      <c r="B811" s="291" t="s">
        <v>120</v>
      </c>
      <c r="C811" s="297" t="s">
        <v>108</v>
      </c>
      <c r="D811" s="297" t="s">
        <v>121</v>
      </c>
      <c r="E811" s="297" t="s">
        <v>2103</v>
      </c>
      <c r="F811" s="293" t="s">
        <v>42</v>
      </c>
      <c r="G811" s="310" t="s">
        <v>43</v>
      </c>
      <c r="H811" s="311" t="s">
        <v>179</v>
      </c>
      <c r="I811" s="292" t="s">
        <v>1358</v>
      </c>
      <c r="J811" s="292" t="s">
        <v>1359</v>
      </c>
      <c r="K811" s="303" t="s">
        <v>26</v>
      </c>
    </row>
    <row r="812" spans="1:17" ht="12">
      <c r="A812" s="290">
        <v>25344</v>
      </c>
      <c r="B812" s="291" t="s">
        <v>1409</v>
      </c>
      <c r="C812" s="292" t="s">
        <v>1410</v>
      </c>
      <c r="D812" s="292" t="s">
        <v>1270</v>
      </c>
      <c r="E812" s="292"/>
      <c r="F812" s="293" t="s">
        <v>48</v>
      </c>
      <c r="G812" s="310" t="s">
        <v>78</v>
      </c>
      <c r="H812" s="311" t="s">
        <v>44</v>
      </c>
      <c r="I812" s="292" t="s">
        <v>1411</v>
      </c>
      <c r="J812" s="292" t="s">
        <v>1359</v>
      </c>
      <c r="K812" s="303" t="s">
        <v>26</v>
      </c>
    </row>
    <row r="813" spans="1:17" ht="12">
      <c r="A813" s="290">
        <v>7422</v>
      </c>
      <c r="B813" s="291" t="s">
        <v>1412</v>
      </c>
      <c r="C813" s="292" t="s">
        <v>1413</v>
      </c>
      <c r="D813" s="292" t="s">
        <v>178</v>
      </c>
      <c r="E813" s="292"/>
      <c r="F813" s="293" t="s">
        <v>42</v>
      </c>
      <c r="G813" s="310" t="s">
        <v>43</v>
      </c>
      <c r="H813" s="311"/>
      <c r="I813" s="292" t="s">
        <v>1411</v>
      </c>
      <c r="J813" s="292" t="s">
        <v>1359</v>
      </c>
      <c r="K813" s="303" t="s">
        <v>26</v>
      </c>
    </row>
    <row r="814" spans="1:17" ht="12">
      <c r="A814" s="290">
        <v>25083</v>
      </c>
      <c r="B814" s="291" t="s">
        <v>1414</v>
      </c>
      <c r="C814" s="292" t="s">
        <v>1415</v>
      </c>
      <c r="D814" s="292" t="s">
        <v>158</v>
      </c>
      <c r="E814" s="292"/>
      <c r="F814" s="293" t="s">
        <v>48</v>
      </c>
      <c r="G814" s="310" t="s">
        <v>78</v>
      </c>
      <c r="H814" s="311" t="s">
        <v>179</v>
      </c>
      <c r="I814" s="292" t="s">
        <v>1411</v>
      </c>
      <c r="J814" s="292" t="s">
        <v>1359</v>
      </c>
      <c r="K814" s="303" t="s">
        <v>26</v>
      </c>
    </row>
    <row r="815" spans="1:17" ht="12">
      <c r="A815" s="290">
        <v>25010</v>
      </c>
      <c r="B815" s="291" t="s">
        <v>1416</v>
      </c>
      <c r="C815" s="297" t="s">
        <v>1417</v>
      </c>
      <c r="D815" s="297" t="s">
        <v>688</v>
      </c>
      <c r="E815" s="297" t="s">
        <v>2103</v>
      </c>
      <c r="F815" s="293" t="s">
        <v>48</v>
      </c>
      <c r="G815" s="310" t="s">
        <v>49</v>
      </c>
      <c r="H815" s="311" t="s">
        <v>65</v>
      </c>
      <c r="I815" s="297" t="s">
        <v>1411</v>
      </c>
      <c r="J815" s="297" t="s">
        <v>1359</v>
      </c>
      <c r="K815" s="303" t="s">
        <v>26</v>
      </c>
    </row>
    <row r="816" spans="1:17" ht="12">
      <c r="A816" s="290">
        <v>7408</v>
      </c>
      <c r="B816" s="291">
        <v>9111164</v>
      </c>
      <c r="C816" s="292" t="s">
        <v>1418</v>
      </c>
      <c r="D816" s="292" t="s">
        <v>983</v>
      </c>
      <c r="E816" s="292"/>
      <c r="F816" s="293" t="s">
        <v>42</v>
      </c>
      <c r="G816" s="310" t="s">
        <v>43</v>
      </c>
      <c r="H816" s="311" t="s">
        <v>238</v>
      </c>
      <c r="I816" s="292" t="s">
        <v>1411</v>
      </c>
      <c r="J816" s="292" t="s">
        <v>1359</v>
      </c>
      <c r="K816" s="303" t="s">
        <v>26</v>
      </c>
    </row>
    <row r="817" spans="1:17" ht="12">
      <c r="A817" s="290">
        <v>16762</v>
      </c>
      <c r="B817" s="291" t="s">
        <v>1419</v>
      </c>
      <c r="C817" s="292" t="s">
        <v>1420</v>
      </c>
      <c r="D817" s="292" t="s">
        <v>115</v>
      </c>
      <c r="E817" s="292"/>
      <c r="F817" s="293" t="s">
        <v>42</v>
      </c>
      <c r="G817" s="310" t="s">
        <v>51</v>
      </c>
      <c r="H817" s="311"/>
      <c r="I817" s="292" t="s">
        <v>1411</v>
      </c>
      <c r="J817" s="292" t="s">
        <v>1359</v>
      </c>
      <c r="K817" s="303" t="s">
        <v>26</v>
      </c>
    </row>
    <row r="818" spans="1:17" ht="12">
      <c r="A818" s="290">
        <v>13303</v>
      </c>
      <c r="B818" s="291" t="s">
        <v>2555</v>
      </c>
      <c r="C818" s="292" t="s">
        <v>2556</v>
      </c>
      <c r="D818" s="292" t="s">
        <v>430</v>
      </c>
      <c r="E818" s="292"/>
      <c r="F818" s="293" t="s">
        <v>48</v>
      </c>
      <c r="G818" s="298" t="s">
        <v>78</v>
      </c>
      <c r="H818" s="299">
        <v>0</v>
      </c>
      <c r="I818" s="292" t="s">
        <v>1411</v>
      </c>
      <c r="J818" s="292" t="s">
        <v>1359</v>
      </c>
      <c r="K818" s="303" t="s">
        <v>26</v>
      </c>
    </row>
    <row r="819" spans="1:17" ht="12">
      <c r="A819" s="290">
        <v>16712</v>
      </c>
      <c r="B819" s="291" t="s">
        <v>1423</v>
      </c>
      <c r="C819" s="292" t="s">
        <v>1424</v>
      </c>
      <c r="D819" s="292" t="s">
        <v>744</v>
      </c>
      <c r="E819" s="292"/>
      <c r="F819" s="293" t="s">
        <v>48</v>
      </c>
      <c r="G819" s="310" t="s">
        <v>78</v>
      </c>
      <c r="H819" s="311" t="s">
        <v>179</v>
      </c>
      <c r="I819" s="292" t="s">
        <v>1411</v>
      </c>
      <c r="J819" s="292" t="s">
        <v>1359</v>
      </c>
      <c r="K819" s="303" t="s">
        <v>26</v>
      </c>
    </row>
    <row r="820" spans="1:17" ht="12">
      <c r="A820" s="290">
        <v>7411</v>
      </c>
      <c r="B820" s="291" t="s">
        <v>766</v>
      </c>
      <c r="C820" s="292" t="s">
        <v>767</v>
      </c>
      <c r="D820" s="292" t="s">
        <v>768</v>
      </c>
      <c r="E820" s="292"/>
      <c r="F820" s="293" t="s">
        <v>42</v>
      </c>
      <c r="G820" s="294" t="s">
        <v>66</v>
      </c>
      <c r="H820" s="295">
        <v>0</v>
      </c>
      <c r="I820" s="292" t="s">
        <v>1411</v>
      </c>
      <c r="J820" s="292" t="s">
        <v>1359</v>
      </c>
      <c r="K820" s="303" t="s">
        <v>26</v>
      </c>
    </row>
    <row r="821" spans="1:17" ht="12">
      <c r="A821" s="290">
        <v>7600</v>
      </c>
      <c r="B821" s="291" t="s">
        <v>1425</v>
      </c>
      <c r="C821" s="292" t="s">
        <v>1426</v>
      </c>
      <c r="D821" s="292" t="s">
        <v>493</v>
      </c>
      <c r="E821" s="292"/>
      <c r="F821" s="293" t="s">
        <v>42</v>
      </c>
      <c r="G821" s="310" t="s">
        <v>43</v>
      </c>
      <c r="H821" s="311" t="s">
        <v>65</v>
      </c>
      <c r="I821" s="292" t="s">
        <v>1411</v>
      </c>
      <c r="J821" s="292" t="s">
        <v>1359</v>
      </c>
      <c r="K821" s="303" t="s">
        <v>26</v>
      </c>
    </row>
    <row r="822" spans="1:17" ht="12">
      <c r="A822" s="290">
        <v>7601</v>
      </c>
      <c r="B822" s="291" t="s">
        <v>1427</v>
      </c>
      <c r="C822" s="292" t="s">
        <v>1426</v>
      </c>
      <c r="D822" s="292" t="s">
        <v>1428</v>
      </c>
      <c r="E822" s="292"/>
      <c r="F822" s="293" t="s">
        <v>42</v>
      </c>
      <c r="G822" s="310" t="s">
        <v>51</v>
      </c>
      <c r="H822" s="311" t="s">
        <v>65</v>
      </c>
      <c r="I822" s="292" t="s">
        <v>1411</v>
      </c>
      <c r="J822" s="292" t="s">
        <v>1359</v>
      </c>
      <c r="K822" s="303" t="s">
        <v>26</v>
      </c>
      <c r="L822" s="26"/>
      <c r="M822" s="26"/>
      <c r="N822" s="26"/>
      <c r="Q822" s="30"/>
    </row>
    <row r="823" spans="1:17" ht="12">
      <c r="A823" s="290">
        <v>7251</v>
      </c>
      <c r="B823" s="291" t="s">
        <v>1429</v>
      </c>
      <c r="C823" s="292" t="s">
        <v>1430</v>
      </c>
      <c r="D823" s="292" t="s">
        <v>480</v>
      </c>
      <c r="E823" s="292"/>
      <c r="F823" s="293" t="s">
        <v>42</v>
      </c>
      <c r="G823" s="310" t="s">
        <v>51</v>
      </c>
      <c r="H823" s="311" t="s">
        <v>44</v>
      </c>
      <c r="I823" s="292" t="s">
        <v>1411</v>
      </c>
      <c r="J823" s="292" t="s">
        <v>1359</v>
      </c>
      <c r="K823" s="303" t="s">
        <v>26</v>
      </c>
    </row>
    <row r="824" spans="1:17" ht="12">
      <c r="A824" s="290">
        <v>7443</v>
      </c>
      <c r="B824" s="291" t="s">
        <v>1431</v>
      </c>
      <c r="C824" s="292" t="s">
        <v>1430</v>
      </c>
      <c r="D824" s="292" t="s">
        <v>1432</v>
      </c>
      <c r="E824" s="292"/>
      <c r="F824" s="293" t="s">
        <v>48</v>
      </c>
      <c r="G824" s="310" t="s">
        <v>138</v>
      </c>
      <c r="H824" s="311" t="s">
        <v>44</v>
      </c>
      <c r="I824" s="292" t="s">
        <v>1411</v>
      </c>
      <c r="J824" s="292" t="s">
        <v>1359</v>
      </c>
      <c r="K824" s="303" t="s">
        <v>26</v>
      </c>
    </row>
    <row r="825" spans="1:17" ht="12">
      <c r="A825" s="290">
        <v>7416</v>
      </c>
      <c r="B825" s="291" t="s">
        <v>1433</v>
      </c>
      <c r="C825" s="292" t="s">
        <v>727</v>
      </c>
      <c r="D825" s="292" t="s">
        <v>366</v>
      </c>
      <c r="E825" s="292"/>
      <c r="F825" s="293" t="s">
        <v>42</v>
      </c>
      <c r="G825" s="310" t="s">
        <v>43</v>
      </c>
      <c r="H825" s="311" t="s">
        <v>179</v>
      </c>
      <c r="I825" s="292" t="s">
        <v>1411</v>
      </c>
      <c r="J825" s="292" t="s">
        <v>1359</v>
      </c>
      <c r="K825" s="303" t="s">
        <v>26</v>
      </c>
    </row>
    <row r="826" spans="1:17" ht="12">
      <c r="A826" s="290">
        <v>38099</v>
      </c>
      <c r="B826" s="291" t="s">
        <v>1436</v>
      </c>
      <c r="C826" s="297" t="s">
        <v>1435</v>
      </c>
      <c r="D826" s="297" t="s">
        <v>142</v>
      </c>
      <c r="E826" s="297" t="s">
        <v>2103</v>
      </c>
      <c r="F826" s="293" t="s">
        <v>42</v>
      </c>
      <c r="G826" s="310" t="s">
        <v>51</v>
      </c>
      <c r="H826" s="311"/>
      <c r="I826" s="297" t="s">
        <v>1411</v>
      </c>
      <c r="J826" s="297" t="s">
        <v>1359</v>
      </c>
      <c r="K826" s="303" t="s">
        <v>26</v>
      </c>
    </row>
    <row r="827" spans="1:17" ht="12">
      <c r="A827" s="290">
        <v>7424</v>
      </c>
      <c r="B827" s="291" t="s">
        <v>1437</v>
      </c>
      <c r="C827" s="292" t="s">
        <v>1438</v>
      </c>
      <c r="D827" s="292" t="s">
        <v>1439</v>
      </c>
      <c r="E827" s="292" t="s">
        <v>771</v>
      </c>
      <c r="F827" s="293" t="s">
        <v>42</v>
      </c>
      <c r="G827" s="310" t="s">
        <v>51</v>
      </c>
      <c r="H827" s="311" t="s">
        <v>44</v>
      </c>
      <c r="I827" s="292" t="s">
        <v>1411</v>
      </c>
      <c r="J827" s="292" t="s">
        <v>1359</v>
      </c>
      <c r="K827" s="303" t="s">
        <v>26</v>
      </c>
    </row>
    <row r="828" spans="1:17" ht="12">
      <c r="A828" s="290">
        <v>7439</v>
      </c>
      <c r="B828" s="291" t="s">
        <v>1440</v>
      </c>
      <c r="C828" s="297" t="s">
        <v>1438</v>
      </c>
      <c r="D828" s="297" t="s">
        <v>1441</v>
      </c>
      <c r="E828" s="297" t="s">
        <v>771</v>
      </c>
      <c r="F828" s="293" t="s">
        <v>48</v>
      </c>
      <c r="G828" s="310" t="s">
        <v>138</v>
      </c>
      <c r="H828" s="311" t="s">
        <v>44</v>
      </c>
      <c r="I828" s="292" t="s">
        <v>1411</v>
      </c>
      <c r="J828" s="297" t="s">
        <v>1359</v>
      </c>
      <c r="K828" s="303" t="s">
        <v>26</v>
      </c>
    </row>
    <row r="829" spans="1:17" ht="12">
      <c r="A829" s="290">
        <v>7415</v>
      </c>
      <c r="B829" s="291" t="s">
        <v>1926</v>
      </c>
      <c r="C829" s="292" t="s">
        <v>1442</v>
      </c>
      <c r="D829" s="292" t="s">
        <v>237</v>
      </c>
      <c r="E829" s="292"/>
      <c r="F829" s="293" t="s">
        <v>42</v>
      </c>
      <c r="G829" s="310" t="s">
        <v>51</v>
      </c>
      <c r="H829" s="311" t="s">
        <v>65</v>
      </c>
      <c r="I829" s="292" t="s">
        <v>1411</v>
      </c>
      <c r="J829" s="292" t="s">
        <v>1359</v>
      </c>
      <c r="K829" s="303" t="s">
        <v>26</v>
      </c>
    </row>
    <row r="830" spans="1:17" ht="12">
      <c r="A830" s="290">
        <v>25722</v>
      </c>
      <c r="B830" s="291">
        <v>9091279</v>
      </c>
      <c r="C830" s="297" t="s">
        <v>1442</v>
      </c>
      <c r="D830" s="297" t="s">
        <v>493</v>
      </c>
      <c r="E830" s="297" t="s">
        <v>2103</v>
      </c>
      <c r="F830" s="293" t="s">
        <v>42</v>
      </c>
      <c r="G830" s="310" t="s">
        <v>43</v>
      </c>
      <c r="H830" s="311" t="s">
        <v>44</v>
      </c>
      <c r="I830" s="297" t="s">
        <v>1411</v>
      </c>
      <c r="J830" s="297" t="s">
        <v>1359</v>
      </c>
      <c r="K830" s="303" t="s">
        <v>26</v>
      </c>
    </row>
    <row r="831" spans="1:17" ht="12">
      <c r="A831" s="290">
        <v>38713</v>
      </c>
      <c r="B831" s="291" t="s">
        <v>1927</v>
      </c>
      <c r="C831" s="297" t="s">
        <v>1662</v>
      </c>
      <c r="D831" s="297" t="s">
        <v>1928</v>
      </c>
      <c r="E831" s="297" t="s">
        <v>2103</v>
      </c>
      <c r="F831" s="293" t="s">
        <v>48</v>
      </c>
      <c r="G831" s="310" t="s">
        <v>138</v>
      </c>
      <c r="H831" s="311" t="s">
        <v>65</v>
      </c>
      <c r="I831" s="297" t="s">
        <v>1445</v>
      </c>
      <c r="J831" s="297" t="s">
        <v>1359</v>
      </c>
      <c r="K831" s="303" t="s">
        <v>26</v>
      </c>
    </row>
    <row r="832" spans="1:17" ht="12">
      <c r="A832" s="290">
        <v>38216</v>
      </c>
      <c r="B832" s="291" t="s">
        <v>1443</v>
      </c>
      <c r="C832" s="297" t="s">
        <v>1444</v>
      </c>
      <c r="D832" s="297" t="s">
        <v>358</v>
      </c>
      <c r="E832" s="297" t="s">
        <v>2103</v>
      </c>
      <c r="F832" s="293" t="s">
        <v>42</v>
      </c>
      <c r="G832" s="310" t="s">
        <v>43</v>
      </c>
      <c r="H832" s="311" t="s">
        <v>65</v>
      </c>
      <c r="I832" s="297" t="s">
        <v>1445</v>
      </c>
      <c r="J832" s="297" t="s">
        <v>1359</v>
      </c>
      <c r="K832" s="303" t="s">
        <v>26</v>
      </c>
    </row>
    <row r="833" spans="1:17" ht="12">
      <c r="A833" s="290">
        <v>38677</v>
      </c>
      <c r="B833" s="291" t="s">
        <v>2227</v>
      </c>
      <c r="C833" s="297" t="s">
        <v>2228</v>
      </c>
      <c r="D833" s="297" t="s">
        <v>2229</v>
      </c>
      <c r="E833" s="297" t="s">
        <v>2103</v>
      </c>
      <c r="F833" s="293" t="s">
        <v>48</v>
      </c>
      <c r="G833" s="310" t="s">
        <v>138</v>
      </c>
      <c r="H833" s="311" t="s">
        <v>50</v>
      </c>
      <c r="I833" s="297" t="s">
        <v>1445</v>
      </c>
      <c r="J833" s="297" t="s">
        <v>1359</v>
      </c>
      <c r="K833" s="303" t="s">
        <v>26</v>
      </c>
    </row>
    <row r="834" spans="1:17" ht="12">
      <c r="A834" s="290">
        <v>38667</v>
      </c>
      <c r="B834" s="291" t="s">
        <v>455</v>
      </c>
      <c r="C834" s="292" t="s">
        <v>456</v>
      </c>
      <c r="D834" s="292" t="s">
        <v>457</v>
      </c>
      <c r="E834" s="292"/>
      <c r="F834" s="293" t="s">
        <v>48</v>
      </c>
      <c r="G834" s="310" t="s">
        <v>227</v>
      </c>
      <c r="H834" s="311" t="s">
        <v>103</v>
      </c>
      <c r="I834" s="292" t="s">
        <v>1445</v>
      </c>
      <c r="J834" s="292" t="s">
        <v>1359</v>
      </c>
      <c r="K834" s="303" t="s">
        <v>26</v>
      </c>
    </row>
    <row r="835" spans="1:17" ht="12">
      <c r="A835" s="290">
        <v>38666</v>
      </c>
      <c r="B835" s="291" t="s">
        <v>458</v>
      </c>
      <c r="C835" s="292" t="s">
        <v>456</v>
      </c>
      <c r="D835" s="292" t="s">
        <v>72</v>
      </c>
      <c r="E835" s="292"/>
      <c r="F835" s="293" t="s">
        <v>42</v>
      </c>
      <c r="G835" s="310" t="s">
        <v>57</v>
      </c>
      <c r="H835" s="311" t="s">
        <v>103</v>
      </c>
      <c r="I835" s="292" t="s">
        <v>1445</v>
      </c>
      <c r="J835" s="292" t="s">
        <v>1359</v>
      </c>
      <c r="K835" s="303" t="s">
        <v>26</v>
      </c>
    </row>
    <row r="836" spans="1:17" ht="12">
      <c r="A836" s="290">
        <v>25711</v>
      </c>
      <c r="B836" s="291">
        <v>9091132</v>
      </c>
      <c r="C836" s="297" t="s">
        <v>1446</v>
      </c>
      <c r="D836" s="297" t="s">
        <v>86</v>
      </c>
      <c r="E836" s="297" t="s">
        <v>2103</v>
      </c>
      <c r="F836" s="293" t="s">
        <v>42</v>
      </c>
      <c r="G836" s="310" t="s">
        <v>43</v>
      </c>
      <c r="H836" s="311" t="s">
        <v>65</v>
      </c>
      <c r="I836" s="297" t="s">
        <v>1445</v>
      </c>
      <c r="J836" s="297" t="s">
        <v>1359</v>
      </c>
      <c r="K836" s="303" t="s">
        <v>26</v>
      </c>
      <c r="L836" s="26"/>
      <c r="M836" s="26"/>
      <c r="N836" s="26"/>
      <c r="Q836" s="30"/>
    </row>
    <row r="837" spans="1:17" ht="12">
      <c r="A837" s="290">
        <v>38579</v>
      </c>
      <c r="B837" s="291" t="s">
        <v>1394</v>
      </c>
      <c r="C837" s="297" t="s">
        <v>1395</v>
      </c>
      <c r="D837" s="297" t="s">
        <v>1396</v>
      </c>
      <c r="E837" s="297" t="s">
        <v>2103</v>
      </c>
      <c r="F837" s="293" t="s">
        <v>48</v>
      </c>
      <c r="G837" s="310" t="s">
        <v>78</v>
      </c>
      <c r="H837" s="311"/>
      <c r="I837" s="297" t="s">
        <v>1445</v>
      </c>
      <c r="J837" s="297" t="s">
        <v>1359</v>
      </c>
      <c r="K837" s="309" t="s">
        <v>26</v>
      </c>
    </row>
    <row r="838" spans="1:17" ht="12">
      <c r="A838" s="290">
        <v>25821</v>
      </c>
      <c r="B838" s="291" t="s">
        <v>2318</v>
      </c>
      <c r="C838" s="292" t="s">
        <v>309</v>
      </c>
      <c r="D838" s="292" t="s">
        <v>183</v>
      </c>
      <c r="E838" s="292"/>
      <c r="F838" s="293" t="s">
        <v>42</v>
      </c>
      <c r="G838" s="310" t="s">
        <v>51</v>
      </c>
      <c r="H838" s="311" t="s">
        <v>44</v>
      </c>
      <c r="I838" s="292" t="s">
        <v>1445</v>
      </c>
      <c r="J838" s="292" t="s">
        <v>1359</v>
      </c>
      <c r="K838" s="303" t="s">
        <v>26</v>
      </c>
    </row>
    <row r="839" spans="1:17" ht="12">
      <c r="A839" s="290">
        <v>25822</v>
      </c>
      <c r="B839" s="291" t="s">
        <v>1447</v>
      </c>
      <c r="C839" s="292" t="s">
        <v>309</v>
      </c>
      <c r="D839" s="292" t="s">
        <v>667</v>
      </c>
      <c r="E839" s="292"/>
      <c r="F839" s="293" t="s">
        <v>42</v>
      </c>
      <c r="G839" s="310" t="s">
        <v>43</v>
      </c>
      <c r="H839" s="311" t="s">
        <v>238</v>
      </c>
      <c r="I839" s="292" t="s">
        <v>1445</v>
      </c>
      <c r="J839" s="292" t="s">
        <v>1359</v>
      </c>
      <c r="K839" s="303" t="s">
        <v>26</v>
      </c>
    </row>
    <row r="840" spans="1:17" ht="12">
      <c r="A840" s="290">
        <v>25826</v>
      </c>
      <c r="B840" s="291" t="s">
        <v>2319</v>
      </c>
      <c r="C840" s="292" t="s">
        <v>1451</v>
      </c>
      <c r="D840" s="292" t="s">
        <v>121</v>
      </c>
      <c r="E840" s="292"/>
      <c r="F840" s="293" t="s">
        <v>42</v>
      </c>
      <c r="G840" s="310" t="s">
        <v>43</v>
      </c>
      <c r="H840" s="311" t="s">
        <v>65</v>
      </c>
      <c r="I840" s="292" t="s">
        <v>1445</v>
      </c>
      <c r="J840" s="292" t="s">
        <v>1359</v>
      </c>
      <c r="K840" s="303" t="s">
        <v>26</v>
      </c>
    </row>
    <row r="841" spans="1:17" ht="12">
      <c r="A841" s="290">
        <v>38652</v>
      </c>
      <c r="B841" s="291" t="s">
        <v>1398</v>
      </c>
      <c r="C841" s="297" t="s">
        <v>1399</v>
      </c>
      <c r="D841" s="297" t="s">
        <v>1400</v>
      </c>
      <c r="E841" s="297" t="s">
        <v>2103</v>
      </c>
      <c r="F841" s="293" t="s">
        <v>42</v>
      </c>
      <c r="G841" s="310" t="s">
        <v>43</v>
      </c>
      <c r="H841" s="311" t="s">
        <v>65</v>
      </c>
      <c r="I841" s="297" t="s">
        <v>1445</v>
      </c>
      <c r="J841" s="297" t="s">
        <v>1359</v>
      </c>
      <c r="K841" s="303" t="s">
        <v>26</v>
      </c>
      <c r="L841" s="26"/>
      <c r="M841" s="26"/>
      <c r="N841" s="26"/>
      <c r="Q841" s="30"/>
    </row>
    <row r="842" spans="1:17" ht="12">
      <c r="A842" s="290">
        <v>38577</v>
      </c>
      <c r="B842" s="291" t="s">
        <v>1401</v>
      </c>
      <c r="C842" s="297" t="s">
        <v>1402</v>
      </c>
      <c r="D842" s="297" t="s">
        <v>64</v>
      </c>
      <c r="E842" s="297" t="s">
        <v>2103</v>
      </c>
      <c r="F842" s="293" t="s">
        <v>42</v>
      </c>
      <c r="G842" s="310" t="s">
        <v>51</v>
      </c>
      <c r="H842" s="311" t="s">
        <v>65</v>
      </c>
      <c r="I842" s="297" t="s">
        <v>1445</v>
      </c>
      <c r="J842" s="297" t="s">
        <v>1359</v>
      </c>
      <c r="K842" s="303" t="s">
        <v>26</v>
      </c>
      <c r="L842" s="26"/>
      <c r="M842" s="26"/>
      <c r="N842" s="26"/>
      <c r="Q842" s="30"/>
    </row>
    <row r="843" spans="1:17" ht="12">
      <c r="A843" s="290">
        <v>38384</v>
      </c>
      <c r="B843" s="291" t="s">
        <v>1452</v>
      </c>
      <c r="C843" s="292" t="s">
        <v>1453</v>
      </c>
      <c r="D843" s="292" t="s">
        <v>358</v>
      </c>
      <c r="E843" s="292"/>
      <c r="F843" s="293" t="s">
        <v>42</v>
      </c>
      <c r="G843" s="310" t="s">
        <v>66</v>
      </c>
      <c r="H843" s="311"/>
      <c r="I843" s="292" t="s">
        <v>1445</v>
      </c>
      <c r="J843" s="292" t="s">
        <v>1359</v>
      </c>
      <c r="K843" s="303" t="s">
        <v>26</v>
      </c>
      <c r="L843" s="26"/>
      <c r="M843" s="26"/>
      <c r="N843" s="26"/>
      <c r="Q843" s="30"/>
    </row>
    <row r="844" spans="1:17" ht="12">
      <c r="A844" s="290">
        <v>38627</v>
      </c>
      <c r="B844" s="291" t="s">
        <v>2557</v>
      </c>
      <c r="C844" s="297" t="s">
        <v>2558</v>
      </c>
      <c r="D844" s="297" t="s">
        <v>1110</v>
      </c>
      <c r="E844" s="297" t="s">
        <v>2103</v>
      </c>
      <c r="F844" s="293" t="s">
        <v>48</v>
      </c>
      <c r="G844" s="298" t="s">
        <v>49</v>
      </c>
      <c r="H844" s="299">
        <v>0</v>
      </c>
      <c r="I844" s="297" t="s">
        <v>1445</v>
      </c>
      <c r="J844" s="297" t="s">
        <v>1359</v>
      </c>
      <c r="K844" s="303" t="s">
        <v>26</v>
      </c>
    </row>
    <row r="845" spans="1:17" ht="12">
      <c r="A845" s="290">
        <v>7674</v>
      </c>
      <c r="B845" s="291">
        <v>9111434</v>
      </c>
      <c r="C845" s="292" t="s">
        <v>1454</v>
      </c>
      <c r="D845" s="292" t="s">
        <v>86</v>
      </c>
      <c r="E845" s="292"/>
      <c r="F845" s="293" t="s">
        <v>42</v>
      </c>
      <c r="G845" s="294" t="s">
        <v>43</v>
      </c>
      <c r="H845" s="295">
        <v>0</v>
      </c>
      <c r="I845" s="292" t="s">
        <v>1445</v>
      </c>
      <c r="J845" s="292" t="s">
        <v>1359</v>
      </c>
      <c r="K845" s="303" t="s">
        <v>26</v>
      </c>
    </row>
    <row r="846" spans="1:17" ht="12">
      <c r="A846" s="290">
        <v>38356</v>
      </c>
      <c r="B846" s="291" t="s">
        <v>1455</v>
      </c>
      <c r="C846" s="292" t="s">
        <v>1456</v>
      </c>
      <c r="D846" s="292" t="s">
        <v>410</v>
      </c>
      <c r="E846" s="292"/>
      <c r="F846" s="293" t="s">
        <v>48</v>
      </c>
      <c r="G846" s="310" t="s">
        <v>78</v>
      </c>
      <c r="H846" s="311" t="s">
        <v>44</v>
      </c>
      <c r="I846" s="292" t="s">
        <v>1445</v>
      </c>
      <c r="J846" s="292" t="s">
        <v>1359</v>
      </c>
      <c r="K846" s="303" t="s">
        <v>26</v>
      </c>
    </row>
    <row r="847" spans="1:17" ht="12">
      <c r="A847" s="290">
        <v>3234</v>
      </c>
      <c r="B847" s="291" t="s">
        <v>2559</v>
      </c>
      <c r="C847" s="297" t="s">
        <v>68</v>
      </c>
      <c r="D847" s="297" t="s">
        <v>237</v>
      </c>
      <c r="E847" s="297" t="s">
        <v>2103</v>
      </c>
      <c r="F847" s="293" t="s">
        <v>42</v>
      </c>
      <c r="G847" s="294" t="s">
        <v>51</v>
      </c>
      <c r="H847" s="295" t="s">
        <v>50</v>
      </c>
      <c r="I847" s="297" t="s">
        <v>1445</v>
      </c>
      <c r="J847" s="297" t="s">
        <v>1359</v>
      </c>
      <c r="K847" s="303" t="s">
        <v>26</v>
      </c>
    </row>
    <row r="848" spans="1:17" ht="12">
      <c r="A848" s="290">
        <v>3233</v>
      </c>
      <c r="B848" s="291" t="s">
        <v>2560</v>
      </c>
      <c r="C848" s="297" t="s">
        <v>68</v>
      </c>
      <c r="D848" s="297" t="s">
        <v>1441</v>
      </c>
      <c r="E848" s="297" t="s">
        <v>2103</v>
      </c>
      <c r="F848" s="293" t="s">
        <v>48</v>
      </c>
      <c r="G848" s="294" t="s">
        <v>49</v>
      </c>
      <c r="H848" s="295" t="s">
        <v>44</v>
      </c>
      <c r="I848" s="297" t="s">
        <v>1445</v>
      </c>
      <c r="J848" s="297" t="s">
        <v>1359</v>
      </c>
      <c r="K848" s="303" t="s">
        <v>26</v>
      </c>
    </row>
    <row r="849" spans="1:17" ht="12">
      <c r="A849" s="290">
        <v>38547</v>
      </c>
      <c r="B849" s="291" t="s">
        <v>1457</v>
      </c>
      <c r="C849" s="297" t="s">
        <v>1458</v>
      </c>
      <c r="D849" s="297" t="s">
        <v>1459</v>
      </c>
      <c r="E849" s="297" t="s">
        <v>2103</v>
      </c>
      <c r="F849" s="293" t="s">
        <v>42</v>
      </c>
      <c r="G849" s="310" t="s">
        <v>66</v>
      </c>
      <c r="H849" s="311" t="s">
        <v>44</v>
      </c>
      <c r="I849" s="297" t="s">
        <v>1445</v>
      </c>
      <c r="J849" s="297" t="s">
        <v>1359</v>
      </c>
      <c r="K849" s="303" t="s">
        <v>26</v>
      </c>
    </row>
    <row r="850" spans="1:17" ht="12">
      <c r="A850" s="290">
        <v>25828</v>
      </c>
      <c r="B850" s="291" t="s">
        <v>2320</v>
      </c>
      <c r="C850" s="292" t="s">
        <v>1460</v>
      </c>
      <c r="D850" s="292" t="s">
        <v>380</v>
      </c>
      <c r="E850" s="292"/>
      <c r="F850" s="293" t="s">
        <v>42</v>
      </c>
      <c r="G850" s="310" t="s">
        <v>43</v>
      </c>
      <c r="H850" s="311" t="s">
        <v>65</v>
      </c>
      <c r="I850" s="292" t="s">
        <v>1445</v>
      </c>
      <c r="J850" s="292" t="s">
        <v>1359</v>
      </c>
      <c r="K850" s="303" t="s">
        <v>26</v>
      </c>
    </row>
    <row r="851" spans="1:17" ht="12">
      <c r="A851" s="290">
        <v>38743</v>
      </c>
      <c r="B851" s="291" t="s">
        <v>2561</v>
      </c>
      <c r="C851" s="297" t="s">
        <v>294</v>
      </c>
      <c r="D851" s="297" t="s">
        <v>2562</v>
      </c>
      <c r="E851" s="297" t="s">
        <v>2103</v>
      </c>
      <c r="F851" s="293" t="s">
        <v>48</v>
      </c>
      <c r="G851" s="294" t="s">
        <v>78</v>
      </c>
      <c r="H851" s="295">
        <v>0</v>
      </c>
      <c r="I851" s="297" t="s">
        <v>1445</v>
      </c>
      <c r="J851" s="297" t="s">
        <v>1359</v>
      </c>
      <c r="K851" s="303" t="s">
        <v>26</v>
      </c>
    </row>
    <row r="852" spans="1:17" ht="12">
      <c r="A852" s="290">
        <v>7666</v>
      </c>
      <c r="B852" s="291" t="s">
        <v>1461</v>
      </c>
      <c r="C852" s="292" t="s">
        <v>1462</v>
      </c>
      <c r="D852" s="292" t="s">
        <v>79</v>
      </c>
      <c r="E852" s="292"/>
      <c r="F852" s="293" t="s">
        <v>42</v>
      </c>
      <c r="G852" s="310" t="s">
        <v>57</v>
      </c>
      <c r="H852" s="311" t="s">
        <v>44</v>
      </c>
      <c r="I852" s="292" t="s">
        <v>1463</v>
      </c>
      <c r="J852" s="292" t="s">
        <v>1359</v>
      </c>
      <c r="K852" s="303" t="s">
        <v>26</v>
      </c>
    </row>
    <row r="853" spans="1:17" ht="12">
      <c r="A853" s="290">
        <v>25192</v>
      </c>
      <c r="B853" s="291" t="s">
        <v>1464</v>
      </c>
      <c r="C853" s="292" t="s">
        <v>1041</v>
      </c>
      <c r="D853" s="292" t="s">
        <v>1465</v>
      </c>
      <c r="E853" s="292"/>
      <c r="F853" s="293" t="s">
        <v>48</v>
      </c>
      <c r="G853" s="310" t="s">
        <v>78</v>
      </c>
      <c r="H853" s="311" t="s">
        <v>65</v>
      </c>
      <c r="I853" s="292" t="s">
        <v>1463</v>
      </c>
      <c r="J853" s="292" t="s">
        <v>1359</v>
      </c>
      <c r="K853" s="303" t="s">
        <v>26</v>
      </c>
      <c r="L853" s="26"/>
      <c r="M853" s="26"/>
      <c r="N853" s="26"/>
      <c r="Q853" s="30"/>
    </row>
    <row r="854" spans="1:17" ht="12">
      <c r="A854" s="290">
        <v>16804</v>
      </c>
      <c r="B854" s="291" t="s">
        <v>1466</v>
      </c>
      <c r="C854" s="292" t="s">
        <v>1467</v>
      </c>
      <c r="D854" s="292" t="s">
        <v>225</v>
      </c>
      <c r="E854" s="292"/>
      <c r="F854" s="293" t="s">
        <v>48</v>
      </c>
      <c r="G854" s="310" t="s">
        <v>49</v>
      </c>
      <c r="H854" s="311" t="s">
        <v>65</v>
      </c>
      <c r="I854" s="292" t="s">
        <v>1463</v>
      </c>
      <c r="J854" s="292" t="s">
        <v>1359</v>
      </c>
      <c r="K854" s="303" t="s">
        <v>26</v>
      </c>
    </row>
    <row r="855" spans="1:17" ht="12">
      <c r="A855" s="290">
        <v>38738</v>
      </c>
      <c r="B855" s="291" t="s">
        <v>1996</v>
      </c>
      <c r="C855" s="292" t="s">
        <v>1997</v>
      </c>
      <c r="D855" s="292" t="s">
        <v>106</v>
      </c>
      <c r="E855" s="292"/>
      <c r="F855" s="293" t="s">
        <v>42</v>
      </c>
      <c r="G855" s="310" t="s">
        <v>51</v>
      </c>
      <c r="H855" s="311" t="s">
        <v>44</v>
      </c>
      <c r="I855" s="292" t="s">
        <v>1463</v>
      </c>
      <c r="J855" s="292" t="s">
        <v>1359</v>
      </c>
      <c r="K855" s="303" t="s">
        <v>26</v>
      </c>
    </row>
    <row r="856" spans="1:17" ht="12">
      <c r="A856" s="290">
        <v>38737</v>
      </c>
      <c r="B856" s="291" t="s">
        <v>1998</v>
      </c>
      <c r="C856" s="292" t="s">
        <v>1997</v>
      </c>
      <c r="D856" s="292" t="s">
        <v>1260</v>
      </c>
      <c r="E856" s="292"/>
      <c r="F856" s="293" t="s">
        <v>48</v>
      </c>
      <c r="G856" s="310" t="s">
        <v>138</v>
      </c>
      <c r="H856" s="311" t="s">
        <v>50</v>
      </c>
      <c r="I856" s="292" t="s">
        <v>1463</v>
      </c>
      <c r="J856" s="292" t="s">
        <v>1359</v>
      </c>
      <c r="K856" s="303" t="s">
        <v>26</v>
      </c>
    </row>
    <row r="857" spans="1:17" ht="12">
      <c r="A857" s="290">
        <v>38050</v>
      </c>
      <c r="B857" s="291" t="s">
        <v>1468</v>
      </c>
      <c r="C857" s="292" t="s">
        <v>565</v>
      </c>
      <c r="D857" s="292" t="s">
        <v>1469</v>
      </c>
      <c r="E857" s="292"/>
      <c r="F857" s="293" t="s">
        <v>42</v>
      </c>
      <c r="G857" s="310" t="s">
        <v>43</v>
      </c>
      <c r="H857" s="311" t="s">
        <v>179</v>
      </c>
      <c r="I857" s="292" t="s">
        <v>1463</v>
      </c>
      <c r="J857" s="292" t="s">
        <v>1359</v>
      </c>
      <c r="K857" s="303" t="s">
        <v>26</v>
      </c>
    </row>
    <row r="858" spans="1:17" ht="12">
      <c r="A858" s="290">
        <v>7082</v>
      </c>
      <c r="B858" s="291" t="s">
        <v>955</v>
      </c>
      <c r="C858" s="292" t="s">
        <v>956</v>
      </c>
      <c r="D858" s="292" t="s">
        <v>957</v>
      </c>
      <c r="E858" s="292"/>
      <c r="F858" s="293" t="s">
        <v>48</v>
      </c>
      <c r="G858" s="310" t="s">
        <v>227</v>
      </c>
      <c r="H858" s="311" t="s">
        <v>50</v>
      </c>
      <c r="I858" s="292" t="s">
        <v>1463</v>
      </c>
      <c r="J858" s="292" t="s">
        <v>1359</v>
      </c>
      <c r="K858" s="303" t="s">
        <v>26</v>
      </c>
    </row>
    <row r="859" spans="1:17" ht="12">
      <c r="A859" s="290">
        <v>25390</v>
      </c>
      <c r="B859" s="291" t="s">
        <v>2230</v>
      </c>
      <c r="C859" s="292" t="s">
        <v>956</v>
      </c>
      <c r="D859" s="292" t="s">
        <v>72</v>
      </c>
      <c r="E859" s="292"/>
      <c r="F859" s="293" t="s">
        <v>42</v>
      </c>
      <c r="G859" s="310" t="s">
        <v>51</v>
      </c>
      <c r="H859" s="311" t="s">
        <v>50</v>
      </c>
      <c r="I859" s="292" t="s">
        <v>1463</v>
      </c>
      <c r="J859" s="292" t="s">
        <v>1359</v>
      </c>
      <c r="K859" s="303" t="s">
        <v>26</v>
      </c>
    </row>
    <row r="860" spans="1:17" ht="12">
      <c r="A860" s="290">
        <v>16270</v>
      </c>
      <c r="B860" s="291" t="s">
        <v>2563</v>
      </c>
      <c r="C860" s="292" t="s">
        <v>2564</v>
      </c>
      <c r="D860" s="292" t="s">
        <v>98</v>
      </c>
      <c r="E860" s="292"/>
      <c r="F860" s="293" t="s">
        <v>42</v>
      </c>
      <c r="G860" s="300" t="s">
        <v>51</v>
      </c>
      <c r="H860" s="301">
        <v>0</v>
      </c>
      <c r="I860" s="292" t="s">
        <v>1463</v>
      </c>
      <c r="J860" s="292" t="s">
        <v>1359</v>
      </c>
      <c r="K860" s="303" t="s">
        <v>26</v>
      </c>
    </row>
    <row r="861" spans="1:17" ht="12">
      <c r="A861" s="290">
        <v>16807</v>
      </c>
      <c r="B861" s="291" t="s">
        <v>1470</v>
      </c>
      <c r="C861" s="292" t="s">
        <v>1471</v>
      </c>
      <c r="D861" s="292" t="s">
        <v>579</v>
      </c>
      <c r="E861" s="292"/>
      <c r="F861" s="293" t="s">
        <v>42</v>
      </c>
      <c r="G861" s="310" t="s">
        <v>57</v>
      </c>
      <c r="H861" s="311" t="s">
        <v>44</v>
      </c>
      <c r="I861" s="292" t="s">
        <v>1463</v>
      </c>
      <c r="J861" s="292" t="s">
        <v>1359</v>
      </c>
      <c r="K861" s="303" t="s">
        <v>26</v>
      </c>
    </row>
    <row r="862" spans="1:17" ht="12">
      <c r="A862" s="290">
        <v>7662</v>
      </c>
      <c r="B862" s="291" t="s">
        <v>1472</v>
      </c>
      <c r="C862" s="292" t="s">
        <v>1473</v>
      </c>
      <c r="D862" s="292" t="s">
        <v>1474</v>
      </c>
      <c r="E862" s="292"/>
      <c r="F862" s="293" t="s">
        <v>42</v>
      </c>
      <c r="G862" s="294" t="s">
        <v>57</v>
      </c>
      <c r="H862" s="295">
        <v>0</v>
      </c>
      <c r="I862" s="292" t="s">
        <v>1463</v>
      </c>
      <c r="J862" s="292" t="s">
        <v>1359</v>
      </c>
      <c r="K862" s="303" t="s">
        <v>26</v>
      </c>
      <c r="L862" s="26"/>
      <c r="M862" s="26"/>
      <c r="N862" s="26"/>
      <c r="Q862" s="30"/>
    </row>
    <row r="863" spans="1:17" ht="12">
      <c r="A863" s="290">
        <v>7412</v>
      </c>
      <c r="B863" s="291" t="s">
        <v>1475</v>
      </c>
      <c r="C863" s="292" t="s">
        <v>1476</v>
      </c>
      <c r="D863" s="292" t="s">
        <v>178</v>
      </c>
      <c r="E863" s="292"/>
      <c r="F863" s="293" t="s">
        <v>42</v>
      </c>
      <c r="G863" s="310" t="s">
        <v>51</v>
      </c>
      <c r="H863" s="311" t="s">
        <v>65</v>
      </c>
      <c r="I863" s="292" t="s">
        <v>1463</v>
      </c>
      <c r="J863" s="292" t="s">
        <v>1359</v>
      </c>
      <c r="K863" s="303" t="s">
        <v>26</v>
      </c>
    </row>
    <row r="864" spans="1:17" ht="12">
      <c r="A864" s="290">
        <v>25409</v>
      </c>
      <c r="B864" s="291" t="s">
        <v>2231</v>
      </c>
      <c r="C864" s="297" t="s">
        <v>1477</v>
      </c>
      <c r="D864" s="297" t="s">
        <v>988</v>
      </c>
      <c r="E864" s="297" t="s">
        <v>2103</v>
      </c>
      <c r="F864" s="293" t="s">
        <v>42</v>
      </c>
      <c r="G864" s="310" t="s">
        <v>57</v>
      </c>
      <c r="H864" s="311" t="s">
        <v>50</v>
      </c>
      <c r="I864" s="297" t="s">
        <v>1463</v>
      </c>
      <c r="J864" s="297" t="s">
        <v>1359</v>
      </c>
      <c r="K864" s="303" t="s">
        <v>26</v>
      </c>
    </row>
    <row r="865" spans="1:17" ht="12">
      <c r="A865" s="290">
        <v>38061</v>
      </c>
      <c r="B865" s="291" t="s">
        <v>1479</v>
      </c>
      <c r="C865" s="292" t="s">
        <v>1265</v>
      </c>
      <c r="D865" s="292" t="s">
        <v>1480</v>
      </c>
      <c r="E865" s="292"/>
      <c r="F865" s="293" t="s">
        <v>48</v>
      </c>
      <c r="G865" s="310" t="s">
        <v>78</v>
      </c>
      <c r="H865" s="311" t="s">
        <v>44</v>
      </c>
      <c r="I865" s="292" t="s">
        <v>1463</v>
      </c>
      <c r="J865" s="292" t="s">
        <v>1359</v>
      </c>
      <c r="K865" s="303" t="s">
        <v>26</v>
      </c>
    </row>
    <row r="866" spans="1:17" ht="12">
      <c r="A866" s="290">
        <v>25906</v>
      </c>
      <c r="B866" s="291" t="s">
        <v>1331</v>
      </c>
      <c r="C866" s="292" t="s">
        <v>1332</v>
      </c>
      <c r="D866" s="292" t="s">
        <v>63</v>
      </c>
      <c r="E866" s="292"/>
      <c r="F866" s="293" t="s">
        <v>42</v>
      </c>
      <c r="G866" s="310" t="s">
        <v>43</v>
      </c>
      <c r="H866" s="311" t="s">
        <v>65</v>
      </c>
      <c r="I866" s="292" t="s">
        <v>1463</v>
      </c>
      <c r="J866" s="292" t="s">
        <v>1359</v>
      </c>
      <c r="K866" s="303" t="s">
        <v>26</v>
      </c>
    </row>
    <row r="867" spans="1:17" ht="12">
      <c r="A867" s="290">
        <v>7549</v>
      </c>
      <c r="B867" s="291" t="s">
        <v>1482</v>
      </c>
      <c r="C867" s="292" t="s">
        <v>1483</v>
      </c>
      <c r="D867" s="292" t="s">
        <v>935</v>
      </c>
      <c r="E867" s="292"/>
      <c r="F867" s="293" t="s">
        <v>48</v>
      </c>
      <c r="G867" s="310" t="s">
        <v>49</v>
      </c>
      <c r="H867" s="311" t="s">
        <v>179</v>
      </c>
      <c r="I867" s="292" t="s">
        <v>1463</v>
      </c>
      <c r="J867" s="292" t="s">
        <v>1359</v>
      </c>
      <c r="K867" s="303" t="s">
        <v>26</v>
      </c>
      <c r="L867" s="26"/>
      <c r="M867" s="26"/>
      <c r="N867" s="26"/>
      <c r="Q867" s="30"/>
    </row>
    <row r="868" spans="1:17" ht="12">
      <c r="A868" s="290">
        <v>38610</v>
      </c>
      <c r="B868" s="291" t="s">
        <v>1484</v>
      </c>
      <c r="C868" s="292" t="s">
        <v>810</v>
      </c>
      <c r="D868" s="292" t="s">
        <v>124</v>
      </c>
      <c r="E868" s="292"/>
      <c r="F868" s="293" t="s">
        <v>42</v>
      </c>
      <c r="G868" s="310" t="s">
        <v>66</v>
      </c>
      <c r="H868" s="311" t="s">
        <v>50</v>
      </c>
      <c r="I868" s="292" t="s">
        <v>1463</v>
      </c>
      <c r="J868" s="292" t="s">
        <v>1359</v>
      </c>
      <c r="K868" s="303" t="s">
        <v>26</v>
      </c>
      <c r="L868" s="26"/>
      <c r="M868" s="26"/>
      <c r="N868" s="26"/>
      <c r="Q868" s="30"/>
    </row>
    <row r="869" spans="1:17" ht="12">
      <c r="A869" s="290">
        <v>7676</v>
      </c>
      <c r="B869" s="291" t="s">
        <v>1485</v>
      </c>
      <c r="C869" s="292" t="s">
        <v>1486</v>
      </c>
      <c r="D869" s="292" t="s">
        <v>307</v>
      </c>
      <c r="E869" s="292"/>
      <c r="F869" s="293" t="s">
        <v>48</v>
      </c>
      <c r="G869" s="310" t="s">
        <v>227</v>
      </c>
      <c r="H869" s="311" t="s">
        <v>50</v>
      </c>
      <c r="I869" s="292" t="s">
        <v>1463</v>
      </c>
      <c r="J869" s="292" t="s">
        <v>1359</v>
      </c>
      <c r="K869" s="303" t="s">
        <v>26</v>
      </c>
    </row>
    <row r="870" spans="1:17" ht="12">
      <c r="A870" s="290">
        <v>7668</v>
      </c>
      <c r="B870" s="291" t="s">
        <v>1487</v>
      </c>
      <c r="C870" s="292" t="s">
        <v>1486</v>
      </c>
      <c r="D870" s="292" t="s">
        <v>72</v>
      </c>
      <c r="E870" s="292"/>
      <c r="F870" s="293" t="s">
        <v>42</v>
      </c>
      <c r="G870" s="310" t="s">
        <v>57</v>
      </c>
      <c r="H870" s="311" t="s">
        <v>50</v>
      </c>
      <c r="I870" s="292" t="s">
        <v>1463</v>
      </c>
      <c r="J870" s="292" t="s">
        <v>1359</v>
      </c>
      <c r="K870" s="303" t="s">
        <v>26</v>
      </c>
    </row>
    <row r="871" spans="1:17" ht="12">
      <c r="A871" s="290">
        <v>7534</v>
      </c>
      <c r="B871" s="291" t="s">
        <v>1488</v>
      </c>
      <c r="C871" s="292" t="s">
        <v>1489</v>
      </c>
      <c r="D871" s="292" t="s">
        <v>137</v>
      </c>
      <c r="E871" s="292"/>
      <c r="F871" s="293" t="s">
        <v>48</v>
      </c>
      <c r="G871" s="310" t="s">
        <v>138</v>
      </c>
      <c r="H871" s="311" t="s">
        <v>65</v>
      </c>
      <c r="I871" s="292" t="s">
        <v>1463</v>
      </c>
      <c r="J871" s="292" t="s">
        <v>1359</v>
      </c>
      <c r="K871" s="303" t="s">
        <v>26</v>
      </c>
    </row>
    <row r="872" spans="1:17" ht="12">
      <c r="A872" s="290">
        <v>7080</v>
      </c>
      <c r="B872" s="291" t="s">
        <v>958</v>
      </c>
      <c r="C872" s="292" t="s">
        <v>959</v>
      </c>
      <c r="D872" s="292" t="s">
        <v>183</v>
      </c>
      <c r="E872" s="292"/>
      <c r="F872" s="293" t="s">
        <v>42</v>
      </c>
      <c r="G872" s="310" t="s">
        <v>66</v>
      </c>
      <c r="H872" s="311" t="s">
        <v>65</v>
      </c>
      <c r="I872" s="292" t="s">
        <v>1463</v>
      </c>
      <c r="J872" s="292" t="s">
        <v>1359</v>
      </c>
      <c r="K872" s="303" t="s">
        <v>26</v>
      </c>
    </row>
    <row r="873" spans="1:17" ht="12">
      <c r="A873" s="290">
        <v>16405</v>
      </c>
      <c r="B873" s="291" t="s">
        <v>2565</v>
      </c>
      <c r="C873" s="292" t="s">
        <v>1490</v>
      </c>
      <c r="D873" s="292" t="s">
        <v>314</v>
      </c>
      <c r="E873" s="292"/>
      <c r="F873" s="293" t="s">
        <v>42</v>
      </c>
      <c r="G873" s="310" t="s">
        <v>51</v>
      </c>
      <c r="H873" s="311" t="s">
        <v>65</v>
      </c>
      <c r="I873" s="292" t="s">
        <v>1463</v>
      </c>
      <c r="J873" s="292" t="s">
        <v>1359</v>
      </c>
      <c r="K873" s="303" t="s">
        <v>26</v>
      </c>
      <c r="L873" s="26"/>
      <c r="M873" s="26"/>
      <c r="N873" s="26"/>
      <c r="Q873" s="30"/>
    </row>
    <row r="874" spans="1:17" ht="12">
      <c r="A874" s="290">
        <v>16700</v>
      </c>
      <c r="B874" s="291" t="s">
        <v>960</v>
      </c>
      <c r="C874" s="292" t="s">
        <v>961</v>
      </c>
      <c r="D874" s="292" t="s">
        <v>962</v>
      </c>
      <c r="E874" s="292"/>
      <c r="F874" s="293" t="s">
        <v>48</v>
      </c>
      <c r="G874" s="310" t="s">
        <v>49</v>
      </c>
      <c r="H874" s="311" t="s">
        <v>50</v>
      </c>
      <c r="I874" s="292" t="s">
        <v>1463</v>
      </c>
      <c r="J874" s="292" t="s">
        <v>1359</v>
      </c>
      <c r="K874" s="303" t="s">
        <v>26</v>
      </c>
      <c r="L874" s="26"/>
      <c r="M874" s="26"/>
      <c r="N874" s="26"/>
      <c r="Q874" s="30"/>
    </row>
    <row r="875" spans="1:17" ht="12">
      <c r="A875" s="290">
        <v>38113</v>
      </c>
      <c r="B875" s="291" t="s">
        <v>1491</v>
      </c>
      <c r="C875" s="292" t="s">
        <v>1492</v>
      </c>
      <c r="D875" s="292" t="s">
        <v>1493</v>
      </c>
      <c r="E875" s="292"/>
      <c r="F875" s="293" t="s">
        <v>42</v>
      </c>
      <c r="G875" s="310" t="s">
        <v>66</v>
      </c>
      <c r="H875" s="311" t="s">
        <v>44</v>
      </c>
      <c r="I875" s="292" t="s">
        <v>1463</v>
      </c>
      <c r="J875" s="292" t="s">
        <v>1359</v>
      </c>
      <c r="K875" s="303" t="s">
        <v>26</v>
      </c>
      <c r="L875" s="26"/>
      <c r="M875" s="26"/>
      <c r="N875" s="26"/>
      <c r="Q875" s="30"/>
    </row>
    <row r="876" spans="1:17" ht="12">
      <c r="A876" s="290">
        <v>7978</v>
      </c>
      <c r="B876" s="291">
        <v>9070269</v>
      </c>
      <c r="C876" s="292" t="s">
        <v>1494</v>
      </c>
      <c r="D876" s="292" t="s">
        <v>1495</v>
      </c>
      <c r="E876" s="292"/>
      <c r="F876" s="293" t="s">
        <v>48</v>
      </c>
      <c r="G876" s="310" t="s">
        <v>49</v>
      </c>
      <c r="H876" s="311" t="s">
        <v>179</v>
      </c>
      <c r="I876" s="292" t="s">
        <v>1463</v>
      </c>
      <c r="J876" s="292" t="s">
        <v>1359</v>
      </c>
      <c r="K876" s="303" t="s">
        <v>26</v>
      </c>
    </row>
    <row r="877" spans="1:17" ht="12">
      <c r="A877" s="290">
        <v>16572</v>
      </c>
      <c r="B877" s="291" t="s">
        <v>1496</v>
      </c>
      <c r="C877" s="292" t="s">
        <v>191</v>
      </c>
      <c r="D877" s="292" t="s">
        <v>1072</v>
      </c>
      <c r="E877" s="292"/>
      <c r="F877" s="293" t="s">
        <v>42</v>
      </c>
      <c r="G877" s="294" t="s">
        <v>51</v>
      </c>
      <c r="H877" s="295">
        <v>0</v>
      </c>
      <c r="I877" s="292" t="s">
        <v>1463</v>
      </c>
      <c r="J877" s="292" t="s">
        <v>1359</v>
      </c>
      <c r="K877" s="303" t="s">
        <v>26</v>
      </c>
    </row>
    <row r="878" spans="1:17" ht="12">
      <c r="A878" s="290">
        <v>25714</v>
      </c>
      <c r="B878" s="291" t="s">
        <v>2232</v>
      </c>
      <c r="C878" s="292" t="s">
        <v>1407</v>
      </c>
      <c r="D878" s="292" t="s">
        <v>1497</v>
      </c>
      <c r="E878" s="292"/>
      <c r="F878" s="293" t="s">
        <v>48</v>
      </c>
      <c r="G878" s="310" t="s">
        <v>78</v>
      </c>
      <c r="H878" s="311" t="s">
        <v>179</v>
      </c>
      <c r="I878" s="292" t="s">
        <v>1463</v>
      </c>
      <c r="J878" s="292" t="s">
        <v>1359</v>
      </c>
      <c r="K878" s="303" t="s">
        <v>26</v>
      </c>
    </row>
    <row r="879" spans="1:17" ht="12">
      <c r="A879" s="290">
        <v>7072</v>
      </c>
      <c r="B879" s="291" t="s">
        <v>963</v>
      </c>
      <c r="C879" s="292" t="s">
        <v>964</v>
      </c>
      <c r="D879" s="292" t="s">
        <v>653</v>
      </c>
      <c r="E879" s="292"/>
      <c r="F879" s="293" t="s">
        <v>42</v>
      </c>
      <c r="G879" s="310" t="s">
        <v>57</v>
      </c>
      <c r="H879" s="311" t="s">
        <v>50</v>
      </c>
      <c r="I879" s="292" t="s">
        <v>1463</v>
      </c>
      <c r="J879" s="292" t="s">
        <v>1359</v>
      </c>
      <c r="K879" s="303" t="s">
        <v>26</v>
      </c>
    </row>
    <row r="880" spans="1:17" ht="12">
      <c r="A880" s="290">
        <v>38131</v>
      </c>
      <c r="B880" s="291" t="s">
        <v>1499</v>
      </c>
      <c r="C880" s="292" t="s">
        <v>1500</v>
      </c>
      <c r="D880" s="292" t="s">
        <v>98</v>
      </c>
      <c r="E880" s="292"/>
      <c r="F880" s="293" t="s">
        <v>42</v>
      </c>
      <c r="G880" s="310" t="s">
        <v>43</v>
      </c>
      <c r="H880" s="311" t="s">
        <v>44</v>
      </c>
      <c r="I880" s="292" t="s">
        <v>1463</v>
      </c>
      <c r="J880" s="292" t="s">
        <v>1359</v>
      </c>
      <c r="K880" s="303" t="s">
        <v>26</v>
      </c>
    </row>
    <row r="881" spans="1:11" ht="12">
      <c r="A881" s="290">
        <v>7752</v>
      </c>
      <c r="B881" s="291" t="s">
        <v>1501</v>
      </c>
      <c r="C881" s="297" t="s">
        <v>1502</v>
      </c>
      <c r="D881" s="297" t="s">
        <v>867</v>
      </c>
      <c r="E881" s="297" t="s">
        <v>2103</v>
      </c>
      <c r="F881" s="293" t="s">
        <v>48</v>
      </c>
      <c r="G881" s="310" t="s">
        <v>227</v>
      </c>
      <c r="H881" s="311" t="s">
        <v>44</v>
      </c>
      <c r="I881" s="297" t="s">
        <v>1463</v>
      </c>
      <c r="J881" s="297" t="s">
        <v>1359</v>
      </c>
      <c r="K881" s="303" t="s">
        <v>26</v>
      </c>
    </row>
    <row r="882" spans="1:11" ht="12">
      <c r="A882" s="290">
        <v>25397</v>
      </c>
      <c r="B882" s="291" t="s">
        <v>1995</v>
      </c>
      <c r="C882" s="297" t="s">
        <v>1277</v>
      </c>
      <c r="D882" s="297" t="s">
        <v>1278</v>
      </c>
      <c r="E882" s="297" t="s">
        <v>2103</v>
      </c>
      <c r="F882" s="293" t="s">
        <v>48</v>
      </c>
      <c r="G882" s="310" t="s">
        <v>78</v>
      </c>
      <c r="H882" s="311" t="s">
        <v>44</v>
      </c>
      <c r="I882" s="297" t="s">
        <v>1463</v>
      </c>
      <c r="J882" s="297" t="s">
        <v>1359</v>
      </c>
      <c r="K882" s="303" t="s">
        <v>26</v>
      </c>
    </row>
    <row r="883" spans="1:11" ht="12">
      <c r="A883" s="290">
        <v>16029</v>
      </c>
      <c r="B883" s="291" t="s">
        <v>1503</v>
      </c>
      <c r="C883" s="292" t="s">
        <v>1255</v>
      </c>
      <c r="D883" s="292" t="s">
        <v>1504</v>
      </c>
      <c r="E883" s="292"/>
      <c r="F883" s="293" t="s">
        <v>48</v>
      </c>
      <c r="G883" s="310" t="s">
        <v>227</v>
      </c>
      <c r="H883" s="311" t="s">
        <v>50</v>
      </c>
      <c r="I883" s="292" t="s">
        <v>1463</v>
      </c>
      <c r="J883" s="292" t="s">
        <v>1359</v>
      </c>
      <c r="K883" s="303" t="s">
        <v>26</v>
      </c>
    </row>
    <row r="884" spans="1:11" ht="12">
      <c r="A884" s="290">
        <v>7669</v>
      </c>
      <c r="B884" s="291" t="s">
        <v>1505</v>
      </c>
      <c r="C884" s="292" t="s">
        <v>1279</v>
      </c>
      <c r="D884" s="292" t="s">
        <v>549</v>
      </c>
      <c r="E884" s="292"/>
      <c r="F884" s="293" t="s">
        <v>42</v>
      </c>
      <c r="G884" s="310" t="s">
        <v>51</v>
      </c>
      <c r="H884" s="311"/>
      <c r="I884" s="292" t="s">
        <v>1463</v>
      </c>
      <c r="J884" s="292" t="s">
        <v>1359</v>
      </c>
      <c r="K884" s="303" t="s">
        <v>26</v>
      </c>
    </row>
    <row r="885" spans="1:11" ht="12">
      <c r="A885" s="290">
        <v>7635</v>
      </c>
      <c r="B885" s="291" t="s">
        <v>1506</v>
      </c>
      <c r="C885" s="292" t="s">
        <v>1507</v>
      </c>
      <c r="D885" s="292" t="s">
        <v>178</v>
      </c>
      <c r="E885" s="292"/>
      <c r="F885" s="293" t="s">
        <v>42</v>
      </c>
      <c r="G885" s="300" t="s">
        <v>57</v>
      </c>
      <c r="H885" s="301">
        <v>0</v>
      </c>
      <c r="I885" s="292" t="s">
        <v>1508</v>
      </c>
      <c r="J885" s="292" t="s">
        <v>1359</v>
      </c>
      <c r="K885" s="303" t="s">
        <v>26</v>
      </c>
    </row>
    <row r="886" spans="1:11">
      <c r="A886" s="312">
        <v>7502</v>
      </c>
      <c r="B886" s="313" t="s">
        <v>2566</v>
      </c>
      <c r="C886" s="314" t="s">
        <v>2567</v>
      </c>
      <c r="D886" s="314" t="s">
        <v>98</v>
      </c>
      <c r="E886" s="314"/>
      <c r="F886" s="315" t="s">
        <v>42</v>
      </c>
      <c r="G886" s="310" t="s">
        <v>66</v>
      </c>
      <c r="H886" s="316">
        <v>0</v>
      </c>
      <c r="I886" s="314" t="s">
        <v>1508</v>
      </c>
      <c r="J886" s="314" t="s">
        <v>1359</v>
      </c>
      <c r="K886" s="303" t="s">
        <v>26</v>
      </c>
    </row>
    <row r="887" spans="1:11" ht="12">
      <c r="A887" s="290">
        <v>16710</v>
      </c>
      <c r="B887" s="291" t="s">
        <v>1509</v>
      </c>
      <c r="C887" s="292" t="s">
        <v>1510</v>
      </c>
      <c r="D887" s="292" t="s">
        <v>314</v>
      </c>
      <c r="E887" s="292"/>
      <c r="F887" s="293" t="s">
        <v>42</v>
      </c>
      <c r="G887" s="310" t="s">
        <v>57</v>
      </c>
      <c r="H887" s="311" t="s">
        <v>65</v>
      </c>
      <c r="I887" s="292" t="s">
        <v>1508</v>
      </c>
      <c r="J887" s="292" t="s">
        <v>1359</v>
      </c>
      <c r="K887" s="303" t="s">
        <v>26</v>
      </c>
    </row>
    <row r="888" spans="1:11" ht="12">
      <c r="A888" s="290">
        <v>25877</v>
      </c>
      <c r="B888" s="291" t="s">
        <v>2233</v>
      </c>
      <c r="C888" s="297" t="s">
        <v>1511</v>
      </c>
      <c r="D888" s="297" t="s">
        <v>410</v>
      </c>
      <c r="E888" s="297" t="s">
        <v>2103</v>
      </c>
      <c r="F888" s="293" t="s">
        <v>48</v>
      </c>
      <c r="G888" s="300" t="s">
        <v>138</v>
      </c>
      <c r="H888" s="301">
        <v>0</v>
      </c>
      <c r="I888" s="297" t="s">
        <v>1508</v>
      </c>
      <c r="J888" s="297" t="s">
        <v>1359</v>
      </c>
      <c r="K888" s="303" t="s">
        <v>26</v>
      </c>
    </row>
    <row r="889" spans="1:11" ht="12">
      <c r="A889" s="290">
        <v>38897</v>
      </c>
      <c r="B889" s="291" t="s">
        <v>2568</v>
      </c>
      <c r="C889" s="292" t="s">
        <v>1513</v>
      </c>
      <c r="D889" s="292" t="s">
        <v>1350</v>
      </c>
      <c r="E889" s="292"/>
      <c r="F889" s="293" t="s">
        <v>48</v>
      </c>
      <c r="G889" s="298" t="s">
        <v>78</v>
      </c>
      <c r="H889" s="299">
        <v>0</v>
      </c>
      <c r="I889" s="292" t="s">
        <v>1508</v>
      </c>
      <c r="J889" s="292" t="s">
        <v>1359</v>
      </c>
      <c r="K889" s="303" t="s">
        <v>26</v>
      </c>
    </row>
    <row r="890" spans="1:11" ht="12">
      <c r="A890" s="290">
        <v>7639</v>
      </c>
      <c r="B890" s="291" t="s">
        <v>1512</v>
      </c>
      <c r="C890" s="292" t="s">
        <v>1513</v>
      </c>
      <c r="D890" s="292" t="s">
        <v>72</v>
      </c>
      <c r="E890" s="292"/>
      <c r="F890" s="293" t="s">
        <v>42</v>
      </c>
      <c r="G890" s="310" t="s">
        <v>51</v>
      </c>
      <c r="H890" s="311" t="s">
        <v>44</v>
      </c>
      <c r="I890" s="292" t="s">
        <v>1508</v>
      </c>
      <c r="J890" s="292" t="s">
        <v>1359</v>
      </c>
      <c r="K890" s="303" t="s">
        <v>26</v>
      </c>
    </row>
    <row r="891" spans="1:11" ht="12">
      <c r="A891" s="290">
        <v>7636</v>
      </c>
      <c r="B891" s="291" t="s">
        <v>1514</v>
      </c>
      <c r="C891" s="292" t="s">
        <v>1515</v>
      </c>
      <c r="D891" s="292" t="s">
        <v>621</v>
      </c>
      <c r="E891" s="292"/>
      <c r="F891" s="293" t="s">
        <v>42</v>
      </c>
      <c r="G891" s="294" t="s">
        <v>51</v>
      </c>
      <c r="H891" s="295">
        <v>0</v>
      </c>
      <c r="I891" s="292" t="s">
        <v>1508</v>
      </c>
      <c r="J891" s="292" t="s">
        <v>1359</v>
      </c>
      <c r="K891" s="303" t="s">
        <v>26</v>
      </c>
    </row>
    <row r="892" spans="1:11" ht="12">
      <c r="A892" s="290">
        <v>7501</v>
      </c>
      <c r="B892" s="291" t="s">
        <v>1516</v>
      </c>
      <c r="C892" s="292" t="s">
        <v>1233</v>
      </c>
      <c r="D892" s="292" t="s">
        <v>119</v>
      </c>
      <c r="E892" s="292"/>
      <c r="F892" s="293" t="s">
        <v>42</v>
      </c>
      <c r="G892" s="310" t="s">
        <v>57</v>
      </c>
      <c r="H892" s="311" t="s">
        <v>44</v>
      </c>
      <c r="I892" s="297" t="s">
        <v>1508</v>
      </c>
      <c r="J892" s="292" t="s">
        <v>1359</v>
      </c>
      <c r="K892" s="303" t="s">
        <v>26</v>
      </c>
    </row>
    <row r="893" spans="1:11" ht="12">
      <c r="A893" s="290">
        <v>7640</v>
      </c>
      <c r="B893" s="291" t="s">
        <v>1517</v>
      </c>
      <c r="C893" s="297" t="s">
        <v>1518</v>
      </c>
      <c r="D893" s="297" t="s">
        <v>56</v>
      </c>
      <c r="E893" s="297" t="s">
        <v>2103</v>
      </c>
      <c r="F893" s="293" t="s">
        <v>42</v>
      </c>
      <c r="G893" s="310" t="s">
        <v>51</v>
      </c>
      <c r="H893" s="311"/>
      <c r="I893" s="297" t="s">
        <v>1508</v>
      </c>
      <c r="J893" s="297" t="s">
        <v>1359</v>
      </c>
      <c r="K893" s="303" t="s">
        <v>26</v>
      </c>
    </row>
    <row r="894" spans="1:11" ht="12">
      <c r="A894" s="290">
        <v>38186</v>
      </c>
      <c r="B894" s="291" t="s">
        <v>1519</v>
      </c>
      <c r="C894" s="297" t="s">
        <v>1520</v>
      </c>
      <c r="D894" s="297" t="s">
        <v>1521</v>
      </c>
      <c r="E894" s="297" t="s">
        <v>2103</v>
      </c>
      <c r="F894" s="293" t="s">
        <v>42</v>
      </c>
      <c r="G894" s="310" t="s">
        <v>66</v>
      </c>
      <c r="H894" s="311" t="s">
        <v>65</v>
      </c>
      <c r="I894" s="297" t="s">
        <v>1508</v>
      </c>
      <c r="J894" s="297" t="s">
        <v>1359</v>
      </c>
      <c r="K894" s="303" t="s">
        <v>26</v>
      </c>
    </row>
    <row r="895" spans="1:11" ht="12">
      <c r="A895" s="290">
        <v>7423</v>
      </c>
      <c r="B895" s="291">
        <v>9046417</v>
      </c>
      <c r="C895" s="292" t="s">
        <v>1522</v>
      </c>
      <c r="D895" s="292" t="s">
        <v>1072</v>
      </c>
      <c r="E895" s="292"/>
      <c r="F895" s="293" t="s">
        <v>42</v>
      </c>
      <c r="G895" s="298" t="s">
        <v>57</v>
      </c>
      <c r="H895" s="299">
        <v>0</v>
      </c>
      <c r="I895" s="292" t="s">
        <v>1508</v>
      </c>
      <c r="J895" s="292" t="s">
        <v>1359</v>
      </c>
      <c r="K895" s="303" t="s">
        <v>26</v>
      </c>
    </row>
    <row r="896" spans="1:11" ht="12">
      <c r="A896" s="290">
        <v>25678</v>
      </c>
      <c r="B896" s="291" t="s">
        <v>2234</v>
      </c>
      <c r="C896" s="297" t="s">
        <v>1523</v>
      </c>
      <c r="D896" s="297" t="s">
        <v>1379</v>
      </c>
      <c r="E896" s="297" t="s">
        <v>2103</v>
      </c>
      <c r="F896" s="293" t="s">
        <v>42</v>
      </c>
      <c r="G896" s="310" t="s">
        <v>57</v>
      </c>
      <c r="H896" s="311" t="s">
        <v>44</v>
      </c>
      <c r="I896" s="297" t="s">
        <v>1508</v>
      </c>
      <c r="J896" s="297" t="s">
        <v>1359</v>
      </c>
      <c r="K896" s="303" t="s">
        <v>26</v>
      </c>
    </row>
    <row r="897" spans="1:17" ht="12">
      <c r="A897" s="290">
        <v>38459</v>
      </c>
      <c r="B897" s="291" t="s">
        <v>1570</v>
      </c>
      <c r="C897" s="292" t="s">
        <v>743</v>
      </c>
      <c r="D897" s="292" t="s">
        <v>178</v>
      </c>
      <c r="E897" s="292"/>
      <c r="F897" s="293" t="s">
        <v>42</v>
      </c>
      <c r="G897" s="310" t="s">
        <v>66</v>
      </c>
      <c r="H897" s="311" t="s">
        <v>179</v>
      </c>
      <c r="I897" s="292" t="s">
        <v>1571</v>
      </c>
      <c r="J897" s="292" t="s">
        <v>1359</v>
      </c>
      <c r="K897" s="303" t="s">
        <v>26</v>
      </c>
    </row>
    <row r="898" spans="1:17" ht="12">
      <c r="A898" s="290">
        <v>38750</v>
      </c>
      <c r="B898" s="291" t="s">
        <v>1999</v>
      </c>
      <c r="C898" s="292" t="s">
        <v>2000</v>
      </c>
      <c r="D898" s="292" t="s">
        <v>475</v>
      </c>
      <c r="E898" s="292"/>
      <c r="F898" s="293" t="s">
        <v>48</v>
      </c>
      <c r="G898" s="294" t="s">
        <v>78</v>
      </c>
      <c r="H898" s="295">
        <v>0</v>
      </c>
      <c r="I898" s="292" t="s">
        <v>1571</v>
      </c>
      <c r="J898" s="292" t="s">
        <v>1359</v>
      </c>
      <c r="K898" s="303" t="s">
        <v>26</v>
      </c>
    </row>
    <row r="899" spans="1:17" ht="12">
      <c r="A899" s="290">
        <v>38751</v>
      </c>
      <c r="B899" s="291" t="s">
        <v>2001</v>
      </c>
      <c r="C899" s="292" t="s">
        <v>2002</v>
      </c>
      <c r="D899" s="292" t="s">
        <v>212</v>
      </c>
      <c r="E899" s="292"/>
      <c r="F899" s="293" t="s">
        <v>42</v>
      </c>
      <c r="G899" s="310" t="s">
        <v>57</v>
      </c>
      <c r="H899" s="311"/>
      <c r="I899" s="292" t="s">
        <v>1571</v>
      </c>
      <c r="J899" s="292" t="s">
        <v>1359</v>
      </c>
      <c r="K899" s="303" t="s">
        <v>26</v>
      </c>
    </row>
    <row r="900" spans="1:17" ht="12">
      <c r="A900" s="290">
        <v>25808</v>
      </c>
      <c r="B900" s="291" t="s">
        <v>2569</v>
      </c>
      <c r="C900" s="292" t="s">
        <v>219</v>
      </c>
      <c r="D900" s="292" t="s">
        <v>452</v>
      </c>
      <c r="E900" s="292"/>
      <c r="F900" s="293" t="s">
        <v>48</v>
      </c>
      <c r="G900" s="310" t="s">
        <v>49</v>
      </c>
      <c r="H900" s="311" t="s">
        <v>44</v>
      </c>
      <c r="I900" s="292" t="s">
        <v>1571</v>
      </c>
      <c r="J900" s="292" t="s">
        <v>1359</v>
      </c>
      <c r="K900" s="303" t="s">
        <v>26</v>
      </c>
    </row>
    <row r="901" spans="1:17" ht="12">
      <c r="A901" s="290">
        <v>38929</v>
      </c>
      <c r="B901" s="291" t="s">
        <v>2570</v>
      </c>
      <c r="C901" s="297" t="s">
        <v>130</v>
      </c>
      <c r="D901" s="297" t="s">
        <v>142</v>
      </c>
      <c r="E901" s="297" t="s">
        <v>2103</v>
      </c>
      <c r="F901" s="293" t="s">
        <v>42</v>
      </c>
      <c r="G901" s="294" t="s">
        <v>43</v>
      </c>
      <c r="H901" s="295">
        <v>0</v>
      </c>
      <c r="I901" s="297" t="s">
        <v>1571</v>
      </c>
      <c r="J901" s="297" t="s">
        <v>1359</v>
      </c>
      <c r="K901" s="303" t="s">
        <v>26</v>
      </c>
      <c r="L901" s="26"/>
      <c r="M901" s="26"/>
      <c r="N901" s="26"/>
      <c r="Q901" s="30"/>
    </row>
    <row r="902" spans="1:17" ht="12">
      <c r="A902" s="290">
        <v>10645</v>
      </c>
      <c r="B902" s="291" t="s">
        <v>1572</v>
      </c>
      <c r="C902" s="292" t="s">
        <v>1573</v>
      </c>
      <c r="D902" s="292" t="s">
        <v>264</v>
      </c>
      <c r="E902" s="292"/>
      <c r="F902" s="293" t="s">
        <v>42</v>
      </c>
      <c r="G902" s="310" t="s">
        <v>51</v>
      </c>
      <c r="H902" s="311" t="s">
        <v>50</v>
      </c>
      <c r="I902" s="292" t="s">
        <v>1571</v>
      </c>
      <c r="J902" s="292" t="s">
        <v>1359</v>
      </c>
      <c r="K902" s="303" t="s">
        <v>26</v>
      </c>
      <c r="L902" s="26"/>
      <c r="M902" s="26"/>
      <c r="N902" s="26"/>
      <c r="Q902" s="30"/>
    </row>
    <row r="903" spans="1:17" ht="12">
      <c r="A903" s="290">
        <v>38891</v>
      </c>
      <c r="B903" s="291" t="s">
        <v>2571</v>
      </c>
      <c r="C903" s="297" t="s">
        <v>2572</v>
      </c>
      <c r="D903" s="297" t="s">
        <v>667</v>
      </c>
      <c r="E903" s="297" t="s">
        <v>2103</v>
      </c>
      <c r="F903" s="293" t="s">
        <v>42</v>
      </c>
      <c r="G903" s="310" t="s">
        <v>43</v>
      </c>
      <c r="H903" s="311" t="s">
        <v>44</v>
      </c>
      <c r="I903" s="297" t="s">
        <v>1571</v>
      </c>
      <c r="J903" s="297" t="s">
        <v>1359</v>
      </c>
      <c r="K903" s="303" t="s">
        <v>26</v>
      </c>
    </row>
    <row r="904" spans="1:17" ht="12">
      <c r="A904" s="290">
        <v>38650</v>
      </c>
      <c r="B904" s="291" t="s">
        <v>1574</v>
      </c>
      <c r="C904" s="292" t="s">
        <v>1575</v>
      </c>
      <c r="D904" s="292" t="s">
        <v>142</v>
      </c>
      <c r="E904" s="292"/>
      <c r="F904" s="293" t="s">
        <v>42</v>
      </c>
      <c r="G904" s="310" t="s">
        <v>66</v>
      </c>
      <c r="H904" s="311" t="s">
        <v>44</v>
      </c>
      <c r="I904" s="292" t="s">
        <v>1571</v>
      </c>
      <c r="J904" s="292" t="s">
        <v>1359</v>
      </c>
      <c r="K904" s="303" t="s">
        <v>26</v>
      </c>
      <c r="L904" s="26"/>
      <c r="M904" s="26"/>
      <c r="N904" s="26"/>
      <c r="Q904" s="30"/>
    </row>
    <row r="905" spans="1:17" ht="12">
      <c r="A905" s="290">
        <v>16401</v>
      </c>
      <c r="B905" s="291" t="s">
        <v>1576</v>
      </c>
      <c r="C905" s="292" t="s">
        <v>1577</v>
      </c>
      <c r="D905" s="292" t="s">
        <v>594</v>
      </c>
      <c r="E905" s="292"/>
      <c r="F905" s="293" t="s">
        <v>42</v>
      </c>
      <c r="G905" s="294" t="s">
        <v>66</v>
      </c>
      <c r="H905" s="295">
        <v>0</v>
      </c>
      <c r="I905" s="292" t="s">
        <v>1571</v>
      </c>
      <c r="J905" s="292" t="s">
        <v>1359</v>
      </c>
      <c r="K905" s="303" t="s">
        <v>26</v>
      </c>
      <c r="L905" s="26"/>
      <c r="M905" s="26"/>
      <c r="N905" s="26"/>
      <c r="Q905" s="30"/>
    </row>
    <row r="906" spans="1:17" ht="12">
      <c r="A906" s="290">
        <v>25525</v>
      </c>
      <c r="B906" s="291" t="s">
        <v>1578</v>
      </c>
      <c r="C906" s="292" t="s">
        <v>221</v>
      </c>
      <c r="D906" s="292" t="s">
        <v>178</v>
      </c>
      <c r="E906" s="292"/>
      <c r="F906" s="293" t="s">
        <v>42</v>
      </c>
      <c r="G906" s="310" t="s">
        <v>43</v>
      </c>
      <c r="H906" s="311" t="s">
        <v>65</v>
      </c>
      <c r="I906" s="292" t="s">
        <v>1571</v>
      </c>
      <c r="J906" s="292" t="s">
        <v>1359</v>
      </c>
      <c r="K906" s="303" t="s">
        <v>26</v>
      </c>
      <c r="L906" s="26"/>
      <c r="M906" s="26"/>
      <c r="N906" s="26"/>
      <c r="Q906" s="30"/>
    </row>
    <row r="907" spans="1:17" ht="12">
      <c r="A907" s="290">
        <v>38752</v>
      </c>
      <c r="B907" s="291" t="s">
        <v>2003</v>
      </c>
      <c r="C907" s="292" t="s">
        <v>1269</v>
      </c>
      <c r="D907" s="292" t="s">
        <v>650</v>
      </c>
      <c r="E907" s="292"/>
      <c r="F907" s="293" t="s">
        <v>42</v>
      </c>
      <c r="G907" s="310" t="s">
        <v>66</v>
      </c>
      <c r="H907" s="311"/>
      <c r="I907" s="292" t="s">
        <v>1571</v>
      </c>
      <c r="J907" s="292" t="s">
        <v>1359</v>
      </c>
      <c r="K907" s="303" t="s">
        <v>26</v>
      </c>
      <c r="L907" s="26"/>
      <c r="M907" s="26"/>
      <c r="N907" s="26"/>
      <c r="Q907" s="30"/>
    </row>
    <row r="908" spans="1:17" ht="12">
      <c r="A908" s="290">
        <v>38753</v>
      </c>
      <c r="B908" s="291" t="s">
        <v>2004</v>
      </c>
      <c r="C908" s="292" t="s">
        <v>2005</v>
      </c>
      <c r="D908" s="292" t="s">
        <v>2006</v>
      </c>
      <c r="E908" s="292"/>
      <c r="F908" s="293" t="s">
        <v>42</v>
      </c>
      <c r="G908" s="310" t="s">
        <v>43</v>
      </c>
      <c r="H908" s="311" t="s">
        <v>65</v>
      </c>
      <c r="I908" s="292" t="s">
        <v>1571</v>
      </c>
      <c r="J908" s="292" t="s">
        <v>1359</v>
      </c>
      <c r="K908" s="303" t="s">
        <v>26</v>
      </c>
      <c r="L908" s="26"/>
      <c r="M908" s="26"/>
      <c r="N908" s="26"/>
      <c r="Q908" s="30"/>
    </row>
    <row r="909" spans="1:17" ht="12">
      <c r="A909" s="290">
        <v>25842</v>
      </c>
      <c r="B909" s="291" t="s">
        <v>1345</v>
      </c>
      <c r="C909" s="292" t="s">
        <v>1346</v>
      </c>
      <c r="D909" s="292" t="s">
        <v>264</v>
      </c>
      <c r="E909" s="292"/>
      <c r="F909" s="293" t="s">
        <v>42</v>
      </c>
      <c r="G909" s="310" t="s">
        <v>66</v>
      </c>
      <c r="H909" s="311" t="s">
        <v>179</v>
      </c>
      <c r="I909" s="292" t="s">
        <v>1571</v>
      </c>
      <c r="J909" s="292" t="s">
        <v>1359</v>
      </c>
      <c r="K909" s="303" t="s">
        <v>26</v>
      </c>
      <c r="L909" s="26"/>
      <c r="M909" s="26"/>
      <c r="N909" s="26"/>
      <c r="Q909" s="30"/>
    </row>
    <row r="910" spans="1:17" ht="12">
      <c r="A910" s="290">
        <v>38221</v>
      </c>
      <c r="B910" s="291" t="s">
        <v>1579</v>
      </c>
      <c r="C910" s="292" t="s">
        <v>499</v>
      </c>
      <c r="D910" s="292" t="s">
        <v>98</v>
      </c>
      <c r="E910" s="292"/>
      <c r="F910" s="293" t="s">
        <v>42</v>
      </c>
      <c r="G910" s="310" t="s">
        <v>43</v>
      </c>
      <c r="H910" s="311" t="s">
        <v>65</v>
      </c>
      <c r="I910" s="292" t="s">
        <v>1571</v>
      </c>
      <c r="J910" s="292" t="s">
        <v>1359</v>
      </c>
      <c r="K910" s="303" t="s">
        <v>26</v>
      </c>
      <c r="L910" s="26"/>
      <c r="M910" s="26"/>
      <c r="N910" s="26"/>
      <c r="Q910" s="30"/>
    </row>
    <row r="911" spans="1:17" ht="12">
      <c r="A911" s="290">
        <v>38862</v>
      </c>
      <c r="B911" s="291" t="s">
        <v>2321</v>
      </c>
      <c r="C911" s="297" t="s">
        <v>2322</v>
      </c>
      <c r="D911" s="297" t="s">
        <v>667</v>
      </c>
      <c r="E911" s="297" t="s">
        <v>2103</v>
      </c>
      <c r="F911" s="293" t="s">
        <v>42</v>
      </c>
      <c r="G911" s="310" t="s">
        <v>43</v>
      </c>
      <c r="H911" s="311" t="s">
        <v>44</v>
      </c>
      <c r="I911" s="297" t="s">
        <v>1571</v>
      </c>
      <c r="J911" s="297" t="s">
        <v>1359</v>
      </c>
      <c r="K911" s="303" t="s">
        <v>26</v>
      </c>
    </row>
    <row r="912" spans="1:17" ht="12">
      <c r="A912" s="290">
        <v>38486</v>
      </c>
      <c r="B912" s="291" t="s">
        <v>1580</v>
      </c>
      <c r="C912" s="292" t="s">
        <v>1581</v>
      </c>
      <c r="D912" s="292" t="s">
        <v>476</v>
      </c>
      <c r="E912" s="292"/>
      <c r="F912" s="293" t="s">
        <v>42</v>
      </c>
      <c r="G912" s="310" t="s">
        <v>51</v>
      </c>
      <c r="H912" s="311"/>
      <c r="I912" s="292" t="s">
        <v>1571</v>
      </c>
      <c r="J912" s="292" t="s">
        <v>1359</v>
      </c>
      <c r="K912" s="303" t="s">
        <v>26</v>
      </c>
    </row>
    <row r="913" spans="1:17" ht="12">
      <c r="A913" s="290">
        <v>38487</v>
      </c>
      <c r="B913" s="291" t="s">
        <v>1582</v>
      </c>
      <c r="C913" s="292" t="s">
        <v>1581</v>
      </c>
      <c r="D913" s="292" t="s">
        <v>1441</v>
      </c>
      <c r="E913" s="292"/>
      <c r="F913" s="293" t="s">
        <v>48</v>
      </c>
      <c r="G913" s="310" t="s">
        <v>138</v>
      </c>
      <c r="H913" s="311"/>
      <c r="I913" s="292" t="s">
        <v>1571</v>
      </c>
      <c r="J913" s="292" t="s">
        <v>1359</v>
      </c>
      <c r="K913" s="303" t="s">
        <v>26</v>
      </c>
    </row>
    <row r="914" spans="1:17" ht="12">
      <c r="A914" s="290">
        <v>10080</v>
      </c>
      <c r="B914" s="291" t="s">
        <v>1583</v>
      </c>
      <c r="C914" s="292" t="s">
        <v>1584</v>
      </c>
      <c r="D914" s="292" t="s">
        <v>831</v>
      </c>
      <c r="E914" s="292"/>
      <c r="F914" s="293" t="s">
        <v>42</v>
      </c>
      <c r="G914" s="310" t="s">
        <v>51</v>
      </c>
      <c r="H914" s="311" t="s">
        <v>65</v>
      </c>
      <c r="I914" s="292" t="s">
        <v>1571</v>
      </c>
      <c r="J914" s="292" t="s">
        <v>1359</v>
      </c>
      <c r="K914" s="303" t="s">
        <v>26</v>
      </c>
      <c r="L914" s="26"/>
      <c r="M914" s="26"/>
      <c r="N914" s="26"/>
      <c r="Q914" s="30"/>
    </row>
    <row r="915" spans="1:17" ht="12">
      <c r="A915" s="290">
        <v>38863</v>
      </c>
      <c r="B915" s="291" t="s">
        <v>2573</v>
      </c>
      <c r="C915" s="297" t="s">
        <v>2323</v>
      </c>
      <c r="D915" s="297" t="s">
        <v>2324</v>
      </c>
      <c r="E915" s="297" t="s">
        <v>2103</v>
      </c>
      <c r="F915" s="293" t="s">
        <v>42</v>
      </c>
      <c r="G915" s="310" t="s">
        <v>43</v>
      </c>
      <c r="H915" s="311" t="s">
        <v>44</v>
      </c>
      <c r="I915" s="297" t="s">
        <v>1571</v>
      </c>
      <c r="J915" s="297" t="s">
        <v>1359</v>
      </c>
      <c r="K915" s="303" t="s">
        <v>26</v>
      </c>
    </row>
    <row r="916" spans="1:17" ht="12">
      <c r="A916" s="290">
        <v>38485</v>
      </c>
      <c r="B916" s="291" t="s">
        <v>1586</v>
      </c>
      <c r="C916" s="292" t="s">
        <v>1585</v>
      </c>
      <c r="D916" s="292" t="s">
        <v>183</v>
      </c>
      <c r="E916" s="292"/>
      <c r="F916" s="293" t="s">
        <v>42</v>
      </c>
      <c r="G916" s="310" t="s">
        <v>51</v>
      </c>
      <c r="H916" s="311" t="s">
        <v>44</v>
      </c>
      <c r="I916" s="292" t="s">
        <v>1571</v>
      </c>
      <c r="J916" s="292" t="s">
        <v>1359</v>
      </c>
      <c r="K916" s="303" t="s">
        <v>26</v>
      </c>
      <c r="L916" s="26"/>
      <c r="M916" s="26"/>
      <c r="N916" s="26"/>
      <c r="Q916" s="30"/>
    </row>
    <row r="917" spans="1:17" ht="12">
      <c r="A917" s="290">
        <v>10798</v>
      </c>
      <c r="B917" s="291" t="s">
        <v>2025</v>
      </c>
      <c r="C917" s="292" t="s">
        <v>668</v>
      </c>
      <c r="D917" s="292" t="s">
        <v>212</v>
      </c>
      <c r="E917" s="292"/>
      <c r="F917" s="293" t="s">
        <v>42</v>
      </c>
      <c r="G917" s="310" t="s">
        <v>57</v>
      </c>
      <c r="H917" s="311" t="s">
        <v>103</v>
      </c>
      <c r="I917" s="292" t="s">
        <v>1571</v>
      </c>
      <c r="J917" s="292" t="s">
        <v>1359</v>
      </c>
      <c r="K917" s="303" t="s">
        <v>26</v>
      </c>
      <c r="L917" s="26"/>
      <c r="M917" s="26"/>
      <c r="N917" s="26"/>
      <c r="Q917" s="30"/>
    </row>
    <row r="918" spans="1:17" ht="12">
      <c r="A918" s="290">
        <v>38793</v>
      </c>
      <c r="B918" s="291" t="s">
        <v>2235</v>
      </c>
      <c r="C918" s="292" t="s">
        <v>2236</v>
      </c>
      <c r="D918" s="292" t="s">
        <v>142</v>
      </c>
      <c r="E918" s="292"/>
      <c r="F918" s="293" t="s">
        <v>42</v>
      </c>
      <c r="G918" s="310" t="s">
        <v>66</v>
      </c>
      <c r="H918" s="311" t="s">
        <v>50</v>
      </c>
      <c r="I918" s="292" t="s">
        <v>1571</v>
      </c>
      <c r="J918" s="292" t="s">
        <v>1359</v>
      </c>
      <c r="K918" s="303" t="s">
        <v>26</v>
      </c>
    </row>
    <row r="919" spans="1:17" ht="12">
      <c r="A919" s="290">
        <v>25114</v>
      </c>
      <c r="B919" s="291" t="s">
        <v>1587</v>
      </c>
      <c r="C919" s="292" t="s">
        <v>1588</v>
      </c>
      <c r="D919" s="292" t="s">
        <v>142</v>
      </c>
      <c r="E919" s="292"/>
      <c r="F919" s="293" t="s">
        <v>42</v>
      </c>
      <c r="G919" s="310" t="s">
        <v>66</v>
      </c>
      <c r="H919" s="311" t="s">
        <v>44</v>
      </c>
      <c r="I919" s="292" t="s">
        <v>1571</v>
      </c>
      <c r="J919" s="292" t="s">
        <v>1359</v>
      </c>
      <c r="K919" s="303" t="s">
        <v>26</v>
      </c>
    </row>
    <row r="920" spans="1:17" ht="12">
      <c r="A920" s="290">
        <v>38002</v>
      </c>
      <c r="B920" s="291" t="s">
        <v>1589</v>
      </c>
      <c r="C920" s="292" t="s">
        <v>1590</v>
      </c>
      <c r="D920" s="292" t="s">
        <v>86</v>
      </c>
      <c r="E920" s="292"/>
      <c r="F920" s="293" t="s">
        <v>42</v>
      </c>
      <c r="G920" s="310" t="s">
        <v>66</v>
      </c>
      <c r="H920" s="311" t="s">
        <v>44</v>
      </c>
      <c r="I920" s="292" t="s">
        <v>1571</v>
      </c>
      <c r="J920" s="292" t="s">
        <v>1359</v>
      </c>
      <c r="K920" s="303" t="s">
        <v>26</v>
      </c>
    </row>
    <row r="921" spans="1:17" ht="12">
      <c r="A921" s="290">
        <v>38928</v>
      </c>
      <c r="B921" s="291" t="s">
        <v>2574</v>
      </c>
      <c r="C921" s="297" t="s">
        <v>2575</v>
      </c>
      <c r="D921" s="297" t="s">
        <v>1270</v>
      </c>
      <c r="E921" s="297" t="s">
        <v>2103</v>
      </c>
      <c r="F921" s="293" t="s">
        <v>48</v>
      </c>
      <c r="G921" s="294" t="s">
        <v>138</v>
      </c>
      <c r="H921" s="295">
        <v>0</v>
      </c>
      <c r="I921" s="297" t="s">
        <v>1571</v>
      </c>
      <c r="J921" s="297" t="s">
        <v>1359</v>
      </c>
      <c r="K921" s="303" t="s">
        <v>26</v>
      </c>
      <c r="L921" s="26"/>
      <c r="M921" s="26"/>
      <c r="N921" s="26"/>
      <c r="Q921" s="30"/>
    </row>
    <row r="922" spans="1:17" ht="12">
      <c r="A922" s="290">
        <v>38387</v>
      </c>
      <c r="B922" s="291" t="s">
        <v>2576</v>
      </c>
      <c r="C922" s="292" t="s">
        <v>2575</v>
      </c>
      <c r="D922" s="292" t="s">
        <v>579</v>
      </c>
      <c r="E922" s="292"/>
      <c r="F922" s="293" t="s">
        <v>42</v>
      </c>
      <c r="G922" s="310" t="s">
        <v>51</v>
      </c>
      <c r="H922" s="311" t="s">
        <v>44</v>
      </c>
      <c r="I922" s="292" t="s">
        <v>1571</v>
      </c>
      <c r="J922" s="292" t="s">
        <v>1359</v>
      </c>
      <c r="K922" s="303" t="s">
        <v>26</v>
      </c>
    </row>
    <row r="923" spans="1:17" ht="12">
      <c r="A923" s="290">
        <v>7591</v>
      </c>
      <c r="B923" s="291" t="s">
        <v>1591</v>
      </c>
      <c r="C923" s="292" t="s">
        <v>1592</v>
      </c>
      <c r="D923" s="292" t="s">
        <v>237</v>
      </c>
      <c r="E923" s="292"/>
      <c r="F923" s="293" t="s">
        <v>42</v>
      </c>
      <c r="G923" s="310" t="s">
        <v>43</v>
      </c>
      <c r="H923" s="311" t="s">
        <v>238</v>
      </c>
      <c r="I923" s="292" t="s">
        <v>1593</v>
      </c>
      <c r="J923" s="292" t="s">
        <v>1359</v>
      </c>
      <c r="K923" s="303" t="s">
        <v>26</v>
      </c>
    </row>
    <row r="924" spans="1:17" ht="12">
      <c r="A924" s="290">
        <v>7593</v>
      </c>
      <c r="B924" s="291" t="s">
        <v>1594</v>
      </c>
      <c r="C924" s="292" t="s">
        <v>1592</v>
      </c>
      <c r="D924" s="292" t="s">
        <v>72</v>
      </c>
      <c r="E924" s="292"/>
      <c r="F924" s="293" t="s">
        <v>42</v>
      </c>
      <c r="G924" s="310" t="s">
        <v>51</v>
      </c>
      <c r="H924" s="311" t="s">
        <v>179</v>
      </c>
      <c r="I924" s="292" t="s">
        <v>1593</v>
      </c>
      <c r="J924" s="292" t="s">
        <v>1359</v>
      </c>
      <c r="K924" s="303" t="s">
        <v>26</v>
      </c>
      <c r="L924" s="26"/>
      <c r="M924" s="26"/>
      <c r="N924" s="26"/>
      <c r="Q924" s="30"/>
    </row>
    <row r="925" spans="1:17" ht="12">
      <c r="A925" s="290">
        <v>7539</v>
      </c>
      <c r="B925" s="291" t="s">
        <v>1595</v>
      </c>
      <c r="C925" s="292" t="s">
        <v>1592</v>
      </c>
      <c r="D925" s="292" t="s">
        <v>229</v>
      </c>
      <c r="E925" s="292"/>
      <c r="F925" s="293" t="s">
        <v>48</v>
      </c>
      <c r="G925" s="310" t="s">
        <v>49</v>
      </c>
      <c r="H925" s="311" t="s">
        <v>65</v>
      </c>
      <c r="I925" s="292" t="s">
        <v>1593</v>
      </c>
      <c r="J925" s="292" t="s">
        <v>1359</v>
      </c>
      <c r="K925" s="303" t="s">
        <v>26</v>
      </c>
      <c r="L925" s="26"/>
      <c r="M925" s="26"/>
      <c r="N925" s="26"/>
      <c r="Q925" s="30"/>
    </row>
    <row r="926" spans="1:17" ht="12">
      <c r="A926" s="290">
        <v>7592</v>
      </c>
      <c r="B926" s="291" t="s">
        <v>1596</v>
      </c>
      <c r="C926" s="292" t="s">
        <v>1592</v>
      </c>
      <c r="D926" s="292" t="s">
        <v>131</v>
      </c>
      <c r="E926" s="292"/>
      <c r="F926" s="293" t="s">
        <v>42</v>
      </c>
      <c r="G926" s="310" t="s">
        <v>43</v>
      </c>
      <c r="H926" s="311" t="s">
        <v>238</v>
      </c>
      <c r="I926" s="292" t="s">
        <v>1593</v>
      </c>
      <c r="J926" s="292" t="s">
        <v>1359</v>
      </c>
      <c r="K926" s="303" t="s">
        <v>26</v>
      </c>
    </row>
    <row r="927" spans="1:17" ht="12">
      <c r="A927" s="290">
        <v>7598</v>
      </c>
      <c r="B927" s="291">
        <v>9109428</v>
      </c>
      <c r="C927" s="292" t="s">
        <v>1597</v>
      </c>
      <c r="D927" s="292" t="s">
        <v>434</v>
      </c>
      <c r="E927" s="292"/>
      <c r="F927" s="293" t="s">
        <v>42</v>
      </c>
      <c r="G927" s="310" t="s">
        <v>57</v>
      </c>
      <c r="H927" s="311" t="s">
        <v>65</v>
      </c>
      <c r="I927" s="292" t="s">
        <v>1593</v>
      </c>
      <c r="J927" s="292" t="s">
        <v>1359</v>
      </c>
      <c r="K927" s="303" t="s">
        <v>26</v>
      </c>
      <c r="L927" s="26"/>
      <c r="M927" s="26"/>
      <c r="N927" s="26"/>
      <c r="Q927" s="30"/>
    </row>
    <row r="928" spans="1:17" ht="12">
      <c r="A928" s="290">
        <v>7574</v>
      </c>
      <c r="B928" s="291" t="s">
        <v>1598</v>
      </c>
      <c r="C928" s="292" t="s">
        <v>1599</v>
      </c>
      <c r="D928" s="292" t="s">
        <v>1272</v>
      </c>
      <c r="E928" s="292"/>
      <c r="F928" s="293" t="s">
        <v>48</v>
      </c>
      <c r="G928" s="310" t="s">
        <v>227</v>
      </c>
      <c r="H928" s="311" t="s">
        <v>179</v>
      </c>
      <c r="I928" s="292" t="s">
        <v>1593</v>
      </c>
      <c r="J928" s="292" t="s">
        <v>1359</v>
      </c>
      <c r="K928" s="303" t="s">
        <v>26</v>
      </c>
    </row>
    <row r="929" spans="1:17" ht="12">
      <c r="A929" s="290">
        <v>16879</v>
      </c>
      <c r="B929" s="291" t="s">
        <v>913</v>
      </c>
      <c r="C929" s="292" t="s">
        <v>914</v>
      </c>
      <c r="D929" s="292" t="s">
        <v>915</v>
      </c>
      <c r="E929" s="292"/>
      <c r="F929" s="293" t="s">
        <v>48</v>
      </c>
      <c r="G929" s="310" t="s">
        <v>49</v>
      </c>
      <c r="H929" s="311" t="s">
        <v>44</v>
      </c>
      <c r="I929" s="292" t="s">
        <v>1593</v>
      </c>
      <c r="J929" s="292" t="s">
        <v>1359</v>
      </c>
      <c r="K929" s="303" t="s">
        <v>26</v>
      </c>
    </row>
    <row r="930" spans="1:17" ht="12">
      <c r="A930" s="290">
        <v>16856</v>
      </c>
      <c r="B930" s="291" t="s">
        <v>916</v>
      </c>
      <c r="C930" s="292" t="s">
        <v>914</v>
      </c>
      <c r="D930" s="292" t="s">
        <v>69</v>
      </c>
      <c r="E930" s="292"/>
      <c r="F930" s="293" t="s">
        <v>42</v>
      </c>
      <c r="G930" s="310" t="s">
        <v>51</v>
      </c>
      <c r="H930" s="311" t="s">
        <v>65</v>
      </c>
      <c r="I930" s="292" t="s">
        <v>1593</v>
      </c>
      <c r="J930" s="292" t="s">
        <v>1359</v>
      </c>
      <c r="K930" s="303" t="s">
        <v>26</v>
      </c>
    </row>
    <row r="931" spans="1:17" ht="12">
      <c r="A931" s="290">
        <v>38748</v>
      </c>
      <c r="B931" s="291" t="s">
        <v>2007</v>
      </c>
      <c r="C931" s="292" t="s">
        <v>2008</v>
      </c>
      <c r="D931" s="292" t="s">
        <v>2009</v>
      </c>
      <c r="E931" s="292"/>
      <c r="F931" s="293" t="s">
        <v>48</v>
      </c>
      <c r="G931" s="310" t="s">
        <v>78</v>
      </c>
      <c r="H931" s="311" t="s">
        <v>179</v>
      </c>
      <c r="I931" s="292" t="s">
        <v>1593</v>
      </c>
      <c r="J931" s="292" t="s">
        <v>1359</v>
      </c>
      <c r="K931" s="303" t="s">
        <v>26</v>
      </c>
      <c r="L931" s="26"/>
      <c r="M931" s="26"/>
      <c r="N931" s="26"/>
      <c r="Q931" s="30"/>
    </row>
    <row r="932" spans="1:17" ht="12">
      <c r="A932" s="290">
        <v>7575</v>
      </c>
      <c r="B932" s="291" t="s">
        <v>1600</v>
      </c>
      <c r="C932" s="292" t="s">
        <v>1601</v>
      </c>
      <c r="D932" s="292" t="s">
        <v>1529</v>
      </c>
      <c r="E932" s="292"/>
      <c r="F932" s="293" t="s">
        <v>48</v>
      </c>
      <c r="G932" s="310" t="s">
        <v>138</v>
      </c>
      <c r="H932" s="311" t="s">
        <v>179</v>
      </c>
      <c r="I932" s="292" t="s">
        <v>1593</v>
      </c>
      <c r="J932" s="292" t="s">
        <v>1359</v>
      </c>
      <c r="K932" s="303" t="s">
        <v>26</v>
      </c>
    </row>
    <row r="933" spans="1:17" ht="12">
      <c r="A933" s="290">
        <v>16679</v>
      </c>
      <c r="B933" s="291" t="s">
        <v>2577</v>
      </c>
      <c r="C933" s="297" t="s">
        <v>1533</v>
      </c>
      <c r="D933" s="297" t="s">
        <v>237</v>
      </c>
      <c r="E933" s="297" t="s">
        <v>2103</v>
      </c>
      <c r="F933" s="293" t="s">
        <v>42</v>
      </c>
      <c r="G933" s="310" t="s">
        <v>43</v>
      </c>
      <c r="H933" s="311" t="s">
        <v>179</v>
      </c>
      <c r="I933" s="297" t="s">
        <v>1593</v>
      </c>
      <c r="J933" s="297" t="s">
        <v>1359</v>
      </c>
      <c r="K933" s="303" t="s">
        <v>26</v>
      </c>
    </row>
    <row r="934" spans="1:17" ht="12">
      <c r="A934" s="290">
        <v>7595</v>
      </c>
      <c r="B934" s="291" t="s">
        <v>1602</v>
      </c>
      <c r="C934" s="292" t="s">
        <v>1603</v>
      </c>
      <c r="D934" s="292" t="s">
        <v>178</v>
      </c>
      <c r="E934" s="292"/>
      <c r="F934" s="293" t="s">
        <v>42</v>
      </c>
      <c r="G934" s="310" t="s">
        <v>43</v>
      </c>
      <c r="H934" s="311" t="s">
        <v>238</v>
      </c>
      <c r="I934" s="292" t="s">
        <v>1593</v>
      </c>
      <c r="J934" s="292" t="s">
        <v>1359</v>
      </c>
      <c r="K934" s="303" t="s">
        <v>26</v>
      </c>
    </row>
    <row r="935" spans="1:17" ht="12">
      <c r="A935" s="290">
        <v>7024</v>
      </c>
      <c r="B935" s="291" t="s">
        <v>1933</v>
      </c>
      <c r="C935" s="292" t="s">
        <v>1681</v>
      </c>
      <c r="D935" s="292" t="s">
        <v>253</v>
      </c>
      <c r="E935" s="292"/>
      <c r="F935" s="293" t="s">
        <v>48</v>
      </c>
      <c r="G935" s="310" t="s">
        <v>78</v>
      </c>
      <c r="H935" s="311" t="s">
        <v>238</v>
      </c>
      <c r="I935" s="292" t="s">
        <v>1593</v>
      </c>
      <c r="J935" s="292" t="s">
        <v>1359</v>
      </c>
      <c r="K935" s="303" t="s">
        <v>26</v>
      </c>
    </row>
    <row r="936" spans="1:17" ht="12">
      <c r="A936" s="290">
        <v>38546</v>
      </c>
      <c r="B936" s="291" t="s">
        <v>1604</v>
      </c>
      <c r="C936" s="292" t="s">
        <v>1605</v>
      </c>
      <c r="D936" s="292" t="s">
        <v>1606</v>
      </c>
      <c r="E936" s="292"/>
      <c r="F936" s="293" t="s">
        <v>42</v>
      </c>
      <c r="G936" s="310" t="s">
        <v>359</v>
      </c>
      <c r="H936" s="311" t="s">
        <v>50</v>
      </c>
      <c r="I936" s="292" t="s">
        <v>1593</v>
      </c>
      <c r="J936" s="292" t="s">
        <v>1359</v>
      </c>
      <c r="K936" s="303" t="s">
        <v>26</v>
      </c>
      <c r="L936" s="26"/>
      <c r="M936" s="26"/>
      <c r="N936" s="26"/>
      <c r="Q936" s="30"/>
    </row>
    <row r="937" spans="1:17" ht="12">
      <c r="A937" s="290">
        <v>38708</v>
      </c>
      <c r="B937" s="291" t="s">
        <v>1881</v>
      </c>
      <c r="C937" s="302" t="s">
        <v>1882</v>
      </c>
      <c r="D937" s="297" t="s">
        <v>124</v>
      </c>
      <c r="E937" s="297" t="s">
        <v>2103</v>
      </c>
      <c r="F937" s="293" t="s">
        <v>42</v>
      </c>
      <c r="G937" s="310" t="s">
        <v>88</v>
      </c>
      <c r="H937" s="311" t="s">
        <v>179</v>
      </c>
      <c r="I937" s="297" t="s">
        <v>1593</v>
      </c>
      <c r="J937" s="297" t="s">
        <v>1359</v>
      </c>
      <c r="K937" s="303" t="s">
        <v>26</v>
      </c>
      <c r="L937" s="26"/>
      <c r="M937" s="26"/>
      <c r="N937" s="26"/>
      <c r="Q937" s="30"/>
    </row>
    <row r="938" spans="1:17" ht="12">
      <c r="A938" s="290">
        <v>38438</v>
      </c>
      <c r="B938" s="291" t="s">
        <v>1607</v>
      </c>
      <c r="C938" s="292" t="s">
        <v>1608</v>
      </c>
      <c r="D938" s="292" t="s">
        <v>1609</v>
      </c>
      <c r="E938" s="292"/>
      <c r="F938" s="293" t="s">
        <v>48</v>
      </c>
      <c r="G938" s="310" t="s">
        <v>1121</v>
      </c>
      <c r="H938" s="311" t="s">
        <v>179</v>
      </c>
      <c r="I938" s="292" t="s">
        <v>1593</v>
      </c>
      <c r="J938" s="292" t="s">
        <v>1359</v>
      </c>
      <c r="K938" s="303" t="s">
        <v>26</v>
      </c>
      <c r="L938" s="26"/>
      <c r="M938" s="26"/>
      <c r="N938" s="26"/>
      <c r="Q938" s="30"/>
    </row>
    <row r="939" spans="1:17" ht="12">
      <c r="A939" s="290">
        <v>38792</v>
      </c>
      <c r="B939" s="291" t="s">
        <v>2578</v>
      </c>
      <c r="C939" s="292" t="s">
        <v>1608</v>
      </c>
      <c r="D939" s="292" t="s">
        <v>89</v>
      </c>
      <c r="E939" s="292"/>
      <c r="F939" s="293" t="s">
        <v>42</v>
      </c>
      <c r="G939" s="298" t="s">
        <v>66</v>
      </c>
      <c r="H939" s="299">
        <v>0</v>
      </c>
      <c r="I939" s="292" t="s">
        <v>1593</v>
      </c>
      <c r="J939" s="292" t="s">
        <v>1359</v>
      </c>
      <c r="K939" s="303" t="s">
        <v>26</v>
      </c>
    </row>
    <row r="940" spans="1:17" ht="12">
      <c r="A940" s="290">
        <v>16912</v>
      </c>
      <c r="B940" s="291" t="s">
        <v>1610</v>
      </c>
      <c r="C940" s="292" t="s">
        <v>1611</v>
      </c>
      <c r="D940" s="292" t="s">
        <v>667</v>
      </c>
      <c r="E940" s="292"/>
      <c r="F940" s="293" t="s">
        <v>42</v>
      </c>
      <c r="G940" s="310" t="s">
        <v>43</v>
      </c>
      <c r="H940" s="311" t="s">
        <v>179</v>
      </c>
      <c r="I940" s="292" t="s">
        <v>1593</v>
      </c>
      <c r="J940" s="292" t="s">
        <v>1359</v>
      </c>
      <c r="K940" s="303" t="s">
        <v>26</v>
      </c>
    </row>
    <row r="941" spans="1:17" ht="12">
      <c r="A941" s="290">
        <v>38222</v>
      </c>
      <c r="B941" s="291" t="s">
        <v>1612</v>
      </c>
      <c r="C941" s="292" t="s">
        <v>1613</v>
      </c>
      <c r="D941" s="292" t="s">
        <v>1497</v>
      </c>
      <c r="E941" s="292"/>
      <c r="F941" s="293" t="s">
        <v>48</v>
      </c>
      <c r="G941" s="310" t="s">
        <v>339</v>
      </c>
      <c r="H941" s="311" t="s">
        <v>65</v>
      </c>
      <c r="I941" s="292" t="s">
        <v>1593</v>
      </c>
      <c r="J941" s="292" t="s">
        <v>1359</v>
      </c>
      <c r="K941" s="303" t="s">
        <v>26</v>
      </c>
      <c r="L941" s="26"/>
      <c r="M941" s="26"/>
      <c r="N941" s="26"/>
      <c r="Q941" s="30"/>
    </row>
    <row r="942" spans="1:17" ht="12">
      <c r="A942" s="290">
        <v>7867</v>
      </c>
      <c r="B942" s="291" t="s">
        <v>1103</v>
      </c>
      <c r="C942" s="297" t="s">
        <v>1104</v>
      </c>
      <c r="D942" s="297" t="s">
        <v>262</v>
      </c>
      <c r="E942" s="297" t="s">
        <v>2103</v>
      </c>
      <c r="F942" s="293" t="s">
        <v>42</v>
      </c>
      <c r="G942" s="310" t="s">
        <v>51</v>
      </c>
      <c r="H942" s="311" t="s">
        <v>238</v>
      </c>
      <c r="I942" s="297" t="s">
        <v>1593</v>
      </c>
      <c r="J942" s="297" t="s">
        <v>1359</v>
      </c>
      <c r="K942" s="303" t="s">
        <v>26</v>
      </c>
    </row>
    <row r="943" spans="1:17" ht="12">
      <c r="A943" s="290">
        <v>7885</v>
      </c>
      <c r="B943" s="291" t="s">
        <v>1187</v>
      </c>
      <c r="C943" s="292" t="s">
        <v>1104</v>
      </c>
      <c r="D943" s="292" t="s">
        <v>81</v>
      </c>
      <c r="E943" s="292"/>
      <c r="F943" s="293" t="s">
        <v>42</v>
      </c>
      <c r="G943" s="310" t="s">
        <v>43</v>
      </c>
      <c r="H943" s="311" t="s">
        <v>238</v>
      </c>
      <c r="I943" s="292" t="s">
        <v>1593</v>
      </c>
      <c r="J943" s="292" t="s">
        <v>1359</v>
      </c>
      <c r="K943" s="303" t="s">
        <v>26</v>
      </c>
    </row>
    <row r="944" spans="1:17" ht="12">
      <c r="A944" s="290">
        <v>7578</v>
      </c>
      <c r="B944" s="291" t="s">
        <v>1614</v>
      </c>
      <c r="C944" s="292" t="s">
        <v>1104</v>
      </c>
      <c r="D944" s="292" t="s">
        <v>1110</v>
      </c>
      <c r="E944" s="292"/>
      <c r="F944" s="293" t="s">
        <v>48</v>
      </c>
      <c r="G944" s="310" t="s">
        <v>49</v>
      </c>
      <c r="H944" s="311" t="s">
        <v>238</v>
      </c>
      <c r="I944" s="292" t="s">
        <v>1593</v>
      </c>
      <c r="J944" s="292" t="s">
        <v>1359</v>
      </c>
      <c r="K944" s="303" t="s">
        <v>26</v>
      </c>
      <c r="L944" s="26"/>
      <c r="M944" s="26"/>
      <c r="N944" s="26"/>
      <c r="Q944" s="30"/>
    </row>
    <row r="945" spans="1:17" ht="12">
      <c r="A945" s="290">
        <v>7341</v>
      </c>
      <c r="B945" s="291">
        <v>9111169</v>
      </c>
      <c r="C945" s="292" t="s">
        <v>1615</v>
      </c>
      <c r="D945" s="292" t="s">
        <v>237</v>
      </c>
      <c r="E945" s="292"/>
      <c r="F945" s="293" t="s">
        <v>42</v>
      </c>
      <c r="G945" s="310" t="s">
        <v>43</v>
      </c>
      <c r="H945" s="311" t="s">
        <v>238</v>
      </c>
      <c r="I945" s="292" t="s">
        <v>1593</v>
      </c>
      <c r="J945" s="292" t="s">
        <v>1359</v>
      </c>
      <c r="K945" s="303" t="s">
        <v>26</v>
      </c>
      <c r="L945" s="26"/>
      <c r="M945" s="26"/>
      <c r="N945" s="26"/>
      <c r="Q945" s="30"/>
    </row>
    <row r="946" spans="1:17" ht="12">
      <c r="A946" s="290">
        <v>25550</v>
      </c>
      <c r="B946" s="291" t="s">
        <v>904</v>
      </c>
      <c r="C946" s="292" t="s">
        <v>905</v>
      </c>
      <c r="D946" s="292" t="s">
        <v>253</v>
      </c>
      <c r="E946" s="292"/>
      <c r="F946" s="293" t="s">
        <v>48</v>
      </c>
      <c r="G946" s="310" t="s">
        <v>78</v>
      </c>
      <c r="H946" s="311" t="s">
        <v>44</v>
      </c>
      <c r="I946" s="292" t="s">
        <v>1593</v>
      </c>
      <c r="J946" s="292" t="s">
        <v>1359</v>
      </c>
      <c r="K946" s="303" t="s">
        <v>26</v>
      </c>
    </row>
    <row r="947" spans="1:17" ht="12">
      <c r="A947" s="290">
        <v>38327</v>
      </c>
      <c r="B947" s="291" t="s">
        <v>1616</v>
      </c>
      <c r="C947" s="292" t="s">
        <v>1333</v>
      </c>
      <c r="D947" s="292" t="s">
        <v>996</v>
      </c>
      <c r="E947" s="292"/>
      <c r="F947" s="293" t="s">
        <v>42</v>
      </c>
      <c r="G947" s="310" t="s">
        <v>359</v>
      </c>
      <c r="H947" s="311" t="s">
        <v>65</v>
      </c>
      <c r="I947" s="292" t="s">
        <v>1593</v>
      </c>
      <c r="J947" s="292" t="s">
        <v>1359</v>
      </c>
      <c r="K947" s="303" t="s">
        <v>26</v>
      </c>
    </row>
    <row r="948" spans="1:17" ht="12">
      <c r="A948" s="290">
        <v>38553</v>
      </c>
      <c r="B948" s="291" t="s">
        <v>1617</v>
      </c>
      <c r="C948" s="292" t="s">
        <v>1335</v>
      </c>
      <c r="D948" s="292" t="s">
        <v>1113</v>
      </c>
      <c r="E948" s="292"/>
      <c r="F948" s="293" t="s">
        <v>48</v>
      </c>
      <c r="G948" s="310" t="s">
        <v>1121</v>
      </c>
      <c r="H948" s="311" t="s">
        <v>65</v>
      </c>
      <c r="I948" s="292" t="s">
        <v>1593</v>
      </c>
      <c r="J948" s="292" t="s">
        <v>1359</v>
      </c>
      <c r="K948" s="303" t="s">
        <v>26</v>
      </c>
      <c r="L948" s="26"/>
      <c r="M948" s="26"/>
      <c r="N948" s="26"/>
      <c r="Q948" s="30"/>
    </row>
    <row r="949" spans="1:17" ht="12">
      <c r="A949" s="290">
        <v>25213</v>
      </c>
      <c r="B949" s="291" t="s">
        <v>1618</v>
      </c>
      <c r="C949" s="292" t="s">
        <v>1619</v>
      </c>
      <c r="D949" s="292" t="s">
        <v>842</v>
      </c>
      <c r="E949" s="292"/>
      <c r="F949" s="293" t="s">
        <v>42</v>
      </c>
      <c r="G949" s="310" t="s">
        <v>43</v>
      </c>
      <c r="H949" s="311" t="s">
        <v>238</v>
      </c>
      <c r="I949" s="292" t="s">
        <v>1593</v>
      </c>
      <c r="J949" s="292" t="s">
        <v>1359</v>
      </c>
      <c r="K949" s="303" t="s">
        <v>26</v>
      </c>
    </row>
    <row r="950" spans="1:17" ht="12">
      <c r="A950" s="290">
        <v>18708</v>
      </c>
      <c r="B950" s="291" t="s">
        <v>1188</v>
      </c>
      <c r="C950" s="292" t="s">
        <v>1189</v>
      </c>
      <c r="D950" s="292" t="s">
        <v>121</v>
      </c>
      <c r="E950" s="292"/>
      <c r="F950" s="293" t="s">
        <v>42</v>
      </c>
      <c r="G950" s="310" t="s">
        <v>43</v>
      </c>
      <c r="H950" s="311" t="s">
        <v>65</v>
      </c>
      <c r="I950" s="297" t="s">
        <v>1593</v>
      </c>
      <c r="J950" s="292" t="s">
        <v>1359</v>
      </c>
      <c r="K950" s="303" t="s">
        <v>26</v>
      </c>
      <c r="L950" s="26"/>
      <c r="M950" s="26"/>
      <c r="N950" s="26"/>
      <c r="Q950" s="30"/>
    </row>
    <row r="951" spans="1:17" ht="12">
      <c r="A951" s="290">
        <v>7576</v>
      </c>
      <c r="B951" s="291" t="s">
        <v>1620</v>
      </c>
      <c r="C951" s="292" t="s">
        <v>1115</v>
      </c>
      <c r="D951" s="292" t="s">
        <v>1406</v>
      </c>
      <c r="E951" s="292"/>
      <c r="F951" s="293" t="s">
        <v>48</v>
      </c>
      <c r="G951" s="310" t="s">
        <v>227</v>
      </c>
      <c r="H951" s="311" t="s">
        <v>65</v>
      </c>
      <c r="I951" s="292" t="s">
        <v>1593</v>
      </c>
      <c r="J951" s="292" t="s">
        <v>1359</v>
      </c>
      <c r="K951" s="303" t="s">
        <v>26</v>
      </c>
      <c r="L951" s="26"/>
      <c r="M951" s="26"/>
      <c r="N951" s="26"/>
      <c r="Q951" s="30"/>
    </row>
    <row r="952" spans="1:17" ht="12">
      <c r="A952" s="290">
        <v>7597</v>
      </c>
      <c r="B952" s="291" t="s">
        <v>1621</v>
      </c>
      <c r="C952" s="292" t="s">
        <v>1115</v>
      </c>
      <c r="D952" s="292" t="s">
        <v>621</v>
      </c>
      <c r="E952" s="292"/>
      <c r="F952" s="293" t="s">
        <v>42</v>
      </c>
      <c r="G952" s="310" t="s">
        <v>51</v>
      </c>
      <c r="H952" s="311" t="s">
        <v>179</v>
      </c>
      <c r="I952" s="292" t="s">
        <v>1593</v>
      </c>
      <c r="J952" s="292" t="s">
        <v>1359</v>
      </c>
      <c r="K952" s="303" t="s">
        <v>26</v>
      </c>
    </row>
    <row r="953" spans="1:17" ht="12">
      <c r="A953" s="290">
        <v>38334</v>
      </c>
      <c r="B953" s="291" t="s">
        <v>1622</v>
      </c>
      <c r="C953" s="292" t="s">
        <v>1623</v>
      </c>
      <c r="D953" s="292" t="s">
        <v>87</v>
      </c>
      <c r="E953" s="292"/>
      <c r="F953" s="293" t="s">
        <v>42</v>
      </c>
      <c r="G953" s="310" t="s">
        <v>359</v>
      </c>
      <c r="H953" s="311" t="s">
        <v>44</v>
      </c>
      <c r="I953" s="292" t="s">
        <v>1593</v>
      </c>
      <c r="J953" s="292" t="s">
        <v>1359</v>
      </c>
      <c r="K953" s="303" t="s">
        <v>26</v>
      </c>
      <c r="L953" s="26"/>
      <c r="M953" s="26"/>
      <c r="N953" s="26"/>
      <c r="Q953" s="30"/>
    </row>
    <row r="954" spans="1:17" ht="12">
      <c r="A954" s="290">
        <v>7440</v>
      </c>
      <c r="B954" s="291" t="s">
        <v>1625</v>
      </c>
      <c r="C954" s="292" t="s">
        <v>776</v>
      </c>
      <c r="D954" s="292" t="s">
        <v>1626</v>
      </c>
      <c r="E954" s="292"/>
      <c r="F954" s="293" t="s">
        <v>48</v>
      </c>
      <c r="G954" s="310" t="s">
        <v>138</v>
      </c>
      <c r="H954" s="311" t="s">
        <v>238</v>
      </c>
      <c r="I954" s="292" t="s">
        <v>1593</v>
      </c>
      <c r="J954" s="292" t="s">
        <v>1359</v>
      </c>
      <c r="K954" s="303" t="s">
        <v>26</v>
      </c>
    </row>
    <row r="955" spans="1:17" ht="12">
      <c r="A955" s="290">
        <v>7580</v>
      </c>
      <c r="B955" s="291" t="s">
        <v>1630</v>
      </c>
      <c r="C955" s="292" t="s">
        <v>1271</v>
      </c>
      <c r="D955" s="292" t="s">
        <v>79</v>
      </c>
      <c r="E955" s="292"/>
      <c r="F955" s="293" t="s">
        <v>42</v>
      </c>
      <c r="G955" s="310" t="s">
        <v>57</v>
      </c>
      <c r="H955" s="311" t="s">
        <v>44</v>
      </c>
      <c r="I955" s="292" t="s">
        <v>1593</v>
      </c>
      <c r="J955" s="292" t="s">
        <v>1359</v>
      </c>
      <c r="K955" s="303" t="s">
        <v>26</v>
      </c>
    </row>
    <row r="956" spans="1:17" ht="12">
      <c r="A956" s="290">
        <v>16965</v>
      </c>
      <c r="B956" s="291" t="s">
        <v>1631</v>
      </c>
      <c r="C956" s="292" t="s">
        <v>1632</v>
      </c>
      <c r="D956" s="292" t="s">
        <v>267</v>
      </c>
      <c r="E956" s="292"/>
      <c r="F956" s="293" t="s">
        <v>42</v>
      </c>
      <c r="G956" s="310" t="s">
        <v>43</v>
      </c>
      <c r="H956" s="311"/>
      <c r="I956" s="292" t="s">
        <v>1593</v>
      </c>
      <c r="J956" s="292" t="s">
        <v>1359</v>
      </c>
      <c r="K956" s="303" t="s">
        <v>26</v>
      </c>
    </row>
    <row r="957" spans="1:17" ht="12">
      <c r="A957" s="290">
        <v>25534</v>
      </c>
      <c r="B957" s="291" t="s">
        <v>1633</v>
      </c>
      <c r="C957" s="292" t="s">
        <v>1634</v>
      </c>
      <c r="D957" s="292" t="s">
        <v>380</v>
      </c>
      <c r="E957" s="292"/>
      <c r="F957" s="293" t="s">
        <v>42</v>
      </c>
      <c r="G957" s="310" t="s">
        <v>43</v>
      </c>
      <c r="H957" s="311" t="s">
        <v>179</v>
      </c>
      <c r="I957" s="292" t="s">
        <v>1593</v>
      </c>
      <c r="J957" s="292" t="s">
        <v>1359</v>
      </c>
      <c r="K957" s="303" t="s">
        <v>26</v>
      </c>
    </row>
    <row r="958" spans="1:17" ht="12">
      <c r="A958" s="290">
        <v>12850</v>
      </c>
      <c r="B958" s="291" t="s">
        <v>934</v>
      </c>
      <c r="C958" s="292" t="s">
        <v>499</v>
      </c>
      <c r="D958" s="292" t="s">
        <v>935</v>
      </c>
      <c r="E958" s="292"/>
      <c r="F958" s="293" t="s">
        <v>48</v>
      </c>
      <c r="G958" s="310" t="s">
        <v>49</v>
      </c>
      <c r="H958" s="311" t="s">
        <v>44</v>
      </c>
      <c r="I958" s="292" t="s">
        <v>1593</v>
      </c>
      <c r="J958" s="292" t="s">
        <v>1359</v>
      </c>
      <c r="K958" s="303" t="s">
        <v>26</v>
      </c>
    </row>
    <row r="959" spans="1:17" ht="12">
      <c r="A959" s="290">
        <v>7865</v>
      </c>
      <c r="B959" s="291" t="s">
        <v>1637</v>
      </c>
      <c r="C959" s="292" t="s">
        <v>1638</v>
      </c>
      <c r="D959" s="292" t="s">
        <v>86</v>
      </c>
      <c r="E959" s="292"/>
      <c r="F959" s="293" t="s">
        <v>42</v>
      </c>
      <c r="G959" s="310" t="s">
        <v>43</v>
      </c>
      <c r="H959" s="311" t="s">
        <v>238</v>
      </c>
      <c r="I959" s="297" t="s">
        <v>1593</v>
      </c>
      <c r="J959" s="292" t="s">
        <v>1359</v>
      </c>
      <c r="K959" s="303" t="s">
        <v>26</v>
      </c>
      <c r="L959" s="26"/>
      <c r="M959" s="26"/>
      <c r="N959" s="26"/>
      <c r="Q959" s="30"/>
    </row>
    <row r="960" spans="1:17" ht="12">
      <c r="A960" s="290">
        <v>16998</v>
      </c>
      <c r="B960" s="291" t="s">
        <v>943</v>
      </c>
      <c r="C960" s="292" t="s">
        <v>668</v>
      </c>
      <c r="D960" s="292" t="s">
        <v>944</v>
      </c>
      <c r="E960" s="292"/>
      <c r="F960" s="293" t="s">
        <v>42</v>
      </c>
      <c r="G960" s="310" t="s">
        <v>51</v>
      </c>
      <c r="H960" s="311" t="s">
        <v>179</v>
      </c>
      <c r="I960" s="292" t="s">
        <v>1593</v>
      </c>
      <c r="J960" s="292" t="s">
        <v>1359</v>
      </c>
      <c r="K960" s="303" t="s">
        <v>26</v>
      </c>
    </row>
    <row r="961" spans="1:17" ht="12">
      <c r="A961" s="290">
        <v>16594</v>
      </c>
      <c r="B961" s="291" t="s">
        <v>1639</v>
      </c>
      <c r="C961" s="292" t="s">
        <v>191</v>
      </c>
      <c r="D961" s="292" t="s">
        <v>321</v>
      </c>
      <c r="E961" s="292"/>
      <c r="F961" s="293" t="s">
        <v>48</v>
      </c>
      <c r="G961" s="310" t="s">
        <v>138</v>
      </c>
      <c r="H961" s="311" t="s">
        <v>44</v>
      </c>
      <c r="I961" s="292" t="s">
        <v>1593</v>
      </c>
      <c r="J961" s="292" t="s">
        <v>1359</v>
      </c>
      <c r="K961" s="303" t="s">
        <v>26</v>
      </c>
    </row>
    <row r="962" spans="1:17" ht="12">
      <c r="A962" s="290">
        <v>16595</v>
      </c>
      <c r="B962" s="291" t="s">
        <v>1640</v>
      </c>
      <c r="C962" s="292" t="s">
        <v>191</v>
      </c>
      <c r="D962" s="292" t="s">
        <v>506</v>
      </c>
      <c r="E962" s="292"/>
      <c r="F962" s="293" t="s">
        <v>48</v>
      </c>
      <c r="G962" s="310" t="s">
        <v>78</v>
      </c>
      <c r="H962" s="311" t="s">
        <v>179</v>
      </c>
      <c r="I962" s="292" t="s">
        <v>1593</v>
      </c>
      <c r="J962" s="292" t="s">
        <v>1359</v>
      </c>
      <c r="K962" s="303" t="s">
        <v>26</v>
      </c>
    </row>
    <row r="963" spans="1:17" ht="12">
      <c r="A963" s="290">
        <v>38350</v>
      </c>
      <c r="B963" s="291" t="s">
        <v>1641</v>
      </c>
      <c r="C963" s="292" t="s">
        <v>1642</v>
      </c>
      <c r="D963" s="292" t="s">
        <v>430</v>
      </c>
      <c r="E963" s="292"/>
      <c r="F963" s="293" t="s">
        <v>48</v>
      </c>
      <c r="G963" s="310" t="s">
        <v>339</v>
      </c>
      <c r="H963" s="311" t="s">
        <v>65</v>
      </c>
      <c r="I963" s="292" t="s">
        <v>1593</v>
      </c>
      <c r="J963" s="292" t="s">
        <v>1359</v>
      </c>
      <c r="K963" s="303" t="s">
        <v>26</v>
      </c>
    </row>
    <row r="964" spans="1:17" ht="12">
      <c r="A964" s="290">
        <v>7485</v>
      </c>
      <c r="B964" s="291" t="s">
        <v>1643</v>
      </c>
      <c r="C964" s="292" t="s">
        <v>1644</v>
      </c>
      <c r="D964" s="292" t="s">
        <v>178</v>
      </c>
      <c r="E964" s="292"/>
      <c r="F964" s="293" t="s">
        <v>42</v>
      </c>
      <c r="G964" s="310" t="s">
        <v>43</v>
      </c>
      <c r="H964" s="311" t="s">
        <v>65</v>
      </c>
      <c r="I964" s="292" t="s">
        <v>1593</v>
      </c>
      <c r="J964" s="292" t="s">
        <v>1359</v>
      </c>
      <c r="K964" s="303" t="s">
        <v>26</v>
      </c>
      <c r="L964" s="26"/>
      <c r="M964" s="26"/>
      <c r="N964" s="26"/>
      <c r="Q964" s="30"/>
    </row>
    <row r="965" spans="1:17" ht="12">
      <c r="A965" s="290">
        <v>7991</v>
      </c>
      <c r="B965" s="291" t="s">
        <v>1645</v>
      </c>
      <c r="C965" s="297" t="s">
        <v>497</v>
      </c>
      <c r="D965" s="297" t="s">
        <v>1646</v>
      </c>
      <c r="E965" s="297" t="s">
        <v>2103</v>
      </c>
      <c r="F965" s="293" t="s">
        <v>48</v>
      </c>
      <c r="G965" s="310" t="s">
        <v>49</v>
      </c>
      <c r="H965" s="311" t="s">
        <v>50</v>
      </c>
      <c r="I965" s="297" t="s">
        <v>1593</v>
      </c>
      <c r="J965" s="297" t="s">
        <v>1359</v>
      </c>
      <c r="K965" s="303" t="s">
        <v>26</v>
      </c>
    </row>
    <row r="966" spans="1:17" ht="12">
      <c r="A966" s="290">
        <v>7071</v>
      </c>
      <c r="B966" s="291" t="s">
        <v>948</v>
      </c>
      <c r="C966" s="292" t="s">
        <v>949</v>
      </c>
      <c r="D966" s="292" t="s">
        <v>111</v>
      </c>
      <c r="E966" s="292"/>
      <c r="F966" s="293" t="s">
        <v>42</v>
      </c>
      <c r="G966" s="310" t="s">
        <v>57</v>
      </c>
      <c r="H966" s="311" t="s">
        <v>179</v>
      </c>
      <c r="I966" s="292" t="s">
        <v>1593</v>
      </c>
      <c r="J966" s="292" t="s">
        <v>1359</v>
      </c>
      <c r="K966" s="303" t="s">
        <v>26</v>
      </c>
    </row>
    <row r="967" spans="1:17" ht="12">
      <c r="A967" s="290">
        <v>38621</v>
      </c>
      <c r="B967" s="291" t="s">
        <v>1647</v>
      </c>
      <c r="C967" s="292" t="s">
        <v>1648</v>
      </c>
      <c r="D967" s="292" t="s">
        <v>1649</v>
      </c>
      <c r="E967" s="292"/>
      <c r="F967" s="293" t="s">
        <v>42</v>
      </c>
      <c r="G967" s="294" t="s">
        <v>359</v>
      </c>
      <c r="H967" s="295">
        <v>0</v>
      </c>
      <c r="I967" s="292" t="s">
        <v>1593</v>
      </c>
      <c r="J967" s="292" t="s">
        <v>1359</v>
      </c>
      <c r="K967" s="303" t="s">
        <v>26</v>
      </c>
    </row>
    <row r="968" spans="1:17" ht="12">
      <c r="A968" s="290">
        <v>16093</v>
      </c>
      <c r="B968" s="291" t="s">
        <v>268</v>
      </c>
      <c r="C968" s="292" t="s">
        <v>269</v>
      </c>
      <c r="D968" s="292" t="s">
        <v>270</v>
      </c>
      <c r="E968" s="292"/>
      <c r="F968" s="293" t="s">
        <v>48</v>
      </c>
      <c r="G968" s="310" t="s">
        <v>78</v>
      </c>
      <c r="H968" s="311" t="s">
        <v>65</v>
      </c>
      <c r="I968" s="292" t="s">
        <v>1593</v>
      </c>
      <c r="J968" s="292" t="s">
        <v>1359</v>
      </c>
      <c r="K968" s="303" t="s">
        <v>26</v>
      </c>
      <c r="L968" s="26"/>
      <c r="M968" s="26"/>
      <c r="N968" s="26"/>
      <c r="Q968" s="30"/>
    </row>
    <row r="969" spans="1:17" ht="12">
      <c r="A969" s="290">
        <v>7061</v>
      </c>
      <c r="B969" s="291" t="s">
        <v>1245</v>
      </c>
      <c r="C969" s="292" t="s">
        <v>1246</v>
      </c>
      <c r="D969" s="292" t="s">
        <v>229</v>
      </c>
      <c r="E969" s="292"/>
      <c r="F969" s="293" t="s">
        <v>48</v>
      </c>
      <c r="G969" s="310" t="s">
        <v>138</v>
      </c>
      <c r="H969" s="311" t="s">
        <v>44</v>
      </c>
      <c r="I969" s="292" t="s">
        <v>1593</v>
      </c>
      <c r="J969" s="292" t="s">
        <v>1359</v>
      </c>
      <c r="K969" s="303" t="s">
        <v>26</v>
      </c>
      <c r="L969" s="26"/>
      <c r="M969" s="26"/>
      <c r="N969" s="26"/>
      <c r="Q969" s="30"/>
    </row>
    <row r="970" spans="1:17" ht="12">
      <c r="A970" s="290">
        <v>38655</v>
      </c>
      <c r="B970" s="291" t="s">
        <v>1651</v>
      </c>
      <c r="C970" s="292" t="s">
        <v>1652</v>
      </c>
      <c r="D970" s="292" t="s">
        <v>1653</v>
      </c>
      <c r="E970" s="292"/>
      <c r="F970" s="293" t="s">
        <v>42</v>
      </c>
      <c r="G970" s="310" t="s">
        <v>359</v>
      </c>
      <c r="H970" s="311" t="s">
        <v>179</v>
      </c>
      <c r="I970" s="292" t="s">
        <v>1593</v>
      </c>
      <c r="J970" s="292" t="s">
        <v>1359</v>
      </c>
      <c r="K970" s="303" t="s">
        <v>26</v>
      </c>
    </row>
    <row r="971" spans="1:17" ht="12">
      <c r="A971" s="290">
        <v>25203</v>
      </c>
      <c r="B971" s="291" t="s">
        <v>1654</v>
      </c>
      <c r="C971" s="297" t="s">
        <v>1655</v>
      </c>
      <c r="D971" s="297" t="s">
        <v>164</v>
      </c>
      <c r="E971" s="297" t="s">
        <v>2103</v>
      </c>
      <c r="F971" s="293" t="s">
        <v>42</v>
      </c>
      <c r="G971" s="310" t="s">
        <v>43</v>
      </c>
      <c r="H971" s="311" t="s">
        <v>179</v>
      </c>
      <c r="I971" s="297" t="s">
        <v>1593</v>
      </c>
      <c r="J971" s="297" t="s">
        <v>1359</v>
      </c>
      <c r="K971" s="303" t="s">
        <v>26</v>
      </c>
    </row>
    <row r="972" spans="1:17" ht="12">
      <c r="A972" s="290">
        <v>25204</v>
      </c>
      <c r="B972" s="291" t="s">
        <v>1656</v>
      </c>
      <c r="C972" s="297" t="s">
        <v>1655</v>
      </c>
      <c r="D972" s="297" t="s">
        <v>205</v>
      </c>
      <c r="E972" s="297" t="s">
        <v>2103</v>
      </c>
      <c r="F972" s="293" t="s">
        <v>42</v>
      </c>
      <c r="G972" s="310" t="s">
        <v>43</v>
      </c>
      <c r="H972" s="311" t="s">
        <v>65</v>
      </c>
      <c r="I972" s="297" t="s">
        <v>1593</v>
      </c>
      <c r="J972" s="297" t="s">
        <v>1359</v>
      </c>
      <c r="K972" s="303" t="s">
        <v>26</v>
      </c>
    </row>
    <row r="973" spans="1:17" ht="12">
      <c r="A973" s="290">
        <v>25205</v>
      </c>
      <c r="B973" s="291" t="s">
        <v>1657</v>
      </c>
      <c r="C973" s="297" t="s">
        <v>1655</v>
      </c>
      <c r="D973" s="297" t="s">
        <v>135</v>
      </c>
      <c r="E973" s="297" t="s">
        <v>2103</v>
      </c>
      <c r="F973" s="293" t="s">
        <v>42</v>
      </c>
      <c r="G973" s="310" t="s">
        <v>43</v>
      </c>
      <c r="H973" s="311" t="s">
        <v>238</v>
      </c>
      <c r="I973" s="297" t="s">
        <v>1593</v>
      </c>
      <c r="J973" s="297" t="s">
        <v>1359</v>
      </c>
      <c r="K973" s="303" t="s">
        <v>26</v>
      </c>
    </row>
    <row r="974" spans="1:17" ht="12">
      <c r="A974" s="290">
        <v>25557</v>
      </c>
      <c r="B974" s="291" t="s">
        <v>1658</v>
      </c>
      <c r="C974" s="292" t="s">
        <v>1655</v>
      </c>
      <c r="D974" s="292" t="s">
        <v>703</v>
      </c>
      <c r="E974" s="292"/>
      <c r="F974" s="293" t="s">
        <v>42</v>
      </c>
      <c r="G974" s="310" t="s">
        <v>43</v>
      </c>
      <c r="H974" s="311" t="s">
        <v>238</v>
      </c>
      <c r="I974" s="292" t="s">
        <v>1593</v>
      </c>
      <c r="J974" s="292" t="s">
        <v>1359</v>
      </c>
      <c r="K974" s="303" t="s">
        <v>26</v>
      </c>
    </row>
    <row r="975" spans="1:17" ht="12">
      <c r="A975" s="290">
        <v>25830</v>
      </c>
      <c r="B975" s="291" t="s">
        <v>2335</v>
      </c>
      <c r="C975" s="292" t="s">
        <v>1655</v>
      </c>
      <c r="D975" s="292" t="s">
        <v>996</v>
      </c>
      <c r="E975" s="292"/>
      <c r="F975" s="293" t="s">
        <v>42</v>
      </c>
      <c r="G975" s="310" t="s">
        <v>93</v>
      </c>
      <c r="H975" s="311" t="s">
        <v>238</v>
      </c>
      <c r="I975" s="292" t="s">
        <v>1593</v>
      </c>
      <c r="J975" s="292" t="s">
        <v>1359</v>
      </c>
      <c r="K975" s="303" t="s">
        <v>26</v>
      </c>
    </row>
    <row r="976" spans="1:17" ht="12">
      <c r="A976" s="290">
        <v>26157</v>
      </c>
      <c r="B976" s="291" t="s">
        <v>1929</v>
      </c>
      <c r="C976" s="292" t="s">
        <v>1930</v>
      </c>
      <c r="D976" s="292" t="s">
        <v>837</v>
      </c>
      <c r="E976" s="292"/>
      <c r="F976" s="293" t="s">
        <v>42</v>
      </c>
      <c r="G976" s="310" t="s">
        <v>43</v>
      </c>
      <c r="H976" s="311" t="s">
        <v>238</v>
      </c>
      <c r="I976" s="292" t="s">
        <v>1593</v>
      </c>
      <c r="J976" s="292" t="s">
        <v>1359</v>
      </c>
      <c r="K976" s="303" t="s">
        <v>26</v>
      </c>
    </row>
    <row r="977" spans="1:17" ht="12">
      <c r="A977" s="290">
        <v>38626</v>
      </c>
      <c r="B977" s="291" t="s">
        <v>1676</v>
      </c>
      <c r="C977" s="292" t="s">
        <v>1677</v>
      </c>
      <c r="D977" s="292" t="s">
        <v>124</v>
      </c>
      <c r="E977" s="292"/>
      <c r="F977" s="293" t="s">
        <v>42</v>
      </c>
      <c r="G977" s="310" t="s">
        <v>359</v>
      </c>
      <c r="H977" s="311" t="s">
        <v>65</v>
      </c>
      <c r="I977" s="292" t="s">
        <v>1593</v>
      </c>
      <c r="J977" s="292" t="s">
        <v>1359</v>
      </c>
      <c r="K977" s="303" t="s">
        <v>26</v>
      </c>
    </row>
    <row r="978" spans="1:17" ht="12">
      <c r="A978" s="290">
        <v>7573</v>
      </c>
      <c r="B978" s="291" t="s">
        <v>1659</v>
      </c>
      <c r="C978" s="292" t="s">
        <v>1660</v>
      </c>
      <c r="D978" s="292" t="s">
        <v>314</v>
      </c>
      <c r="E978" s="292"/>
      <c r="F978" s="293" t="s">
        <v>42</v>
      </c>
      <c r="G978" s="310" t="s">
        <v>51</v>
      </c>
      <c r="H978" s="311" t="s">
        <v>65</v>
      </c>
      <c r="I978" s="292" t="s">
        <v>1593</v>
      </c>
      <c r="J978" s="292" t="s">
        <v>1359</v>
      </c>
      <c r="K978" s="303" t="s">
        <v>26</v>
      </c>
    </row>
    <row r="979" spans="1:17" ht="12">
      <c r="A979" s="290">
        <v>38672</v>
      </c>
      <c r="B979" s="291" t="s">
        <v>1661</v>
      </c>
      <c r="C979" s="292" t="s">
        <v>1662</v>
      </c>
      <c r="D979" s="292" t="s">
        <v>490</v>
      </c>
      <c r="E979" s="292"/>
      <c r="F979" s="293" t="s">
        <v>42</v>
      </c>
      <c r="G979" s="310" t="s">
        <v>359</v>
      </c>
      <c r="H979" s="311" t="s">
        <v>44</v>
      </c>
      <c r="I979" s="292" t="s">
        <v>254</v>
      </c>
      <c r="J979" s="292" t="s">
        <v>1359</v>
      </c>
      <c r="K979" s="303" t="s">
        <v>26</v>
      </c>
    </row>
    <row r="980" spans="1:17" ht="12">
      <c r="A980" s="290">
        <v>38867</v>
      </c>
      <c r="B980" s="291" t="s">
        <v>2331</v>
      </c>
      <c r="C980" s="292" t="s">
        <v>2332</v>
      </c>
      <c r="D980" s="292" t="s">
        <v>2333</v>
      </c>
      <c r="E980" s="292"/>
      <c r="F980" s="293" t="s">
        <v>42</v>
      </c>
      <c r="G980" s="310" t="s">
        <v>88</v>
      </c>
      <c r="H980" s="311"/>
      <c r="I980" s="292" t="s">
        <v>254</v>
      </c>
      <c r="J980" s="292" t="s">
        <v>1359</v>
      </c>
      <c r="K980" s="303" t="s">
        <v>26</v>
      </c>
    </row>
    <row r="981" spans="1:17" ht="12">
      <c r="A981" s="290">
        <v>25127</v>
      </c>
      <c r="B981" s="291" t="s">
        <v>1682</v>
      </c>
      <c r="C981" s="297" t="s">
        <v>1683</v>
      </c>
      <c r="D981" s="297" t="s">
        <v>106</v>
      </c>
      <c r="E981" s="297" t="s">
        <v>2103</v>
      </c>
      <c r="F981" s="293" t="s">
        <v>42</v>
      </c>
      <c r="G981" s="310" t="s">
        <v>51</v>
      </c>
      <c r="H981" s="311" t="s">
        <v>238</v>
      </c>
      <c r="I981" s="292" t="s">
        <v>254</v>
      </c>
      <c r="J981" s="297" t="s">
        <v>1359</v>
      </c>
      <c r="K981" s="303" t="s">
        <v>26</v>
      </c>
    </row>
    <row r="982" spans="1:17" ht="12">
      <c r="A982" s="290">
        <v>25857</v>
      </c>
      <c r="B982" s="291" t="s">
        <v>1421</v>
      </c>
      <c r="C982" s="292" t="s">
        <v>1215</v>
      </c>
      <c r="D982" s="292" t="s">
        <v>1422</v>
      </c>
      <c r="E982" s="292"/>
      <c r="F982" s="293" t="s">
        <v>48</v>
      </c>
      <c r="G982" s="310" t="s">
        <v>339</v>
      </c>
      <c r="H982" s="311" t="s">
        <v>179</v>
      </c>
      <c r="I982" s="292" t="s">
        <v>254</v>
      </c>
      <c r="J982" s="292" t="s">
        <v>1359</v>
      </c>
      <c r="K982" s="303" t="s">
        <v>26</v>
      </c>
    </row>
    <row r="983" spans="1:17" ht="12">
      <c r="A983" s="290">
        <v>25388</v>
      </c>
      <c r="B983" s="291" t="s">
        <v>2010</v>
      </c>
      <c r="C983" s="297" t="s">
        <v>2011</v>
      </c>
      <c r="D983" s="297" t="s">
        <v>183</v>
      </c>
      <c r="E983" s="297" t="s">
        <v>2103</v>
      </c>
      <c r="F983" s="293" t="s">
        <v>42</v>
      </c>
      <c r="G983" s="310" t="s">
        <v>51</v>
      </c>
      <c r="H983" s="311"/>
      <c r="I983" s="297" t="s">
        <v>254</v>
      </c>
      <c r="J983" s="297" t="s">
        <v>1359</v>
      </c>
      <c r="K983" s="303" t="s">
        <v>26</v>
      </c>
      <c r="L983" s="26"/>
      <c r="M983" s="26"/>
      <c r="N983" s="26"/>
      <c r="Q983" s="30"/>
    </row>
    <row r="984" spans="1:17" ht="12">
      <c r="A984" s="290">
        <v>38806</v>
      </c>
      <c r="B984" s="291" t="s">
        <v>2237</v>
      </c>
      <c r="C984" s="292" t="s">
        <v>1623</v>
      </c>
      <c r="D984" s="292" t="s">
        <v>1883</v>
      </c>
      <c r="E984" s="292"/>
      <c r="F984" s="293" t="s">
        <v>42</v>
      </c>
      <c r="G984" s="310" t="s">
        <v>88</v>
      </c>
      <c r="H984" s="311" t="s">
        <v>103</v>
      </c>
      <c r="I984" s="292" t="s">
        <v>254</v>
      </c>
      <c r="J984" s="292" t="s">
        <v>1359</v>
      </c>
      <c r="K984" s="303" t="s">
        <v>26</v>
      </c>
      <c r="L984" s="26"/>
      <c r="M984" s="26"/>
      <c r="N984" s="26"/>
      <c r="Q984" s="30"/>
    </row>
    <row r="985" spans="1:17" ht="12">
      <c r="A985" s="290">
        <v>7558</v>
      </c>
      <c r="B985" s="291" t="s">
        <v>1624</v>
      </c>
      <c r="C985" s="292" t="s">
        <v>1489</v>
      </c>
      <c r="D985" s="292" t="s">
        <v>314</v>
      </c>
      <c r="E985" s="292"/>
      <c r="F985" s="293" t="s">
        <v>42</v>
      </c>
      <c r="G985" s="310" t="s">
        <v>57</v>
      </c>
      <c r="H985" s="311" t="s">
        <v>65</v>
      </c>
      <c r="I985" s="292" t="s">
        <v>254</v>
      </c>
      <c r="J985" s="292" t="s">
        <v>1359</v>
      </c>
      <c r="K985" s="303" t="s">
        <v>26</v>
      </c>
      <c r="L985" s="26"/>
      <c r="M985" s="26"/>
      <c r="N985" s="26"/>
      <c r="Q985" s="30"/>
    </row>
    <row r="986" spans="1:17" ht="12">
      <c r="A986" s="290">
        <v>7561</v>
      </c>
      <c r="B986" s="291" t="s">
        <v>1636</v>
      </c>
      <c r="C986" s="292" t="s">
        <v>1430</v>
      </c>
      <c r="D986" s="292" t="s">
        <v>64</v>
      </c>
      <c r="E986" s="292"/>
      <c r="F986" s="293" t="s">
        <v>42</v>
      </c>
      <c r="G986" s="310" t="s">
        <v>51</v>
      </c>
      <c r="H986" s="311" t="s">
        <v>179</v>
      </c>
      <c r="I986" s="292" t="s">
        <v>254</v>
      </c>
      <c r="J986" s="292" t="s">
        <v>1359</v>
      </c>
      <c r="K986" s="303" t="s">
        <v>26</v>
      </c>
      <c r="L986" s="26"/>
      <c r="M986" s="26"/>
      <c r="N986" s="26"/>
      <c r="Q986" s="30"/>
    </row>
    <row r="987" spans="1:17" ht="12">
      <c r="A987" s="290">
        <v>7565</v>
      </c>
      <c r="B987" s="291" t="s">
        <v>2238</v>
      </c>
      <c r="C987" s="292" t="s">
        <v>2239</v>
      </c>
      <c r="D987" s="292" t="s">
        <v>852</v>
      </c>
      <c r="E987" s="292"/>
      <c r="F987" s="293" t="s">
        <v>42</v>
      </c>
      <c r="G987" s="294" t="s">
        <v>57</v>
      </c>
      <c r="H987" s="295">
        <v>0</v>
      </c>
      <c r="I987" s="292" t="s">
        <v>254</v>
      </c>
      <c r="J987" s="292" t="s">
        <v>1359</v>
      </c>
      <c r="K987" s="303" t="s">
        <v>26</v>
      </c>
    </row>
    <row r="988" spans="1:17" ht="12">
      <c r="A988" s="290">
        <v>25631</v>
      </c>
      <c r="B988" s="291">
        <v>9079766</v>
      </c>
      <c r="C988" s="292" t="s">
        <v>1672</v>
      </c>
      <c r="D988" s="292" t="s">
        <v>1673</v>
      </c>
      <c r="E988" s="292"/>
      <c r="F988" s="293" t="s">
        <v>42</v>
      </c>
      <c r="G988" s="310" t="s">
        <v>57</v>
      </c>
      <c r="H988" s="311" t="s">
        <v>65</v>
      </c>
      <c r="I988" s="292" t="s">
        <v>254</v>
      </c>
      <c r="J988" s="292" t="s">
        <v>1359</v>
      </c>
      <c r="K988" s="303" t="s">
        <v>26</v>
      </c>
    </row>
    <row r="989" spans="1:17" ht="12">
      <c r="A989" s="290">
        <v>38676</v>
      </c>
      <c r="B989" s="291" t="s">
        <v>1674</v>
      </c>
      <c r="C989" s="292" t="s">
        <v>1675</v>
      </c>
      <c r="D989" s="292" t="s">
        <v>753</v>
      </c>
      <c r="E989" s="292"/>
      <c r="F989" s="293" t="s">
        <v>42</v>
      </c>
      <c r="G989" s="310" t="s">
        <v>359</v>
      </c>
      <c r="H989" s="311"/>
      <c r="I989" s="292" t="s">
        <v>254</v>
      </c>
      <c r="J989" s="292" t="s">
        <v>1359</v>
      </c>
      <c r="K989" s="303" t="s">
        <v>26</v>
      </c>
    </row>
    <row r="990" spans="1:17" ht="12">
      <c r="A990" s="290">
        <v>38526</v>
      </c>
      <c r="B990" s="291" t="s">
        <v>2328</v>
      </c>
      <c r="C990" s="292" t="s">
        <v>2329</v>
      </c>
      <c r="D990" s="292" t="s">
        <v>2330</v>
      </c>
      <c r="E990" s="292"/>
      <c r="F990" s="293" t="s">
        <v>48</v>
      </c>
      <c r="G990" s="310" t="s">
        <v>1121</v>
      </c>
      <c r="H990" s="311"/>
      <c r="I990" s="292" t="s">
        <v>254</v>
      </c>
      <c r="J990" s="292" t="s">
        <v>1359</v>
      </c>
      <c r="K990" s="303" t="s">
        <v>26</v>
      </c>
      <c r="L990" s="26"/>
      <c r="M990" s="26"/>
      <c r="N990" s="26"/>
      <c r="Q990" s="30"/>
    </row>
    <row r="991" spans="1:17" ht="12">
      <c r="A991" s="290">
        <v>38538</v>
      </c>
      <c r="B991" s="291" t="s">
        <v>1650</v>
      </c>
      <c r="C991" s="292" t="s">
        <v>198</v>
      </c>
      <c r="D991" s="292" t="s">
        <v>1422</v>
      </c>
      <c r="E991" s="292"/>
      <c r="F991" s="293" t="s">
        <v>48</v>
      </c>
      <c r="G991" s="310" t="s">
        <v>78</v>
      </c>
      <c r="H991" s="311" t="s">
        <v>65</v>
      </c>
      <c r="I991" s="292" t="s">
        <v>254</v>
      </c>
      <c r="J991" s="292" t="s">
        <v>1359</v>
      </c>
      <c r="K991" s="303" t="s">
        <v>26</v>
      </c>
      <c r="L991" s="26"/>
      <c r="M991" s="26"/>
      <c r="N991" s="26"/>
      <c r="Q991" s="30"/>
    </row>
    <row r="992" spans="1:17" ht="12">
      <c r="A992" s="290">
        <v>38835</v>
      </c>
      <c r="B992" s="291" t="s">
        <v>2240</v>
      </c>
      <c r="C992" s="292" t="s">
        <v>198</v>
      </c>
      <c r="D992" s="292" t="s">
        <v>2241</v>
      </c>
      <c r="E992" s="292"/>
      <c r="F992" s="293" t="s">
        <v>42</v>
      </c>
      <c r="G992" s="310" t="s">
        <v>359</v>
      </c>
      <c r="H992" s="311" t="s">
        <v>103</v>
      </c>
      <c r="I992" s="292" t="s">
        <v>254</v>
      </c>
      <c r="J992" s="292" t="s">
        <v>1359</v>
      </c>
      <c r="K992" s="303" t="s">
        <v>26</v>
      </c>
      <c r="L992" s="26"/>
      <c r="M992" s="26"/>
      <c r="N992" s="26"/>
      <c r="Q992" s="30"/>
    </row>
    <row r="993" spans="1:17" ht="12">
      <c r="A993" s="290">
        <v>7650</v>
      </c>
      <c r="B993" s="291" t="s">
        <v>1679</v>
      </c>
      <c r="C993" s="292" t="s">
        <v>1680</v>
      </c>
      <c r="D993" s="292" t="s">
        <v>1139</v>
      </c>
      <c r="E993" s="292"/>
      <c r="F993" s="293" t="s">
        <v>42</v>
      </c>
      <c r="G993" s="310" t="s">
        <v>43</v>
      </c>
      <c r="H993" s="311" t="s">
        <v>179</v>
      </c>
      <c r="I993" s="292" t="s">
        <v>1678</v>
      </c>
      <c r="J993" s="292" t="s">
        <v>1359</v>
      </c>
      <c r="K993" s="303" t="s">
        <v>26</v>
      </c>
      <c r="L993" s="26"/>
      <c r="M993" s="26"/>
      <c r="N993" s="26"/>
      <c r="Q993" s="30"/>
    </row>
    <row r="994" spans="1:17" ht="12">
      <c r="A994" s="290">
        <v>38728</v>
      </c>
      <c r="B994" s="291" t="s">
        <v>1931</v>
      </c>
      <c r="C994" s="297" t="s">
        <v>1932</v>
      </c>
      <c r="D994" s="297" t="s">
        <v>1720</v>
      </c>
      <c r="E994" s="297" t="s">
        <v>2103</v>
      </c>
      <c r="F994" s="293" t="s">
        <v>42</v>
      </c>
      <c r="G994" s="310" t="s">
        <v>43</v>
      </c>
      <c r="H994" s="311"/>
      <c r="I994" s="297" t="s">
        <v>1678</v>
      </c>
      <c r="J994" s="297" t="s">
        <v>1359</v>
      </c>
      <c r="K994" s="303" t="s">
        <v>26</v>
      </c>
      <c r="L994" s="26"/>
      <c r="M994" s="26"/>
      <c r="N994" s="26"/>
      <c r="Q994" s="30"/>
    </row>
    <row r="995" spans="1:17" ht="12">
      <c r="A995" s="290">
        <v>38681</v>
      </c>
      <c r="B995" s="291" t="s">
        <v>1684</v>
      </c>
      <c r="C995" s="292" t="s">
        <v>1685</v>
      </c>
      <c r="D995" s="292" t="s">
        <v>1686</v>
      </c>
      <c r="E995" s="292"/>
      <c r="F995" s="293" t="s">
        <v>42</v>
      </c>
      <c r="G995" s="310" t="s">
        <v>43</v>
      </c>
      <c r="H995" s="311" t="s">
        <v>44</v>
      </c>
      <c r="I995" s="292" t="s">
        <v>1678</v>
      </c>
      <c r="J995" s="292" t="s">
        <v>1359</v>
      </c>
      <c r="K995" s="303" t="s">
        <v>26</v>
      </c>
      <c r="L995" s="26"/>
      <c r="M995" s="26"/>
      <c r="N995" s="26"/>
      <c r="Q995" s="30"/>
    </row>
    <row r="996" spans="1:17" ht="12">
      <c r="A996" s="290">
        <v>25629</v>
      </c>
      <c r="B996" s="291">
        <v>9079768</v>
      </c>
      <c r="C996" s="292" t="s">
        <v>1687</v>
      </c>
      <c r="D996" s="292" t="s">
        <v>267</v>
      </c>
      <c r="E996" s="292"/>
      <c r="F996" s="293" t="s">
        <v>42</v>
      </c>
      <c r="G996" s="310" t="s">
        <v>43</v>
      </c>
      <c r="H996" s="311" t="s">
        <v>65</v>
      </c>
      <c r="I996" s="292" t="s">
        <v>1678</v>
      </c>
      <c r="J996" s="292" t="s">
        <v>1359</v>
      </c>
      <c r="K996" s="303" t="s">
        <v>26</v>
      </c>
    </row>
    <row r="997" spans="1:17" ht="12">
      <c r="A997" s="290">
        <v>25972</v>
      </c>
      <c r="B997" s="291" t="s">
        <v>1689</v>
      </c>
      <c r="C997" s="297" t="s">
        <v>1623</v>
      </c>
      <c r="D997" s="297" t="s">
        <v>119</v>
      </c>
      <c r="E997" s="297" t="s">
        <v>2103</v>
      </c>
      <c r="F997" s="293" t="s">
        <v>42</v>
      </c>
      <c r="G997" s="310" t="s">
        <v>43</v>
      </c>
      <c r="H997" s="311" t="s">
        <v>44</v>
      </c>
      <c r="I997" s="297" t="s">
        <v>1678</v>
      </c>
      <c r="J997" s="297" t="s">
        <v>1359</v>
      </c>
      <c r="K997" s="303" t="s">
        <v>26</v>
      </c>
    </row>
    <row r="998" spans="1:17" ht="12">
      <c r="A998" s="290">
        <v>25279</v>
      </c>
      <c r="B998" s="291" t="s">
        <v>1690</v>
      </c>
      <c r="C998" s="292" t="s">
        <v>1691</v>
      </c>
      <c r="D998" s="292" t="s">
        <v>119</v>
      </c>
      <c r="E998" s="292"/>
      <c r="F998" s="293" t="s">
        <v>42</v>
      </c>
      <c r="G998" s="310" t="s">
        <v>57</v>
      </c>
      <c r="H998" s="311" t="s">
        <v>44</v>
      </c>
      <c r="I998" s="292" t="s">
        <v>1678</v>
      </c>
      <c r="J998" s="292" t="s">
        <v>1359</v>
      </c>
      <c r="K998" s="303" t="s">
        <v>26</v>
      </c>
    </row>
    <row r="999" spans="1:17" ht="12">
      <c r="A999" s="290">
        <v>38344</v>
      </c>
      <c r="B999" s="291" t="s">
        <v>1695</v>
      </c>
      <c r="C999" s="292" t="s">
        <v>1696</v>
      </c>
      <c r="D999" s="292" t="s">
        <v>142</v>
      </c>
      <c r="E999" s="292"/>
      <c r="F999" s="293" t="s">
        <v>42</v>
      </c>
      <c r="G999" s="310" t="s">
        <v>66</v>
      </c>
      <c r="H999" s="311"/>
      <c r="I999" s="292" t="s">
        <v>1678</v>
      </c>
      <c r="J999" s="292" t="s">
        <v>1359</v>
      </c>
      <c r="K999" s="303" t="s">
        <v>26</v>
      </c>
    </row>
    <row r="1000" spans="1:17" ht="12">
      <c r="A1000" s="290">
        <v>38480</v>
      </c>
      <c r="B1000" s="291" t="s">
        <v>1697</v>
      </c>
      <c r="C1000" s="297" t="s">
        <v>1698</v>
      </c>
      <c r="D1000" s="297" t="s">
        <v>1006</v>
      </c>
      <c r="E1000" s="297" t="s">
        <v>2103</v>
      </c>
      <c r="F1000" s="293" t="s">
        <v>42</v>
      </c>
      <c r="G1000" s="310" t="s">
        <v>43</v>
      </c>
      <c r="H1000" s="311" t="s">
        <v>179</v>
      </c>
      <c r="I1000" s="297" t="s">
        <v>1678</v>
      </c>
      <c r="J1000" s="297" t="s">
        <v>1359</v>
      </c>
      <c r="K1000" s="303" t="s">
        <v>26</v>
      </c>
    </row>
    <row r="1001" spans="1:17" ht="12">
      <c r="A1001" s="290">
        <v>38847</v>
      </c>
      <c r="B1001" s="291" t="s">
        <v>2244</v>
      </c>
      <c r="C1001" s="292" t="s">
        <v>1701</v>
      </c>
      <c r="D1001" s="292" t="s">
        <v>98</v>
      </c>
      <c r="E1001" s="292"/>
      <c r="F1001" s="293" t="s">
        <v>42</v>
      </c>
      <c r="G1001" s="310" t="s">
        <v>43</v>
      </c>
      <c r="H1001" s="311" t="s">
        <v>44</v>
      </c>
      <c r="I1001" s="292" t="s">
        <v>1678</v>
      </c>
      <c r="J1001" s="292" t="s">
        <v>1359</v>
      </c>
      <c r="K1001" s="303" t="s">
        <v>26</v>
      </c>
    </row>
    <row r="1002" spans="1:17" ht="12">
      <c r="A1002" s="290">
        <v>38614</v>
      </c>
      <c r="B1002" s="291" t="s">
        <v>1700</v>
      </c>
      <c r="C1002" s="297" t="s">
        <v>1701</v>
      </c>
      <c r="D1002" s="297" t="s">
        <v>92</v>
      </c>
      <c r="E1002" s="297" t="s">
        <v>2103</v>
      </c>
      <c r="F1002" s="293" t="s">
        <v>42</v>
      </c>
      <c r="G1002" s="310" t="s">
        <v>93</v>
      </c>
      <c r="H1002" s="311"/>
      <c r="I1002" s="297" t="s">
        <v>1678</v>
      </c>
      <c r="J1002" s="297" t="s">
        <v>1359</v>
      </c>
      <c r="K1002" s="303" t="s">
        <v>26</v>
      </c>
    </row>
    <row r="1003" spans="1:17" ht="12">
      <c r="A1003" s="290">
        <v>38202</v>
      </c>
      <c r="B1003" s="291" t="s">
        <v>1702</v>
      </c>
      <c r="C1003" s="297" t="s">
        <v>1407</v>
      </c>
      <c r="D1003" s="297" t="s">
        <v>1703</v>
      </c>
      <c r="E1003" s="297" t="s">
        <v>2103</v>
      </c>
      <c r="F1003" s="293" t="s">
        <v>42</v>
      </c>
      <c r="G1003" s="310" t="s">
        <v>51</v>
      </c>
      <c r="H1003" s="311" t="s">
        <v>44</v>
      </c>
      <c r="I1003" s="297" t="s">
        <v>1678</v>
      </c>
      <c r="J1003" s="297" t="s">
        <v>1359</v>
      </c>
      <c r="K1003" s="303" t="s">
        <v>26</v>
      </c>
      <c r="L1003" s="26"/>
      <c r="M1003" s="26"/>
      <c r="N1003" s="26"/>
      <c r="Q1003" s="30"/>
    </row>
    <row r="1004" spans="1:17" ht="12">
      <c r="A1004" s="290">
        <v>38535</v>
      </c>
      <c r="B1004" s="291" t="s">
        <v>2579</v>
      </c>
      <c r="C1004" s="297" t="s">
        <v>2580</v>
      </c>
      <c r="D1004" s="297" t="s">
        <v>2581</v>
      </c>
      <c r="E1004" s="297" t="s">
        <v>2103</v>
      </c>
      <c r="F1004" s="293" t="s">
        <v>42</v>
      </c>
      <c r="G1004" s="310" t="s">
        <v>51</v>
      </c>
      <c r="H1004" s="311" t="s">
        <v>65</v>
      </c>
      <c r="I1004" s="297" t="s">
        <v>1678</v>
      </c>
      <c r="J1004" s="297" t="s">
        <v>1359</v>
      </c>
      <c r="K1004" s="303" t="s">
        <v>26</v>
      </c>
    </row>
    <row r="1005" spans="1:17" ht="12">
      <c r="A1005" s="290">
        <v>16864</v>
      </c>
      <c r="B1005" s="291" t="s">
        <v>558</v>
      </c>
      <c r="C1005" s="297" t="s">
        <v>559</v>
      </c>
      <c r="D1005" s="297" t="s">
        <v>106</v>
      </c>
      <c r="E1005" s="297" t="s">
        <v>2103</v>
      </c>
      <c r="F1005" s="293" t="s">
        <v>42</v>
      </c>
      <c r="G1005" s="310" t="s">
        <v>51</v>
      </c>
      <c r="H1005" s="311" t="s">
        <v>44</v>
      </c>
      <c r="I1005" s="297" t="s">
        <v>1704</v>
      </c>
      <c r="J1005" s="297" t="s">
        <v>1705</v>
      </c>
      <c r="K1005" s="303" t="s">
        <v>24</v>
      </c>
    </row>
    <row r="1006" spans="1:17" ht="12">
      <c r="A1006" s="290">
        <v>4788</v>
      </c>
      <c r="B1006" s="291" t="s">
        <v>2245</v>
      </c>
      <c r="C1006" s="292" t="s">
        <v>2246</v>
      </c>
      <c r="D1006" s="292" t="s">
        <v>2247</v>
      </c>
      <c r="E1006" s="292"/>
      <c r="F1006" s="293" t="s">
        <v>42</v>
      </c>
      <c r="G1006" s="310" t="s">
        <v>43</v>
      </c>
      <c r="H1006" s="311" t="s">
        <v>44</v>
      </c>
      <c r="I1006" s="292" t="s">
        <v>1704</v>
      </c>
      <c r="J1006" s="292" t="s">
        <v>1705</v>
      </c>
      <c r="K1006" s="303" t="s">
        <v>24</v>
      </c>
    </row>
    <row r="1007" spans="1:17" ht="12">
      <c r="A1007" s="290">
        <v>16860</v>
      </c>
      <c r="B1007" s="291" t="s">
        <v>1706</v>
      </c>
      <c r="C1007" s="297" t="s">
        <v>1282</v>
      </c>
      <c r="D1007" s="297" t="s">
        <v>1707</v>
      </c>
      <c r="E1007" s="297" t="s">
        <v>2103</v>
      </c>
      <c r="F1007" s="293" t="s">
        <v>42</v>
      </c>
      <c r="G1007" s="310" t="s">
        <v>51</v>
      </c>
      <c r="H1007" s="311" t="s">
        <v>44</v>
      </c>
      <c r="I1007" s="297" t="s">
        <v>1704</v>
      </c>
      <c r="J1007" s="297" t="s">
        <v>1705</v>
      </c>
      <c r="K1007" s="303" t="s">
        <v>24</v>
      </c>
      <c r="L1007" s="26"/>
      <c r="M1007" s="26"/>
      <c r="N1007" s="26"/>
      <c r="Q1007" s="30"/>
    </row>
    <row r="1008" spans="1:17" ht="12">
      <c r="A1008" s="290">
        <v>16861</v>
      </c>
      <c r="B1008" s="291" t="s">
        <v>1708</v>
      </c>
      <c r="C1008" s="297" t="s">
        <v>1282</v>
      </c>
      <c r="D1008" s="297" t="s">
        <v>893</v>
      </c>
      <c r="E1008" s="297" t="s">
        <v>2103</v>
      </c>
      <c r="F1008" s="293" t="s">
        <v>42</v>
      </c>
      <c r="G1008" s="310" t="s">
        <v>43</v>
      </c>
      <c r="H1008" s="311" t="s">
        <v>65</v>
      </c>
      <c r="I1008" s="297" t="s">
        <v>1704</v>
      </c>
      <c r="J1008" s="297" t="s">
        <v>1705</v>
      </c>
      <c r="K1008" s="303" t="s">
        <v>24</v>
      </c>
    </row>
    <row r="1009" spans="1:17" ht="12">
      <c r="A1009" s="290">
        <v>38643</v>
      </c>
      <c r="B1009" s="291" t="s">
        <v>1709</v>
      </c>
      <c r="C1009" s="292" t="s">
        <v>1710</v>
      </c>
      <c r="D1009" s="292" t="s">
        <v>1089</v>
      </c>
      <c r="E1009" s="292"/>
      <c r="F1009" s="293" t="s">
        <v>42</v>
      </c>
      <c r="G1009" s="310" t="s">
        <v>43</v>
      </c>
      <c r="H1009" s="311"/>
      <c r="I1009" s="292" t="s">
        <v>1704</v>
      </c>
      <c r="J1009" s="292" t="s">
        <v>1705</v>
      </c>
      <c r="K1009" s="303" t="s">
        <v>24</v>
      </c>
    </row>
    <row r="1010" spans="1:17" ht="12">
      <c r="A1010" s="290">
        <v>16862</v>
      </c>
      <c r="B1010" s="291" t="s">
        <v>1711</v>
      </c>
      <c r="C1010" s="297" t="s">
        <v>1712</v>
      </c>
      <c r="D1010" s="297" t="s">
        <v>86</v>
      </c>
      <c r="E1010" s="297" t="s">
        <v>2103</v>
      </c>
      <c r="F1010" s="293" t="s">
        <v>42</v>
      </c>
      <c r="G1010" s="310" t="s">
        <v>43</v>
      </c>
      <c r="H1010" s="311" t="s">
        <v>179</v>
      </c>
      <c r="I1010" s="297" t="s">
        <v>1704</v>
      </c>
      <c r="J1010" s="297" t="s">
        <v>1705</v>
      </c>
      <c r="K1010" s="303" t="s">
        <v>24</v>
      </c>
    </row>
    <row r="1011" spans="1:17" ht="12">
      <c r="A1011" s="290">
        <v>38895</v>
      </c>
      <c r="B1011" s="291" t="s">
        <v>2582</v>
      </c>
      <c r="C1011" s="292" t="s">
        <v>2583</v>
      </c>
      <c r="D1011" s="292" t="s">
        <v>402</v>
      </c>
      <c r="E1011" s="292"/>
      <c r="F1011" s="293" t="s">
        <v>42</v>
      </c>
      <c r="G1011" s="310" t="s">
        <v>359</v>
      </c>
      <c r="H1011" s="311"/>
      <c r="I1011" s="292" t="s">
        <v>1704</v>
      </c>
      <c r="J1011" s="292" t="s">
        <v>1705</v>
      </c>
      <c r="K1011" s="303" t="s">
        <v>24</v>
      </c>
    </row>
    <row r="1012" spans="1:17" ht="12">
      <c r="A1012" s="290">
        <v>16565</v>
      </c>
      <c r="B1012" s="291" t="s">
        <v>2248</v>
      </c>
      <c r="C1012" s="292" t="s">
        <v>2249</v>
      </c>
      <c r="D1012" s="292" t="s">
        <v>124</v>
      </c>
      <c r="E1012" s="292"/>
      <c r="F1012" s="293" t="s">
        <v>42</v>
      </c>
      <c r="G1012" s="310" t="s">
        <v>66</v>
      </c>
      <c r="H1012" s="311" t="s">
        <v>44</v>
      </c>
      <c r="I1012" s="292" t="s">
        <v>1704</v>
      </c>
      <c r="J1012" s="292" t="s">
        <v>1705</v>
      </c>
      <c r="K1012" s="303" t="s">
        <v>24</v>
      </c>
    </row>
    <row r="1013" spans="1:17" ht="12">
      <c r="A1013" s="290">
        <v>38721</v>
      </c>
      <c r="B1013" s="291" t="s">
        <v>1934</v>
      </c>
      <c r="C1013" s="292" t="s">
        <v>612</v>
      </c>
      <c r="D1013" s="292" t="s">
        <v>1465</v>
      </c>
      <c r="E1013" s="292"/>
      <c r="F1013" s="293" t="s">
        <v>48</v>
      </c>
      <c r="G1013" s="310" t="s">
        <v>78</v>
      </c>
      <c r="H1013" s="311" t="s">
        <v>44</v>
      </c>
      <c r="I1013" s="292" t="s">
        <v>1704</v>
      </c>
      <c r="J1013" s="292" t="s">
        <v>1705</v>
      </c>
      <c r="K1013" s="303" t="s">
        <v>24</v>
      </c>
    </row>
    <row r="1014" spans="1:17" ht="12">
      <c r="A1014" s="290">
        <v>38544</v>
      </c>
      <c r="B1014" s="291" t="s">
        <v>376</v>
      </c>
      <c r="C1014" s="292" t="s">
        <v>377</v>
      </c>
      <c r="D1014" s="292" t="s">
        <v>378</v>
      </c>
      <c r="E1014" s="292"/>
      <c r="F1014" s="293" t="s">
        <v>42</v>
      </c>
      <c r="G1014" s="310" t="s">
        <v>88</v>
      </c>
      <c r="H1014" s="311" t="s">
        <v>44</v>
      </c>
      <c r="I1014" s="292" t="s">
        <v>1704</v>
      </c>
      <c r="J1014" s="292" t="s">
        <v>1705</v>
      </c>
      <c r="K1014" s="303" t="s">
        <v>24</v>
      </c>
    </row>
    <row r="1015" spans="1:17" ht="12">
      <c r="A1015" s="290">
        <v>38856</v>
      </c>
      <c r="B1015" s="291" t="s">
        <v>2325</v>
      </c>
      <c r="C1015" s="292" t="s">
        <v>2045</v>
      </c>
      <c r="D1015" s="292" t="s">
        <v>954</v>
      </c>
      <c r="E1015" s="292"/>
      <c r="F1015" s="293" t="s">
        <v>42</v>
      </c>
      <c r="G1015" s="298" t="s">
        <v>359</v>
      </c>
      <c r="H1015" s="299">
        <v>0</v>
      </c>
      <c r="I1015" s="292" t="s">
        <v>1704</v>
      </c>
      <c r="J1015" s="292" t="s">
        <v>1705</v>
      </c>
      <c r="K1015" s="303" t="s">
        <v>24</v>
      </c>
    </row>
    <row r="1016" spans="1:17" ht="12">
      <c r="A1016" s="290">
        <v>38775</v>
      </c>
      <c r="B1016" s="291" t="s">
        <v>2044</v>
      </c>
      <c r="C1016" s="292" t="s">
        <v>2045</v>
      </c>
      <c r="D1016" s="292" t="s">
        <v>2046</v>
      </c>
      <c r="E1016" s="292"/>
      <c r="F1016" s="293" t="s">
        <v>48</v>
      </c>
      <c r="G1016" s="298" t="s">
        <v>774</v>
      </c>
      <c r="H1016" s="299">
        <v>0</v>
      </c>
      <c r="I1016" s="292" t="s">
        <v>1704</v>
      </c>
      <c r="J1016" s="292" t="s">
        <v>1705</v>
      </c>
      <c r="K1016" s="303" t="s">
        <v>24</v>
      </c>
      <c r="L1016" s="26"/>
      <c r="M1016" s="26"/>
      <c r="N1016" s="26"/>
      <c r="Q1016" s="30"/>
    </row>
    <row r="1017" spans="1:17" ht="12">
      <c r="A1017" s="290">
        <v>38919</v>
      </c>
      <c r="B1017" s="291" t="s">
        <v>2584</v>
      </c>
      <c r="C1017" s="292" t="s">
        <v>2585</v>
      </c>
      <c r="D1017" s="292" t="s">
        <v>765</v>
      </c>
      <c r="E1017" s="292"/>
      <c r="F1017" s="293" t="s">
        <v>42</v>
      </c>
      <c r="G1017" s="298" t="s">
        <v>43</v>
      </c>
      <c r="H1017" s="299">
        <v>0</v>
      </c>
      <c r="I1017" s="292" t="s">
        <v>1704</v>
      </c>
      <c r="J1017" s="292" t="s">
        <v>1705</v>
      </c>
      <c r="K1017" s="303" t="s">
        <v>24</v>
      </c>
    </row>
    <row r="1018" spans="1:17" ht="12">
      <c r="A1018" s="290">
        <v>38876</v>
      </c>
      <c r="B1018" s="291" t="s">
        <v>2586</v>
      </c>
      <c r="C1018" s="292" t="s">
        <v>2585</v>
      </c>
      <c r="D1018" s="292" t="s">
        <v>1251</v>
      </c>
      <c r="E1018" s="292"/>
      <c r="F1018" s="293" t="s">
        <v>48</v>
      </c>
      <c r="G1018" s="310" t="s">
        <v>78</v>
      </c>
      <c r="H1018" s="311" t="s">
        <v>103</v>
      </c>
      <c r="I1018" s="292" t="s">
        <v>1704</v>
      </c>
      <c r="J1018" s="292" t="s">
        <v>1705</v>
      </c>
      <c r="K1018" s="303" t="s">
        <v>24</v>
      </c>
    </row>
    <row r="1019" spans="1:17" ht="12">
      <c r="A1019" s="290">
        <v>16349</v>
      </c>
      <c r="B1019" s="291" t="s">
        <v>1713</v>
      </c>
      <c r="C1019" s="292" t="s">
        <v>1714</v>
      </c>
      <c r="D1019" s="292" t="s">
        <v>72</v>
      </c>
      <c r="E1019" s="292"/>
      <c r="F1019" s="293" t="s">
        <v>42</v>
      </c>
      <c r="G1019" s="300" t="s">
        <v>51</v>
      </c>
      <c r="H1019" s="301">
        <v>0</v>
      </c>
      <c r="I1019" s="292" t="s">
        <v>1704</v>
      </c>
      <c r="J1019" s="292" t="s">
        <v>1705</v>
      </c>
      <c r="K1019" s="303" t="s">
        <v>24</v>
      </c>
    </row>
    <row r="1020" spans="1:17" ht="12">
      <c r="A1020" s="290">
        <v>25163</v>
      </c>
      <c r="B1020" s="291" t="s">
        <v>619</v>
      </c>
      <c r="C1020" s="292" t="s">
        <v>620</v>
      </c>
      <c r="D1020" s="292" t="s">
        <v>621</v>
      </c>
      <c r="E1020" s="292"/>
      <c r="F1020" s="293" t="s">
        <v>42</v>
      </c>
      <c r="G1020" s="294" t="s">
        <v>51</v>
      </c>
      <c r="H1020" s="295">
        <v>0</v>
      </c>
      <c r="I1020" s="292" t="s">
        <v>1704</v>
      </c>
      <c r="J1020" s="292" t="s">
        <v>1705</v>
      </c>
      <c r="K1020" s="303" t="s">
        <v>24</v>
      </c>
    </row>
    <row r="1021" spans="1:17" ht="12">
      <c r="A1021" s="290">
        <v>38545</v>
      </c>
      <c r="B1021" s="291" t="s">
        <v>671</v>
      </c>
      <c r="C1021" s="292" t="s">
        <v>170</v>
      </c>
      <c r="D1021" s="292" t="s">
        <v>190</v>
      </c>
      <c r="E1021" s="292"/>
      <c r="F1021" s="293" t="s">
        <v>42</v>
      </c>
      <c r="G1021" s="310" t="s">
        <v>359</v>
      </c>
      <c r="H1021" s="311" t="s">
        <v>44</v>
      </c>
      <c r="I1021" s="292" t="s">
        <v>1704</v>
      </c>
      <c r="J1021" s="292" t="s">
        <v>1705</v>
      </c>
      <c r="K1021" s="303" t="s">
        <v>24</v>
      </c>
      <c r="L1021" s="26"/>
      <c r="M1021" s="26"/>
      <c r="N1021" s="26"/>
      <c r="Q1021" s="30"/>
    </row>
    <row r="1022" spans="1:17" ht="12">
      <c r="A1022" s="290">
        <v>38780</v>
      </c>
      <c r="B1022" s="291" t="s">
        <v>2047</v>
      </c>
      <c r="C1022" s="292" t="s">
        <v>2048</v>
      </c>
      <c r="D1022" s="292" t="s">
        <v>2049</v>
      </c>
      <c r="E1022" s="292"/>
      <c r="F1022" s="293" t="s">
        <v>48</v>
      </c>
      <c r="G1022" s="310" t="s">
        <v>138</v>
      </c>
      <c r="H1022" s="311" t="s">
        <v>44</v>
      </c>
      <c r="I1022" s="292" t="s">
        <v>1704</v>
      </c>
      <c r="J1022" s="292" t="s">
        <v>1705</v>
      </c>
      <c r="K1022" s="303" t="s">
        <v>24</v>
      </c>
      <c r="L1022" s="26"/>
      <c r="M1022" s="26"/>
      <c r="N1022" s="26"/>
      <c r="Q1022" s="30"/>
    </row>
    <row r="1023" spans="1:17" ht="12">
      <c r="A1023" s="290">
        <v>16945</v>
      </c>
      <c r="B1023" s="291" t="s">
        <v>1717</v>
      </c>
      <c r="C1023" s="292" t="s">
        <v>1718</v>
      </c>
      <c r="D1023" s="292" t="s">
        <v>60</v>
      </c>
      <c r="E1023" s="292"/>
      <c r="F1023" s="293" t="s">
        <v>42</v>
      </c>
      <c r="G1023" s="310" t="s">
        <v>43</v>
      </c>
      <c r="H1023" s="311" t="s">
        <v>179</v>
      </c>
      <c r="I1023" s="292" t="s">
        <v>1704</v>
      </c>
      <c r="J1023" s="292" t="s">
        <v>1705</v>
      </c>
      <c r="K1023" s="303" t="s">
        <v>24</v>
      </c>
      <c r="L1023" s="26"/>
      <c r="M1023" s="26"/>
      <c r="N1023" s="26"/>
      <c r="Q1023" s="30"/>
    </row>
    <row r="1024" spans="1:17" ht="12">
      <c r="A1024" s="290">
        <v>38620</v>
      </c>
      <c r="B1024" s="291" t="s">
        <v>1719</v>
      </c>
      <c r="C1024" s="292" t="s">
        <v>289</v>
      </c>
      <c r="D1024" s="292" t="s">
        <v>1720</v>
      </c>
      <c r="E1024" s="292"/>
      <c r="F1024" s="293" t="s">
        <v>42</v>
      </c>
      <c r="G1024" s="310" t="s">
        <v>93</v>
      </c>
      <c r="H1024" s="311" t="s">
        <v>103</v>
      </c>
      <c r="I1024" s="292" t="s">
        <v>1704</v>
      </c>
      <c r="J1024" s="292" t="s">
        <v>1705</v>
      </c>
      <c r="K1024" s="303" t="s">
        <v>24</v>
      </c>
      <c r="L1024" s="26"/>
      <c r="M1024" s="26"/>
      <c r="N1024" s="26"/>
      <c r="Q1024" s="30"/>
    </row>
    <row r="1025" spans="1:17" ht="12">
      <c r="A1025" s="290">
        <v>38642</v>
      </c>
      <c r="B1025" s="291" t="s">
        <v>1721</v>
      </c>
      <c r="C1025" s="292" t="s">
        <v>1029</v>
      </c>
      <c r="D1025" s="292" t="s">
        <v>86</v>
      </c>
      <c r="E1025" s="292"/>
      <c r="F1025" s="293" t="s">
        <v>42</v>
      </c>
      <c r="G1025" s="310" t="s">
        <v>43</v>
      </c>
      <c r="H1025" s="311" t="s">
        <v>44</v>
      </c>
      <c r="I1025" s="292" t="s">
        <v>1704</v>
      </c>
      <c r="J1025" s="292" t="s">
        <v>1705</v>
      </c>
      <c r="K1025" s="303" t="s">
        <v>24</v>
      </c>
      <c r="L1025" s="26"/>
      <c r="M1025" s="26"/>
      <c r="N1025" s="26"/>
      <c r="Q1025" s="30"/>
    </row>
    <row r="1026" spans="1:17" ht="12">
      <c r="A1026" s="290">
        <v>16348</v>
      </c>
      <c r="B1026" s="291">
        <v>9111195</v>
      </c>
      <c r="C1026" s="292" t="s">
        <v>1029</v>
      </c>
      <c r="D1026" s="292" t="s">
        <v>639</v>
      </c>
      <c r="E1026" s="292"/>
      <c r="F1026" s="293" t="s">
        <v>42</v>
      </c>
      <c r="G1026" s="310" t="s">
        <v>51</v>
      </c>
      <c r="H1026" s="311" t="s">
        <v>44</v>
      </c>
      <c r="I1026" s="292" t="s">
        <v>1704</v>
      </c>
      <c r="J1026" s="292" t="s">
        <v>1705</v>
      </c>
      <c r="K1026" s="303" t="s">
        <v>24</v>
      </c>
      <c r="L1026" s="26"/>
      <c r="M1026" s="26"/>
      <c r="N1026" s="26"/>
      <c r="Q1026" s="30"/>
    </row>
    <row r="1027" spans="1:17" ht="12">
      <c r="A1027" s="290">
        <v>38396</v>
      </c>
      <c r="B1027" s="291" t="s">
        <v>1722</v>
      </c>
      <c r="C1027" s="292" t="s">
        <v>1029</v>
      </c>
      <c r="D1027" s="292" t="s">
        <v>667</v>
      </c>
      <c r="E1027" s="292"/>
      <c r="F1027" s="293" t="s">
        <v>42</v>
      </c>
      <c r="G1027" s="310" t="s">
        <v>359</v>
      </c>
      <c r="H1027" s="311" t="s">
        <v>65</v>
      </c>
      <c r="I1027" s="292" t="s">
        <v>1704</v>
      </c>
      <c r="J1027" s="292" t="s">
        <v>1705</v>
      </c>
      <c r="K1027" s="303" t="s">
        <v>24</v>
      </c>
      <c r="L1027" s="26"/>
      <c r="M1027" s="26"/>
      <c r="N1027" s="26"/>
      <c r="Q1027" s="30"/>
    </row>
    <row r="1028" spans="1:17" ht="12">
      <c r="A1028" s="290">
        <v>38453</v>
      </c>
      <c r="B1028" s="291" t="s">
        <v>1723</v>
      </c>
      <c r="C1028" s="292" t="s">
        <v>1724</v>
      </c>
      <c r="D1028" s="292" t="s">
        <v>63</v>
      </c>
      <c r="E1028" s="292"/>
      <c r="F1028" s="293" t="s">
        <v>42</v>
      </c>
      <c r="G1028" s="310" t="s">
        <v>43</v>
      </c>
      <c r="H1028" s="311" t="s">
        <v>179</v>
      </c>
      <c r="I1028" s="292" t="s">
        <v>1704</v>
      </c>
      <c r="J1028" s="292" t="s">
        <v>1705</v>
      </c>
      <c r="K1028" s="303" t="s">
        <v>24</v>
      </c>
      <c r="L1028" s="26"/>
      <c r="M1028" s="26"/>
      <c r="N1028" s="26"/>
      <c r="Q1028" s="30"/>
    </row>
    <row r="1029" spans="1:17" ht="12">
      <c r="A1029" s="290">
        <v>16352</v>
      </c>
      <c r="B1029" s="291" t="s">
        <v>1725</v>
      </c>
      <c r="C1029" s="292" t="s">
        <v>1726</v>
      </c>
      <c r="D1029" s="292" t="s">
        <v>124</v>
      </c>
      <c r="E1029" s="292"/>
      <c r="F1029" s="293" t="s">
        <v>42</v>
      </c>
      <c r="G1029" s="310" t="s">
        <v>43</v>
      </c>
      <c r="H1029" s="311" t="s">
        <v>179</v>
      </c>
      <c r="I1029" s="292" t="s">
        <v>1704</v>
      </c>
      <c r="J1029" s="292" t="s">
        <v>1705</v>
      </c>
      <c r="K1029" s="303" t="s">
        <v>24</v>
      </c>
    </row>
    <row r="1030" spans="1:17" ht="12">
      <c r="A1030" s="290">
        <v>16346</v>
      </c>
      <c r="B1030" s="291">
        <v>9109435</v>
      </c>
      <c r="C1030" s="292" t="s">
        <v>1727</v>
      </c>
      <c r="D1030" s="292" t="s">
        <v>175</v>
      </c>
      <c r="E1030" s="292"/>
      <c r="F1030" s="293" t="s">
        <v>42</v>
      </c>
      <c r="G1030" s="310" t="s">
        <v>57</v>
      </c>
      <c r="H1030" s="311" t="s">
        <v>65</v>
      </c>
      <c r="I1030" s="292" t="s">
        <v>1704</v>
      </c>
      <c r="J1030" s="292" t="s">
        <v>1705</v>
      </c>
      <c r="K1030" s="303" t="s">
        <v>24</v>
      </c>
    </row>
    <row r="1031" spans="1:17" ht="12">
      <c r="A1031" s="290">
        <v>38005</v>
      </c>
      <c r="B1031" s="291" t="s">
        <v>1728</v>
      </c>
      <c r="C1031" s="297" t="s">
        <v>1729</v>
      </c>
      <c r="D1031" s="297" t="s">
        <v>1730</v>
      </c>
      <c r="E1031" s="297" t="s">
        <v>2103</v>
      </c>
      <c r="F1031" s="293" t="s">
        <v>42</v>
      </c>
      <c r="G1031" s="310" t="s">
        <v>51</v>
      </c>
      <c r="H1031" s="311" t="s">
        <v>44</v>
      </c>
      <c r="I1031" s="297" t="s">
        <v>1704</v>
      </c>
      <c r="J1031" s="297" t="s">
        <v>1705</v>
      </c>
      <c r="K1031" s="303" t="s">
        <v>24</v>
      </c>
    </row>
    <row r="1032" spans="1:17" ht="12">
      <c r="A1032" s="290">
        <v>38877</v>
      </c>
      <c r="B1032" s="291" t="s">
        <v>2587</v>
      </c>
      <c r="C1032" s="292" t="s">
        <v>2588</v>
      </c>
      <c r="D1032" s="292" t="s">
        <v>64</v>
      </c>
      <c r="E1032" s="292"/>
      <c r="F1032" s="293" t="s">
        <v>42</v>
      </c>
      <c r="G1032" s="310" t="s">
        <v>51</v>
      </c>
      <c r="H1032" s="311" t="s">
        <v>50</v>
      </c>
      <c r="I1032" s="292" t="s">
        <v>1704</v>
      </c>
      <c r="J1032" s="292" t="s">
        <v>1705</v>
      </c>
      <c r="K1032" s="303" t="s">
        <v>24</v>
      </c>
    </row>
    <row r="1033" spans="1:17" ht="12">
      <c r="A1033" s="290">
        <v>16495</v>
      </c>
      <c r="B1033" s="291" t="s">
        <v>629</v>
      </c>
      <c r="C1033" s="292" t="s">
        <v>630</v>
      </c>
      <c r="D1033" s="292" t="s">
        <v>194</v>
      </c>
      <c r="E1033" s="292"/>
      <c r="F1033" s="293" t="s">
        <v>42</v>
      </c>
      <c r="G1033" s="310" t="s">
        <v>43</v>
      </c>
      <c r="H1033" s="311" t="s">
        <v>179</v>
      </c>
      <c r="I1033" s="292" t="s">
        <v>1704</v>
      </c>
      <c r="J1033" s="292" t="s">
        <v>1705</v>
      </c>
      <c r="K1033" s="303" t="s">
        <v>24</v>
      </c>
    </row>
    <row r="1034" spans="1:17" ht="12">
      <c r="A1034" s="290">
        <v>16488</v>
      </c>
      <c r="B1034" s="291">
        <v>9111194</v>
      </c>
      <c r="C1034" s="292" t="s">
        <v>630</v>
      </c>
      <c r="D1034" s="292" t="s">
        <v>116</v>
      </c>
      <c r="E1034" s="292"/>
      <c r="F1034" s="293" t="s">
        <v>42</v>
      </c>
      <c r="G1034" s="310" t="s">
        <v>57</v>
      </c>
      <c r="H1034" s="311" t="s">
        <v>44</v>
      </c>
      <c r="I1034" s="292" t="s">
        <v>1704</v>
      </c>
      <c r="J1034" s="292" t="s">
        <v>1705</v>
      </c>
      <c r="K1034" s="303" t="s">
        <v>24</v>
      </c>
    </row>
    <row r="1035" spans="1:17" ht="12">
      <c r="A1035" s="290">
        <v>16559</v>
      </c>
      <c r="B1035" s="291" t="s">
        <v>1731</v>
      </c>
      <c r="C1035" s="292" t="s">
        <v>1732</v>
      </c>
      <c r="D1035" s="292" t="s">
        <v>164</v>
      </c>
      <c r="E1035" s="292"/>
      <c r="F1035" s="293" t="s">
        <v>42</v>
      </c>
      <c r="G1035" s="310" t="s">
        <v>51</v>
      </c>
      <c r="H1035" s="311" t="s">
        <v>65</v>
      </c>
      <c r="I1035" s="292" t="s">
        <v>1704</v>
      </c>
      <c r="J1035" s="292" t="s">
        <v>1705</v>
      </c>
      <c r="K1035" s="303" t="s">
        <v>24</v>
      </c>
    </row>
    <row r="1036" spans="1:17" ht="12">
      <c r="A1036" s="290">
        <v>38776</v>
      </c>
      <c r="B1036" s="291" t="s">
        <v>2050</v>
      </c>
      <c r="C1036" s="292" t="s">
        <v>2051</v>
      </c>
      <c r="D1036" s="292" t="s">
        <v>807</v>
      </c>
      <c r="E1036" s="292"/>
      <c r="F1036" s="293" t="s">
        <v>42</v>
      </c>
      <c r="G1036" s="310" t="s">
        <v>2052</v>
      </c>
      <c r="H1036" s="311" t="s">
        <v>103</v>
      </c>
      <c r="I1036" s="292" t="s">
        <v>1704</v>
      </c>
      <c r="J1036" s="292" t="s">
        <v>1705</v>
      </c>
      <c r="K1036" s="303" t="s">
        <v>24</v>
      </c>
    </row>
    <row r="1037" spans="1:17" ht="12">
      <c r="A1037" s="290">
        <v>38777</v>
      </c>
      <c r="B1037" s="291" t="s">
        <v>2053</v>
      </c>
      <c r="C1037" s="292" t="s">
        <v>1734</v>
      </c>
      <c r="D1037" s="292" t="s">
        <v>2054</v>
      </c>
      <c r="E1037" s="292"/>
      <c r="F1037" s="293" t="s">
        <v>42</v>
      </c>
      <c r="G1037" s="298" t="s">
        <v>88</v>
      </c>
      <c r="H1037" s="299">
        <v>0</v>
      </c>
      <c r="I1037" s="292" t="s">
        <v>1704</v>
      </c>
      <c r="J1037" s="292" t="s">
        <v>1705</v>
      </c>
      <c r="K1037" s="303" t="s">
        <v>24</v>
      </c>
    </row>
    <row r="1038" spans="1:17" ht="12">
      <c r="A1038" s="290">
        <v>16852</v>
      </c>
      <c r="B1038" s="291" t="s">
        <v>1733</v>
      </c>
      <c r="C1038" s="297" t="s">
        <v>1734</v>
      </c>
      <c r="D1038" s="297" t="s">
        <v>687</v>
      </c>
      <c r="E1038" s="297" t="s">
        <v>2103</v>
      </c>
      <c r="F1038" s="293" t="s">
        <v>42</v>
      </c>
      <c r="G1038" s="310" t="s">
        <v>43</v>
      </c>
      <c r="H1038" s="311" t="s">
        <v>179</v>
      </c>
      <c r="I1038" s="297" t="s">
        <v>1704</v>
      </c>
      <c r="J1038" s="297" t="s">
        <v>1705</v>
      </c>
      <c r="K1038" s="303" t="s">
        <v>24</v>
      </c>
    </row>
    <row r="1039" spans="1:17" ht="12">
      <c r="A1039" s="290">
        <v>16848</v>
      </c>
      <c r="B1039" s="291" t="s">
        <v>1735</v>
      </c>
      <c r="C1039" s="297" t="s">
        <v>1734</v>
      </c>
      <c r="D1039" s="297" t="s">
        <v>119</v>
      </c>
      <c r="E1039" s="297" t="s">
        <v>2103</v>
      </c>
      <c r="F1039" s="293" t="s">
        <v>42</v>
      </c>
      <c r="G1039" s="310" t="s">
        <v>51</v>
      </c>
      <c r="H1039" s="311" t="s">
        <v>50</v>
      </c>
      <c r="I1039" s="297" t="s">
        <v>1704</v>
      </c>
      <c r="J1039" s="297" t="s">
        <v>1705</v>
      </c>
      <c r="K1039" s="303" t="s">
        <v>24</v>
      </c>
    </row>
    <row r="1040" spans="1:17" ht="12">
      <c r="A1040" s="290">
        <v>25541</v>
      </c>
      <c r="B1040" s="291" t="s">
        <v>2101</v>
      </c>
      <c r="C1040" s="297" t="s">
        <v>1736</v>
      </c>
      <c r="D1040" s="297" t="s">
        <v>72</v>
      </c>
      <c r="E1040" s="297" t="s">
        <v>2103</v>
      </c>
      <c r="F1040" s="293" t="s">
        <v>42</v>
      </c>
      <c r="G1040" s="310" t="s">
        <v>51</v>
      </c>
      <c r="H1040" s="311" t="s">
        <v>44</v>
      </c>
      <c r="I1040" s="297" t="s">
        <v>1704</v>
      </c>
      <c r="J1040" s="297" t="s">
        <v>1705</v>
      </c>
      <c r="K1040" s="303" t="s">
        <v>24</v>
      </c>
      <c r="L1040" s="26"/>
      <c r="M1040" s="26"/>
      <c r="N1040" s="26"/>
      <c r="Q1040" s="30"/>
    </row>
    <row r="1041" spans="1:17" ht="12">
      <c r="A1041" s="290">
        <v>25199</v>
      </c>
      <c r="B1041" s="291" t="s">
        <v>1738</v>
      </c>
      <c r="C1041" s="297" t="s">
        <v>1737</v>
      </c>
      <c r="D1041" s="297" t="s">
        <v>807</v>
      </c>
      <c r="E1041" s="297" t="s">
        <v>2103</v>
      </c>
      <c r="F1041" s="293" t="s">
        <v>42</v>
      </c>
      <c r="G1041" s="310" t="s">
        <v>43</v>
      </c>
      <c r="H1041" s="311" t="s">
        <v>65</v>
      </c>
      <c r="I1041" s="297" t="s">
        <v>1704</v>
      </c>
      <c r="J1041" s="297" t="s">
        <v>1705</v>
      </c>
      <c r="K1041" s="303" t="s">
        <v>24</v>
      </c>
      <c r="L1041" s="26"/>
      <c r="M1041" s="26"/>
      <c r="N1041" s="26"/>
      <c r="Q1041" s="30"/>
    </row>
    <row r="1042" spans="1:17" ht="12">
      <c r="A1042" s="290">
        <v>16253</v>
      </c>
      <c r="B1042" s="291" t="s">
        <v>604</v>
      </c>
      <c r="C1042" s="292" t="s">
        <v>605</v>
      </c>
      <c r="D1042" s="292" t="s">
        <v>402</v>
      </c>
      <c r="E1042" s="292"/>
      <c r="F1042" s="293" t="s">
        <v>42</v>
      </c>
      <c r="G1042" s="310" t="s">
        <v>43</v>
      </c>
      <c r="H1042" s="311" t="s">
        <v>238</v>
      </c>
      <c r="I1042" s="292" t="s">
        <v>18</v>
      </c>
      <c r="J1042" s="292" t="s">
        <v>1740</v>
      </c>
      <c r="K1042" s="303" t="s">
        <v>20</v>
      </c>
      <c r="L1042" s="26"/>
      <c r="M1042" s="26"/>
      <c r="N1042" s="26"/>
      <c r="Q1042" s="30"/>
    </row>
    <row r="1043" spans="1:17" ht="12">
      <c r="A1043" s="290">
        <v>38686</v>
      </c>
      <c r="B1043" s="291" t="s">
        <v>1739</v>
      </c>
      <c r="C1043" s="297" t="s">
        <v>161</v>
      </c>
      <c r="D1043" s="297" t="s">
        <v>60</v>
      </c>
      <c r="E1043" s="297" t="s">
        <v>2103</v>
      </c>
      <c r="F1043" s="293" t="s">
        <v>42</v>
      </c>
      <c r="G1043" s="310" t="s">
        <v>43</v>
      </c>
      <c r="H1043" s="311" t="s">
        <v>65</v>
      </c>
      <c r="I1043" s="297" t="s">
        <v>18</v>
      </c>
      <c r="J1043" s="297" t="s">
        <v>1740</v>
      </c>
      <c r="K1043" s="303" t="s">
        <v>20</v>
      </c>
    </row>
    <row r="1044" spans="1:17" ht="12">
      <c r="A1044" s="290">
        <v>16287</v>
      </c>
      <c r="B1044" s="291" t="s">
        <v>1741</v>
      </c>
      <c r="C1044" s="297" t="s">
        <v>1742</v>
      </c>
      <c r="D1044" s="297" t="s">
        <v>81</v>
      </c>
      <c r="E1044" s="297" t="s">
        <v>2103</v>
      </c>
      <c r="F1044" s="293" t="s">
        <v>42</v>
      </c>
      <c r="G1044" s="310" t="s">
        <v>43</v>
      </c>
      <c r="H1044" s="311" t="s">
        <v>44</v>
      </c>
      <c r="I1044" s="297" t="s">
        <v>18</v>
      </c>
      <c r="J1044" s="297" t="s">
        <v>1740</v>
      </c>
      <c r="K1044" s="303" t="s">
        <v>20</v>
      </c>
    </row>
    <row r="1045" spans="1:17" ht="12">
      <c r="A1045" s="290">
        <v>16277</v>
      </c>
      <c r="B1045" s="291" t="s">
        <v>1743</v>
      </c>
      <c r="C1045" s="292" t="s">
        <v>1744</v>
      </c>
      <c r="D1045" s="292" t="s">
        <v>79</v>
      </c>
      <c r="E1045" s="292"/>
      <c r="F1045" s="293" t="s">
        <v>42</v>
      </c>
      <c r="G1045" s="310" t="s">
        <v>57</v>
      </c>
      <c r="H1045" s="311"/>
      <c r="I1045" s="292" t="s">
        <v>18</v>
      </c>
      <c r="J1045" s="292" t="s">
        <v>1740</v>
      </c>
      <c r="K1045" s="303" t="s">
        <v>20</v>
      </c>
      <c r="L1045" s="26"/>
      <c r="M1045" s="26"/>
      <c r="N1045" s="26"/>
      <c r="Q1045" s="30"/>
    </row>
    <row r="1046" spans="1:17" ht="12">
      <c r="A1046" s="290">
        <v>38840</v>
      </c>
      <c r="B1046" s="291" t="s">
        <v>2250</v>
      </c>
      <c r="C1046" s="297" t="s">
        <v>2251</v>
      </c>
      <c r="D1046" s="297" t="s">
        <v>2252</v>
      </c>
      <c r="E1046" s="297" t="s">
        <v>2103</v>
      </c>
      <c r="F1046" s="293" t="s">
        <v>42</v>
      </c>
      <c r="G1046" s="310" t="s">
        <v>66</v>
      </c>
      <c r="H1046" s="311" t="s">
        <v>44</v>
      </c>
      <c r="I1046" s="297" t="s">
        <v>18</v>
      </c>
      <c r="J1046" s="297" t="s">
        <v>1740</v>
      </c>
      <c r="K1046" s="303" t="s">
        <v>20</v>
      </c>
    </row>
    <row r="1047" spans="1:17" ht="12">
      <c r="A1047" s="290">
        <v>38687</v>
      </c>
      <c r="B1047" s="291" t="s">
        <v>1745</v>
      </c>
      <c r="C1047" s="297" t="s">
        <v>1746</v>
      </c>
      <c r="D1047" s="297" t="s">
        <v>81</v>
      </c>
      <c r="E1047" s="297" t="s">
        <v>2103</v>
      </c>
      <c r="F1047" s="293" t="s">
        <v>42</v>
      </c>
      <c r="G1047" s="310" t="s">
        <v>43</v>
      </c>
      <c r="H1047" s="311" t="s">
        <v>179</v>
      </c>
      <c r="I1047" s="297" t="s">
        <v>18</v>
      </c>
      <c r="J1047" s="297" t="s">
        <v>1740</v>
      </c>
      <c r="K1047" s="303" t="s">
        <v>20</v>
      </c>
      <c r="L1047" s="26"/>
      <c r="M1047" s="26"/>
      <c r="N1047" s="26"/>
      <c r="Q1047" s="30"/>
    </row>
    <row r="1048" spans="1:17" ht="12">
      <c r="A1048" s="290">
        <v>25425</v>
      </c>
      <c r="B1048" s="291" t="s">
        <v>2026</v>
      </c>
      <c r="C1048" s="297" t="s">
        <v>1747</v>
      </c>
      <c r="D1048" s="297" t="s">
        <v>142</v>
      </c>
      <c r="E1048" s="297" t="s">
        <v>2103</v>
      </c>
      <c r="F1048" s="293" t="s">
        <v>42</v>
      </c>
      <c r="G1048" s="310" t="s">
        <v>43</v>
      </c>
      <c r="H1048" s="311" t="s">
        <v>50</v>
      </c>
      <c r="I1048" s="297" t="s">
        <v>18</v>
      </c>
      <c r="J1048" s="297" t="s">
        <v>1740</v>
      </c>
      <c r="K1048" s="303" t="s">
        <v>20</v>
      </c>
    </row>
    <row r="1049" spans="1:17" ht="12">
      <c r="A1049" s="290">
        <v>16285</v>
      </c>
      <c r="B1049" s="291" t="s">
        <v>1748</v>
      </c>
      <c r="C1049" s="292" t="s">
        <v>717</v>
      </c>
      <c r="D1049" s="292" t="s">
        <v>72</v>
      </c>
      <c r="E1049" s="292"/>
      <c r="F1049" s="293" t="s">
        <v>42</v>
      </c>
      <c r="G1049" s="310" t="s">
        <v>57</v>
      </c>
      <c r="H1049" s="311" t="s">
        <v>44</v>
      </c>
      <c r="I1049" s="292" t="s">
        <v>18</v>
      </c>
      <c r="J1049" s="292" t="s">
        <v>1740</v>
      </c>
      <c r="K1049" s="303" t="s">
        <v>20</v>
      </c>
    </row>
    <row r="1050" spans="1:17" ht="12">
      <c r="A1050" s="290">
        <v>10622</v>
      </c>
      <c r="B1050" s="291" t="s">
        <v>1749</v>
      </c>
      <c r="C1050" s="297" t="s">
        <v>1750</v>
      </c>
      <c r="D1050" s="297" t="s">
        <v>178</v>
      </c>
      <c r="E1050" s="297" t="s">
        <v>2103</v>
      </c>
      <c r="F1050" s="293" t="s">
        <v>42</v>
      </c>
      <c r="G1050" s="310" t="s">
        <v>43</v>
      </c>
      <c r="H1050" s="311" t="s">
        <v>238</v>
      </c>
      <c r="I1050" s="297" t="s">
        <v>18</v>
      </c>
      <c r="J1050" s="297" t="s">
        <v>1740</v>
      </c>
      <c r="K1050" s="303" t="s">
        <v>20</v>
      </c>
    </row>
    <row r="1051" spans="1:17" ht="12">
      <c r="A1051" s="290">
        <v>38039</v>
      </c>
      <c r="B1051" s="291" t="s">
        <v>622</v>
      </c>
      <c r="C1051" s="292" t="s">
        <v>623</v>
      </c>
      <c r="D1051" s="292" t="s">
        <v>149</v>
      </c>
      <c r="E1051" s="292"/>
      <c r="F1051" s="293" t="s">
        <v>42</v>
      </c>
      <c r="G1051" s="294" t="s">
        <v>43</v>
      </c>
      <c r="H1051" s="295">
        <v>0</v>
      </c>
      <c r="I1051" s="292" t="s">
        <v>18</v>
      </c>
      <c r="J1051" s="292" t="s">
        <v>1740</v>
      </c>
      <c r="K1051" s="303" t="s">
        <v>20</v>
      </c>
    </row>
    <row r="1052" spans="1:17" ht="12">
      <c r="A1052" s="290">
        <v>38841</v>
      </c>
      <c r="B1052" s="291" t="s">
        <v>2253</v>
      </c>
      <c r="C1052" s="297" t="s">
        <v>794</v>
      </c>
      <c r="D1052" s="297" t="s">
        <v>2254</v>
      </c>
      <c r="E1052" s="297" t="s">
        <v>2103</v>
      </c>
      <c r="F1052" s="293" t="s">
        <v>42</v>
      </c>
      <c r="G1052" s="310" t="s">
        <v>43</v>
      </c>
      <c r="H1052" s="311" t="s">
        <v>50</v>
      </c>
      <c r="I1052" s="297" t="s">
        <v>18</v>
      </c>
      <c r="J1052" s="297" t="s">
        <v>1740</v>
      </c>
      <c r="K1052" s="303" t="s">
        <v>20</v>
      </c>
    </row>
    <row r="1053" spans="1:17" ht="12">
      <c r="A1053" s="290">
        <v>16939</v>
      </c>
      <c r="B1053" s="291" t="s">
        <v>2589</v>
      </c>
      <c r="C1053" s="297" t="s">
        <v>2590</v>
      </c>
      <c r="D1053" s="297" t="s">
        <v>493</v>
      </c>
      <c r="E1053" s="297" t="s">
        <v>2103</v>
      </c>
      <c r="F1053" s="293" t="s">
        <v>42</v>
      </c>
      <c r="G1053" s="310" t="s">
        <v>43</v>
      </c>
      <c r="H1053" s="311" t="s">
        <v>103</v>
      </c>
      <c r="I1053" s="297" t="s">
        <v>18</v>
      </c>
      <c r="J1053" s="297" t="s">
        <v>1740</v>
      </c>
      <c r="K1053" s="303" t="s">
        <v>20</v>
      </c>
    </row>
    <row r="1054" spans="1:17" ht="12">
      <c r="A1054" s="290">
        <v>16305</v>
      </c>
      <c r="B1054" s="291" t="s">
        <v>1751</v>
      </c>
      <c r="C1054" s="292" t="s">
        <v>1752</v>
      </c>
      <c r="D1054" s="292" t="s">
        <v>1753</v>
      </c>
      <c r="E1054" s="292"/>
      <c r="F1054" s="293" t="s">
        <v>42</v>
      </c>
      <c r="G1054" s="310" t="s">
        <v>43</v>
      </c>
      <c r="H1054" s="311"/>
      <c r="I1054" s="292" t="s">
        <v>18</v>
      </c>
      <c r="J1054" s="292" t="s">
        <v>1740</v>
      </c>
      <c r="K1054" s="303" t="s">
        <v>20</v>
      </c>
      <c r="L1054" s="26"/>
      <c r="M1054" s="26"/>
      <c r="N1054" s="26"/>
      <c r="Q1054" s="30"/>
    </row>
    <row r="1055" spans="1:17" ht="12">
      <c r="A1055" s="290">
        <v>16300</v>
      </c>
      <c r="B1055" s="291" t="s">
        <v>1754</v>
      </c>
      <c r="C1055" s="292" t="s">
        <v>1752</v>
      </c>
      <c r="D1055" s="292" t="s">
        <v>1013</v>
      </c>
      <c r="E1055" s="292"/>
      <c r="F1055" s="293" t="s">
        <v>42</v>
      </c>
      <c r="G1055" s="310" t="s">
        <v>51</v>
      </c>
      <c r="H1055" s="311" t="s">
        <v>50</v>
      </c>
      <c r="I1055" s="292" t="s">
        <v>18</v>
      </c>
      <c r="J1055" s="292" t="s">
        <v>1740</v>
      </c>
      <c r="K1055" s="303" t="s">
        <v>20</v>
      </c>
    </row>
    <row r="1056" spans="1:17" ht="12">
      <c r="A1056" s="290">
        <v>38723</v>
      </c>
      <c r="B1056" s="291" t="s">
        <v>1935</v>
      </c>
      <c r="C1056" s="297" t="s">
        <v>1936</v>
      </c>
      <c r="D1056" s="297" t="s">
        <v>1376</v>
      </c>
      <c r="E1056" s="297" t="s">
        <v>2103</v>
      </c>
      <c r="F1056" s="293" t="s">
        <v>42</v>
      </c>
      <c r="G1056" s="310" t="s">
        <v>43</v>
      </c>
      <c r="H1056" s="311" t="s">
        <v>65</v>
      </c>
      <c r="I1056" s="297" t="s">
        <v>18</v>
      </c>
      <c r="J1056" s="297" t="s">
        <v>1740</v>
      </c>
      <c r="K1056" s="303" t="s">
        <v>20</v>
      </c>
    </row>
    <row r="1057" spans="1:17" ht="12">
      <c r="A1057" s="290">
        <v>16301</v>
      </c>
      <c r="B1057" s="291" t="s">
        <v>1755</v>
      </c>
      <c r="C1057" s="292" t="s">
        <v>1756</v>
      </c>
      <c r="D1057" s="292" t="s">
        <v>1757</v>
      </c>
      <c r="E1057" s="292"/>
      <c r="F1057" s="293" t="s">
        <v>42</v>
      </c>
      <c r="G1057" s="310" t="s">
        <v>43</v>
      </c>
      <c r="H1057" s="311" t="s">
        <v>238</v>
      </c>
      <c r="I1057" s="292" t="s">
        <v>18</v>
      </c>
      <c r="J1057" s="292" t="s">
        <v>1740</v>
      </c>
      <c r="K1057" s="303" t="s">
        <v>20</v>
      </c>
    </row>
    <row r="1058" spans="1:17" ht="12">
      <c r="A1058" s="290">
        <v>16291</v>
      </c>
      <c r="B1058" s="291" t="s">
        <v>1758</v>
      </c>
      <c r="C1058" s="292" t="s">
        <v>1756</v>
      </c>
      <c r="D1058" s="292" t="s">
        <v>64</v>
      </c>
      <c r="E1058" s="292"/>
      <c r="F1058" s="293" t="s">
        <v>42</v>
      </c>
      <c r="G1058" s="310" t="s">
        <v>51</v>
      </c>
      <c r="H1058" s="311" t="s">
        <v>50</v>
      </c>
      <c r="I1058" s="292" t="s">
        <v>18</v>
      </c>
      <c r="J1058" s="292" t="s">
        <v>1740</v>
      </c>
      <c r="K1058" s="303" t="s">
        <v>20</v>
      </c>
    </row>
    <row r="1059" spans="1:17" ht="12">
      <c r="A1059" s="290">
        <v>38018</v>
      </c>
      <c r="B1059" s="291" t="s">
        <v>1759</v>
      </c>
      <c r="C1059" s="292" t="s">
        <v>1760</v>
      </c>
      <c r="D1059" s="292" t="s">
        <v>1761</v>
      </c>
      <c r="E1059" s="292"/>
      <c r="F1059" s="293" t="s">
        <v>42</v>
      </c>
      <c r="G1059" s="310" t="s">
        <v>43</v>
      </c>
      <c r="H1059" s="311" t="s">
        <v>179</v>
      </c>
      <c r="I1059" s="292" t="s">
        <v>18</v>
      </c>
      <c r="J1059" s="292" t="s">
        <v>1740</v>
      </c>
      <c r="K1059" s="303" t="s">
        <v>20</v>
      </c>
    </row>
    <row r="1060" spans="1:17" ht="12">
      <c r="A1060" s="290">
        <v>25025</v>
      </c>
      <c r="B1060" s="291" t="s">
        <v>2591</v>
      </c>
      <c r="C1060" s="297" t="s">
        <v>341</v>
      </c>
      <c r="D1060" s="297" t="s">
        <v>116</v>
      </c>
      <c r="E1060" s="297" t="s">
        <v>2103</v>
      </c>
      <c r="F1060" s="293" t="s">
        <v>42</v>
      </c>
      <c r="G1060" s="310" t="s">
        <v>66</v>
      </c>
      <c r="H1060" s="311"/>
      <c r="I1060" s="292" t="s">
        <v>1762</v>
      </c>
      <c r="J1060" s="297" t="s">
        <v>13</v>
      </c>
      <c r="K1060" s="303" t="s">
        <v>27</v>
      </c>
    </row>
    <row r="1061" spans="1:17" ht="12">
      <c r="A1061" s="290">
        <v>7338</v>
      </c>
      <c r="B1061" s="291" t="s">
        <v>1763</v>
      </c>
      <c r="C1061" s="292" t="s">
        <v>1764</v>
      </c>
      <c r="D1061" s="292" t="s">
        <v>98</v>
      </c>
      <c r="E1061" s="292"/>
      <c r="F1061" s="293" t="s">
        <v>42</v>
      </c>
      <c r="G1061" s="300" t="s">
        <v>57</v>
      </c>
      <c r="H1061" s="301">
        <v>0</v>
      </c>
      <c r="I1061" s="292" t="s">
        <v>1762</v>
      </c>
      <c r="J1061" s="292" t="s">
        <v>13</v>
      </c>
      <c r="K1061" s="303" t="s">
        <v>27</v>
      </c>
    </row>
    <row r="1062" spans="1:17" ht="12">
      <c r="A1062" s="290">
        <v>38411</v>
      </c>
      <c r="B1062" s="291" t="s">
        <v>1765</v>
      </c>
      <c r="C1062" s="292" t="s">
        <v>1301</v>
      </c>
      <c r="D1062" s="292" t="s">
        <v>142</v>
      </c>
      <c r="E1062" s="292"/>
      <c r="F1062" s="293" t="s">
        <v>42</v>
      </c>
      <c r="G1062" s="310" t="s">
        <v>43</v>
      </c>
      <c r="H1062" s="311" t="s">
        <v>65</v>
      </c>
      <c r="I1062" s="292" t="s">
        <v>1762</v>
      </c>
      <c r="J1062" s="292" t="s">
        <v>13</v>
      </c>
      <c r="K1062" s="303" t="s">
        <v>27</v>
      </c>
    </row>
    <row r="1063" spans="1:17" ht="12">
      <c r="A1063" s="290">
        <v>7337</v>
      </c>
      <c r="B1063" s="291" t="s">
        <v>1766</v>
      </c>
      <c r="C1063" s="292" t="s">
        <v>1767</v>
      </c>
      <c r="D1063" s="292" t="s">
        <v>142</v>
      </c>
      <c r="E1063" s="292"/>
      <c r="F1063" s="293" t="s">
        <v>42</v>
      </c>
      <c r="G1063" s="310" t="s">
        <v>43</v>
      </c>
      <c r="H1063" s="311" t="s">
        <v>65</v>
      </c>
      <c r="I1063" s="292" t="s">
        <v>1762</v>
      </c>
      <c r="J1063" s="292" t="s">
        <v>13</v>
      </c>
      <c r="K1063" s="303" t="s">
        <v>27</v>
      </c>
    </row>
    <row r="1064" spans="1:17" ht="12">
      <c r="A1064" s="290">
        <v>38360</v>
      </c>
      <c r="B1064" s="291" t="s">
        <v>1768</v>
      </c>
      <c r="C1064" s="292" t="s">
        <v>1769</v>
      </c>
      <c r="D1064" s="292" t="s">
        <v>81</v>
      </c>
      <c r="E1064" s="292"/>
      <c r="F1064" s="293" t="s">
        <v>42</v>
      </c>
      <c r="G1064" s="310" t="s">
        <v>43</v>
      </c>
      <c r="H1064" s="311" t="s">
        <v>65</v>
      </c>
      <c r="I1064" s="292" t="s">
        <v>1762</v>
      </c>
      <c r="J1064" s="292" t="s">
        <v>13</v>
      </c>
      <c r="K1064" s="303" t="s">
        <v>27</v>
      </c>
      <c r="L1064" s="26"/>
      <c r="M1064" s="26"/>
      <c r="N1064" s="26"/>
      <c r="Q1064" s="30"/>
    </row>
    <row r="1065" spans="1:17" ht="12">
      <c r="A1065" s="290">
        <v>7344</v>
      </c>
      <c r="B1065" s="291" t="s">
        <v>1770</v>
      </c>
      <c r="C1065" s="292" t="s">
        <v>1771</v>
      </c>
      <c r="D1065" s="292" t="s">
        <v>135</v>
      </c>
      <c r="E1065" s="292"/>
      <c r="F1065" s="293" t="s">
        <v>42</v>
      </c>
      <c r="G1065" s="310" t="s">
        <v>66</v>
      </c>
      <c r="H1065" s="311" t="s">
        <v>44</v>
      </c>
      <c r="I1065" s="292" t="s">
        <v>1762</v>
      </c>
      <c r="J1065" s="292" t="s">
        <v>13</v>
      </c>
      <c r="K1065" s="303" t="s">
        <v>27</v>
      </c>
    </row>
    <row r="1066" spans="1:17" ht="12">
      <c r="A1066" s="290">
        <v>25024</v>
      </c>
      <c r="B1066" s="291" t="s">
        <v>1772</v>
      </c>
      <c r="C1066" s="297" t="s">
        <v>1773</v>
      </c>
      <c r="D1066" s="297" t="s">
        <v>178</v>
      </c>
      <c r="E1066" s="297" t="s">
        <v>2103</v>
      </c>
      <c r="F1066" s="293" t="s">
        <v>42</v>
      </c>
      <c r="G1066" s="310" t="s">
        <v>66</v>
      </c>
      <c r="H1066" s="311" t="s">
        <v>44</v>
      </c>
      <c r="I1066" s="292" t="s">
        <v>1762</v>
      </c>
      <c r="J1066" s="297" t="s">
        <v>13</v>
      </c>
      <c r="K1066" s="303" t="s">
        <v>27</v>
      </c>
    </row>
    <row r="1067" spans="1:17" ht="12">
      <c r="A1067" s="290">
        <v>38361</v>
      </c>
      <c r="B1067" s="291" t="s">
        <v>1774</v>
      </c>
      <c r="C1067" s="292" t="s">
        <v>1775</v>
      </c>
      <c r="D1067" s="292" t="s">
        <v>63</v>
      </c>
      <c r="E1067" s="292"/>
      <c r="F1067" s="293" t="s">
        <v>42</v>
      </c>
      <c r="G1067" s="310" t="s">
        <v>43</v>
      </c>
      <c r="H1067" s="311" t="s">
        <v>65</v>
      </c>
      <c r="I1067" s="292" t="s">
        <v>1762</v>
      </c>
      <c r="J1067" s="292" t="s">
        <v>13</v>
      </c>
      <c r="K1067" s="303" t="s">
        <v>27</v>
      </c>
    </row>
    <row r="1068" spans="1:17" ht="12">
      <c r="A1068" s="290">
        <v>25606</v>
      </c>
      <c r="B1068" s="291" t="s">
        <v>2592</v>
      </c>
      <c r="C1068" s="297" t="s">
        <v>1699</v>
      </c>
      <c r="D1068" s="297" t="s">
        <v>119</v>
      </c>
      <c r="E1068" s="297" t="s">
        <v>2103</v>
      </c>
      <c r="F1068" s="293" t="s">
        <v>42</v>
      </c>
      <c r="G1068" s="310" t="s">
        <v>43</v>
      </c>
      <c r="H1068" s="311"/>
      <c r="I1068" s="297" t="s">
        <v>1762</v>
      </c>
      <c r="J1068" s="297" t="s">
        <v>13</v>
      </c>
      <c r="K1068" s="303" t="s">
        <v>27</v>
      </c>
    </row>
    <row r="1069" spans="1:17" ht="12">
      <c r="A1069" s="290">
        <v>38550</v>
      </c>
      <c r="B1069" s="291" t="s">
        <v>1776</v>
      </c>
      <c r="C1069" s="292" t="s">
        <v>1777</v>
      </c>
      <c r="D1069" s="292" t="s">
        <v>632</v>
      </c>
      <c r="E1069" s="292"/>
      <c r="F1069" s="293" t="s">
        <v>42</v>
      </c>
      <c r="G1069" s="310" t="s">
        <v>43</v>
      </c>
      <c r="H1069" s="311" t="s">
        <v>179</v>
      </c>
      <c r="I1069" s="292" t="s">
        <v>1762</v>
      </c>
      <c r="J1069" s="292" t="s">
        <v>13</v>
      </c>
      <c r="K1069" s="303" t="s">
        <v>27</v>
      </c>
      <c r="L1069" s="26"/>
      <c r="M1069" s="26"/>
      <c r="N1069" s="26"/>
      <c r="Q1069" s="30"/>
    </row>
    <row r="1070" spans="1:17" ht="12">
      <c r="A1070" s="290">
        <v>7348</v>
      </c>
      <c r="B1070" s="291" t="s">
        <v>1778</v>
      </c>
      <c r="C1070" s="292" t="s">
        <v>1779</v>
      </c>
      <c r="D1070" s="292" t="s">
        <v>345</v>
      </c>
      <c r="E1070" s="292"/>
      <c r="F1070" s="293" t="s">
        <v>42</v>
      </c>
      <c r="G1070" s="310" t="s">
        <v>43</v>
      </c>
      <c r="H1070" s="311" t="s">
        <v>179</v>
      </c>
      <c r="I1070" s="292" t="s">
        <v>1762</v>
      </c>
      <c r="J1070" s="292" t="s">
        <v>13</v>
      </c>
      <c r="K1070" s="303" t="s">
        <v>27</v>
      </c>
    </row>
    <row r="1071" spans="1:17" ht="12">
      <c r="A1071" s="290"/>
      <c r="B1071" s="291"/>
      <c r="C1071" s="292"/>
      <c r="D1071" s="292"/>
      <c r="E1071" s="292"/>
      <c r="F1071" s="293"/>
      <c r="G1071" s="294"/>
      <c r="H1071" s="295"/>
      <c r="I1071" s="292"/>
      <c r="J1071" s="292"/>
      <c r="K1071" s="303"/>
    </row>
    <row r="1072" spans="1:17" ht="12">
      <c r="A1072" s="290"/>
      <c r="B1072" s="291"/>
      <c r="C1072" s="297"/>
      <c r="D1072" s="297"/>
      <c r="E1072" s="297"/>
      <c r="F1072" s="293"/>
      <c r="G1072" s="294"/>
      <c r="H1072" s="295"/>
      <c r="I1072" s="297"/>
      <c r="J1072" s="297"/>
      <c r="K1072" s="303"/>
    </row>
    <row r="1073" spans="1:17" ht="12">
      <c r="A1073" s="290"/>
      <c r="B1073" s="291"/>
      <c r="C1073" s="292"/>
      <c r="D1073" s="292"/>
      <c r="E1073" s="292"/>
      <c r="F1073" s="293"/>
      <c r="G1073" s="298"/>
      <c r="H1073" s="299"/>
      <c r="I1073" s="292"/>
      <c r="J1073" s="292"/>
      <c r="K1073" s="303"/>
    </row>
    <row r="1074" spans="1:17" ht="12">
      <c r="A1074" s="290"/>
      <c r="B1074" s="291"/>
      <c r="C1074" s="292"/>
      <c r="D1074" s="292"/>
      <c r="E1074" s="292"/>
      <c r="F1074" s="293"/>
      <c r="G1074" s="298"/>
      <c r="H1074" s="299"/>
      <c r="I1074" s="292"/>
      <c r="J1074" s="292"/>
      <c r="K1074" s="303"/>
    </row>
    <row r="1075" spans="1:17" ht="12">
      <c r="A1075" s="290"/>
      <c r="B1075" s="291"/>
      <c r="C1075" s="292"/>
      <c r="D1075" s="292"/>
      <c r="E1075" s="292"/>
      <c r="F1075" s="293"/>
      <c r="G1075" s="298"/>
      <c r="H1075" s="299"/>
      <c r="I1075" s="292"/>
      <c r="J1075" s="292"/>
      <c r="K1075" s="303"/>
    </row>
    <row r="1076" spans="1:17" ht="12">
      <c r="A1076" s="290"/>
      <c r="B1076" s="291"/>
      <c r="C1076" s="297"/>
      <c r="D1076" s="297"/>
      <c r="E1076" s="297"/>
      <c r="F1076" s="293"/>
      <c r="G1076" s="294"/>
      <c r="H1076" s="295"/>
      <c r="I1076" s="297"/>
      <c r="J1076" s="297"/>
      <c r="K1076" s="303"/>
    </row>
    <row r="1077" spans="1:17" ht="12">
      <c r="A1077" s="290"/>
      <c r="B1077" s="291"/>
      <c r="C1077" s="297"/>
      <c r="D1077" s="297"/>
      <c r="E1077" s="297"/>
      <c r="F1077" s="293"/>
      <c r="G1077" s="294"/>
      <c r="H1077" s="295"/>
      <c r="I1077" s="297"/>
      <c r="J1077" s="297"/>
      <c r="K1077" s="303"/>
    </row>
    <row r="1078" spans="1:17" ht="12">
      <c r="A1078" s="290"/>
      <c r="B1078" s="291"/>
      <c r="C1078" s="292"/>
      <c r="D1078" s="292"/>
      <c r="E1078" s="292"/>
      <c r="F1078" s="293"/>
      <c r="G1078" s="294"/>
      <c r="H1078" s="295"/>
      <c r="I1078" s="292"/>
      <c r="J1078" s="292"/>
      <c r="K1078" s="303"/>
      <c r="L1078" s="26"/>
      <c r="M1078" s="26"/>
      <c r="N1078" s="26"/>
      <c r="Q1078" s="30"/>
    </row>
    <row r="1079" spans="1:17" ht="12">
      <c r="A1079" s="290"/>
      <c r="B1079" s="291"/>
      <c r="C1079" s="297"/>
      <c r="D1079" s="297"/>
      <c r="E1079" s="297"/>
      <c r="F1079" s="293"/>
      <c r="G1079" s="294"/>
      <c r="H1079" s="295"/>
      <c r="I1079" s="297"/>
      <c r="J1079" s="297"/>
      <c r="K1079" s="303"/>
    </row>
    <row r="1080" spans="1:17" ht="12">
      <c r="A1080" s="290"/>
      <c r="B1080" s="291"/>
      <c r="C1080" s="292"/>
      <c r="D1080" s="292"/>
      <c r="E1080" s="292"/>
      <c r="F1080" s="293"/>
      <c r="G1080" s="298"/>
      <c r="H1080" s="299"/>
      <c r="I1080" s="292"/>
      <c r="J1080" s="292"/>
      <c r="K1080" s="303"/>
    </row>
    <row r="1081" spans="1:17" ht="12">
      <c r="A1081" s="290"/>
      <c r="B1081" s="291"/>
      <c r="C1081" s="292"/>
      <c r="D1081" s="292"/>
      <c r="E1081" s="292"/>
      <c r="F1081" s="293"/>
      <c r="G1081" s="298"/>
      <c r="H1081" s="299"/>
      <c r="I1081" s="292"/>
      <c r="J1081" s="292"/>
      <c r="K1081" s="303"/>
    </row>
    <row r="1082" spans="1:17" ht="12">
      <c r="A1082" s="290"/>
      <c r="B1082" s="291"/>
      <c r="C1082" s="292"/>
      <c r="D1082" s="292"/>
      <c r="E1082" s="292"/>
      <c r="F1082" s="293"/>
      <c r="G1082" s="298"/>
      <c r="H1082" s="299"/>
      <c r="I1082" s="292"/>
      <c r="J1082" s="292"/>
      <c r="K1082" s="303"/>
    </row>
    <row r="1083" spans="1:17" ht="12">
      <c r="A1083" s="290"/>
      <c r="B1083" s="291"/>
      <c r="C1083" s="297"/>
      <c r="D1083" s="297"/>
      <c r="E1083" s="297"/>
      <c r="F1083" s="293"/>
      <c r="G1083" s="294"/>
      <c r="H1083" s="295"/>
      <c r="I1083" s="297"/>
      <c r="J1083" s="297"/>
      <c r="K1083" s="303"/>
    </row>
    <row r="1084" spans="1:17" ht="12">
      <c r="A1084" s="290"/>
      <c r="B1084" s="291"/>
      <c r="C1084" s="292"/>
      <c r="D1084" s="292"/>
      <c r="E1084" s="292"/>
      <c r="F1084" s="293"/>
      <c r="G1084" s="294"/>
      <c r="H1084" s="295"/>
      <c r="I1084" s="292"/>
      <c r="J1084" s="292"/>
      <c r="K1084" s="303"/>
    </row>
    <row r="1085" spans="1:17" ht="12">
      <c r="A1085" s="290"/>
      <c r="B1085" s="291"/>
      <c r="C1085" s="292"/>
      <c r="D1085" s="292"/>
      <c r="E1085" s="292"/>
      <c r="F1085" s="293"/>
      <c r="G1085" s="294"/>
      <c r="H1085" s="295"/>
      <c r="I1085" s="292"/>
      <c r="J1085" s="292"/>
      <c r="K1085" s="303"/>
    </row>
    <row r="1086" spans="1:17" ht="12">
      <c r="A1086" s="290"/>
      <c r="B1086" s="291"/>
      <c r="C1086" s="292"/>
      <c r="D1086" s="292"/>
      <c r="E1086" s="292"/>
      <c r="F1086" s="293"/>
      <c r="G1086" s="298"/>
      <c r="H1086" s="299"/>
      <c r="I1086" s="292"/>
      <c r="J1086" s="292"/>
      <c r="K1086" s="303"/>
    </row>
    <row r="1087" spans="1:17" ht="12">
      <c r="A1087" s="290"/>
      <c r="B1087" s="291"/>
      <c r="C1087" s="292"/>
      <c r="D1087" s="292"/>
      <c r="E1087" s="292"/>
      <c r="F1087" s="293"/>
      <c r="G1087" s="298"/>
      <c r="H1087" s="299"/>
      <c r="I1087" s="292"/>
      <c r="J1087" s="292"/>
      <c r="K1087" s="303"/>
    </row>
    <row r="1088" spans="1:17" ht="12">
      <c r="A1088" s="290"/>
      <c r="B1088" s="291"/>
      <c r="C1088" s="292"/>
      <c r="D1088" s="292"/>
      <c r="E1088" s="292"/>
      <c r="F1088" s="293"/>
      <c r="G1088" s="298"/>
      <c r="H1088" s="299"/>
      <c r="I1088" s="292"/>
      <c r="J1088" s="292"/>
      <c r="K1088" s="303"/>
      <c r="L1088" s="26"/>
      <c r="M1088" s="26"/>
      <c r="N1088" s="26"/>
      <c r="Q1088" s="30"/>
    </row>
    <row r="1089" spans="1:17" ht="12">
      <c r="A1089" s="290"/>
      <c r="B1089" s="291"/>
      <c r="C1089" s="292"/>
      <c r="D1089" s="292"/>
      <c r="E1089" s="292"/>
      <c r="F1089" s="293"/>
      <c r="G1089" s="300"/>
      <c r="H1089" s="301"/>
      <c r="I1089" s="292"/>
      <c r="J1089" s="292"/>
      <c r="K1089" s="303"/>
      <c r="L1089" s="26"/>
      <c r="M1089" s="26"/>
      <c r="N1089" s="26"/>
      <c r="Q1089" s="30"/>
    </row>
    <row r="1090" spans="1:17" ht="12">
      <c r="A1090" s="290"/>
      <c r="B1090" s="291"/>
      <c r="C1090" s="292"/>
      <c r="D1090" s="292"/>
      <c r="E1090" s="292"/>
      <c r="F1090" s="293"/>
      <c r="G1090" s="294"/>
      <c r="H1090" s="295"/>
      <c r="I1090" s="292"/>
      <c r="J1090" s="292"/>
      <c r="K1090" s="303"/>
    </row>
    <row r="1091" spans="1:17" ht="12">
      <c r="A1091" s="290"/>
      <c r="B1091" s="291"/>
      <c r="C1091" s="292"/>
      <c r="D1091" s="292"/>
      <c r="E1091" s="292"/>
      <c r="F1091" s="293"/>
      <c r="G1091" s="294"/>
      <c r="H1091" s="295"/>
      <c r="I1091" s="292"/>
      <c r="J1091" s="292"/>
      <c r="K1091" s="303"/>
    </row>
    <row r="1092" spans="1:17" ht="12">
      <c r="A1092" s="290"/>
      <c r="B1092" s="291"/>
      <c r="C1092" s="292"/>
      <c r="D1092" s="292"/>
      <c r="E1092" s="292"/>
      <c r="F1092" s="293"/>
      <c r="G1092" s="294"/>
      <c r="H1092" s="295"/>
      <c r="I1092" s="292"/>
      <c r="J1092" s="292"/>
      <c r="K1092" s="303"/>
    </row>
    <row r="1093" spans="1:17" ht="12">
      <c r="A1093" s="290"/>
      <c r="B1093" s="291"/>
      <c r="C1093" s="292"/>
      <c r="D1093" s="292"/>
      <c r="E1093" s="292"/>
      <c r="F1093" s="293"/>
      <c r="G1093" s="294"/>
      <c r="H1093" s="295"/>
      <c r="I1093" s="292"/>
      <c r="J1093" s="292"/>
      <c r="K1093" s="303"/>
      <c r="L1093" s="26"/>
      <c r="M1093" s="26"/>
      <c r="N1093" s="26"/>
      <c r="Q1093" s="30"/>
    </row>
    <row r="1094" spans="1:17" ht="12">
      <c r="A1094" s="290"/>
      <c r="B1094" s="291"/>
      <c r="C1094" s="292"/>
      <c r="D1094" s="292"/>
      <c r="E1094" s="292"/>
      <c r="F1094" s="293"/>
      <c r="G1094" s="294"/>
      <c r="H1094" s="295"/>
      <c r="I1094" s="292"/>
      <c r="J1094" s="292"/>
      <c r="K1094" s="303"/>
      <c r="L1094" s="26"/>
      <c r="M1094" s="26"/>
      <c r="N1094" s="26"/>
      <c r="Q1094" s="30"/>
    </row>
    <row r="1095" spans="1:17" ht="12">
      <c r="A1095" s="290"/>
      <c r="B1095" s="291"/>
      <c r="C1095" s="292"/>
      <c r="D1095" s="292"/>
      <c r="E1095" s="292"/>
      <c r="F1095" s="293"/>
      <c r="G1095" s="294"/>
      <c r="H1095" s="295"/>
      <c r="I1095" s="292"/>
      <c r="J1095" s="292"/>
      <c r="K1095" s="303"/>
    </row>
    <row r="1096" spans="1:17" ht="12">
      <c r="A1096" s="290"/>
      <c r="B1096" s="291"/>
      <c r="C1096" s="292"/>
      <c r="D1096" s="292"/>
      <c r="E1096" s="292"/>
      <c r="F1096" s="293"/>
      <c r="G1096" s="294"/>
      <c r="H1096" s="295"/>
      <c r="I1096" s="292"/>
      <c r="J1096" s="292"/>
      <c r="K1096" s="303"/>
    </row>
    <row r="1097" spans="1:17" ht="12">
      <c r="A1097" s="290"/>
      <c r="B1097" s="291"/>
      <c r="C1097" s="292"/>
      <c r="D1097" s="292"/>
      <c r="E1097" s="292"/>
      <c r="F1097" s="293"/>
      <c r="G1097" s="294"/>
      <c r="H1097" s="295"/>
      <c r="I1097" s="292"/>
      <c r="J1097" s="292"/>
      <c r="K1097" s="303"/>
    </row>
    <row r="1098" spans="1:17" ht="12">
      <c r="A1098" s="290"/>
      <c r="B1098" s="291"/>
      <c r="C1098" s="292"/>
      <c r="D1098" s="292"/>
      <c r="E1098" s="292"/>
      <c r="F1098" s="293"/>
      <c r="G1098" s="294"/>
      <c r="H1098" s="295"/>
      <c r="I1098" s="292"/>
      <c r="J1098" s="292"/>
      <c r="K1098" s="303"/>
    </row>
    <row r="1099" spans="1:17" ht="12">
      <c r="A1099" s="290"/>
      <c r="B1099" s="291"/>
      <c r="C1099" s="292"/>
      <c r="D1099" s="292"/>
      <c r="E1099" s="292"/>
      <c r="F1099" s="293"/>
      <c r="G1099" s="294"/>
      <c r="H1099" s="295"/>
      <c r="I1099" s="292"/>
      <c r="J1099" s="292"/>
      <c r="K1099" s="303"/>
    </row>
    <row r="1100" spans="1:17" ht="12">
      <c r="A1100" s="290"/>
      <c r="B1100" s="291"/>
      <c r="C1100" s="292"/>
      <c r="D1100" s="292"/>
      <c r="E1100" s="292"/>
      <c r="F1100" s="293"/>
      <c r="G1100" s="294"/>
      <c r="H1100" s="295"/>
      <c r="I1100" s="292"/>
      <c r="J1100" s="292"/>
      <c r="K1100" s="303"/>
    </row>
    <row r="1101" spans="1:17" ht="12">
      <c r="A1101" s="290"/>
      <c r="B1101" s="291"/>
      <c r="C1101" s="292"/>
      <c r="D1101" s="292"/>
      <c r="E1101" s="292"/>
      <c r="F1101" s="293"/>
      <c r="G1101" s="294"/>
      <c r="H1101" s="295"/>
      <c r="I1101" s="292"/>
      <c r="J1101" s="292"/>
      <c r="K1101" s="303"/>
    </row>
    <row r="1102" spans="1:17" ht="12">
      <c r="A1102" s="290"/>
      <c r="B1102" s="291"/>
      <c r="C1102" s="297"/>
      <c r="D1102" s="297"/>
      <c r="E1102" s="297"/>
      <c r="F1102" s="293"/>
      <c r="G1102" s="294"/>
      <c r="H1102" s="295"/>
      <c r="I1102" s="297"/>
      <c r="J1102" s="297"/>
      <c r="K1102" s="303"/>
    </row>
    <row r="1103" spans="1:17" ht="12">
      <c r="A1103" s="290"/>
      <c r="B1103" s="291"/>
      <c r="C1103" s="292"/>
      <c r="D1103" s="292"/>
      <c r="E1103" s="292"/>
      <c r="F1103" s="293"/>
      <c r="G1103" s="298"/>
      <c r="H1103" s="299"/>
      <c r="I1103" s="292"/>
      <c r="J1103" s="292"/>
      <c r="K1103" s="303"/>
    </row>
    <row r="1104" spans="1:17" ht="12">
      <c r="A1104" s="290"/>
      <c r="B1104" s="291"/>
      <c r="C1104" s="292"/>
      <c r="D1104" s="292"/>
      <c r="E1104" s="292"/>
      <c r="F1104" s="293"/>
      <c r="G1104" s="294"/>
      <c r="H1104" s="295"/>
      <c r="I1104" s="292"/>
      <c r="J1104" s="292"/>
      <c r="K1104" s="303"/>
    </row>
    <row r="1105" spans="1:17" ht="12">
      <c r="A1105" s="290"/>
      <c r="B1105" s="291"/>
      <c r="C1105" s="292"/>
      <c r="D1105" s="292"/>
      <c r="E1105" s="292"/>
      <c r="F1105" s="293"/>
      <c r="G1105" s="294"/>
      <c r="H1105" s="295"/>
      <c r="I1105" s="292"/>
      <c r="J1105" s="292"/>
      <c r="K1105" s="303"/>
    </row>
    <row r="1106" spans="1:17" ht="12">
      <c r="A1106" s="290"/>
      <c r="B1106" s="291"/>
      <c r="C1106" s="292"/>
      <c r="D1106" s="292"/>
      <c r="E1106" s="292"/>
      <c r="F1106" s="293"/>
      <c r="G1106" s="294"/>
      <c r="H1106" s="295"/>
      <c r="I1106" s="292"/>
      <c r="J1106" s="292"/>
      <c r="K1106" s="303"/>
    </row>
    <row r="1107" spans="1:17" ht="12">
      <c r="A1107" s="290"/>
      <c r="B1107" s="291"/>
      <c r="C1107" s="292"/>
      <c r="D1107" s="292"/>
      <c r="E1107" s="292"/>
      <c r="F1107" s="293"/>
      <c r="G1107" s="298"/>
      <c r="H1107" s="299"/>
      <c r="I1107" s="292"/>
      <c r="J1107" s="292"/>
      <c r="K1107" s="303"/>
      <c r="L1107" s="26"/>
      <c r="M1107" s="26"/>
      <c r="N1107" s="26"/>
      <c r="Q1107" s="30"/>
    </row>
    <row r="1108" spans="1:17" ht="12">
      <c r="A1108" s="290"/>
      <c r="B1108" s="291"/>
      <c r="C1108" s="292"/>
      <c r="D1108" s="292"/>
      <c r="E1108" s="292"/>
      <c r="F1108" s="293"/>
      <c r="G1108" s="294"/>
      <c r="H1108" s="295"/>
      <c r="I1108" s="292"/>
      <c r="J1108" s="292"/>
      <c r="K1108" s="303"/>
    </row>
    <row r="1109" spans="1:17" ht="12">
      <c r="A1109" s="290"/>
      <c r="B1109" s="291"/>
      <c r="C1109" s="292"/>
      <c r="D1109" s="292"/>
      <c r="E1109" s="292"/>
      <c r="F1109" s="293"/>
      <c r="G1109" s="298"/>
      <c r="H1109" s="299"/>
      <c r="I1109" s="292"/>
      <c r="J1109" s="292"/>
      <c r="K1109" s="303"/>
    </row>
    <row r="1110" spans="1:17" ht="12">
      <c r="A1110" s="290"/>
      <c r="B1110" s="291"/>
      <c r="C1110" s="292"/>
      <c r="D1110" s="292"/>
      <c r="E1110" s="292"/>
      <c r="F1110" s="293"/>
      <c r="G1110" s="298"/>
      <c r="H1110" s="299"/>
      <c r="I1110" s="292"/>
      <c r="J1110" s="292"/>
      <c r="K1110" s="303"/>
      <c r="L1110" s="26"/>
      <c r="M1110" s="26"/>
      <c r="N1110" s="26"/>
      <c r="Q1110" s="30"/>
    </row>
    <row r="1111" spans="1:17" ht="12">
      <c r="A1111" s="290"/>
      <c r="B1111" s="291"/>
      <c r="C1111" s="297"/>
      <c r="D1111" s="297"/>
      <c r="E1111" s="297"/>
      <c r="F1111" s="293"/>
      <c r="G1111" s="294"/>
      <c r="H1111" s="295"/>
      <c r="I1111" s="297"/>
      <c r="J1111" s="297"/>
      <c r="K1111" s="303"/>
    </row>
    <row r="1112" spans="1:17" ht="12">
      <c r="A1112" s="290"/>
      <c r="B1112" s="291"/>
      <c r="C1112" s="297"/>
      <c r="D1112" s="297"/>
      <c r="E1112" s="297"/>
      <c r="F1112" s="293"/>
      <c r="G1112" s="294"/>
      <c r="H1112" s="295"/>
      <c r="I1112" s="297"/>
      <c r="J1112" s="297"/>
      <c r="K1112" s="303"/>
    </row>
    <row r="1113" spans="1:17" ht="12">
      <c r="A1113" s="290"/>
      <c r="B1113" s="291"/>
      <c r="C1113" s="297"/>
      <c r="D1113" s="297"/>
      <c r="E1113" s="297"/>
      <c r="F1113" s="293"/>
      <c r="G1113" s="294"/>
      <c r="H1113" s="295"/>
      <c r="I1113" s="297"/>
      <c r="J1113" s="297"/>
      <c r="K1113" s="303"/>
    </row>
    <row r="1114" spans="1:17" ht="12">
      <c r="A1114" s="290"/>
      <c r="B1114" s="291"/>
      <c r="C1114" s="297"/>
      <c r="D1114" s="297"/>
      <c r="E1114" s="297"/>
      <c r="F1114" s="293"/>
      <c r="G1114" s="294"/>
      <c r="H1114" s="295"/>
      <c r="I1114" s="297"/>
      <c r="J1114" s="297"/>
      <c r="K1114" s="303"/>
      <c r="L1114" s="26"/>
      <c r="M1114" s="26"/>
      <c r="N1114" s="26"/>
      <c r="Q1114" s="30"/>
    </row>
    <row r="1115" spans="1:17" ht="12">
      <c r="A1115" s="290"/>
      <c r="B1115" s="291"/>
      <c r="C1115" s="292"/>
      <c r="D1115" s="292"/>
      <c r="E1115" s="292"/>
      <c r="F1115" s="293"/>
      <c r="G1115" s="294"/>
      <c r="H1115" s="295"/>
      <c r="I1115" s="292"/>
      <c r="J1115" s="292"/>
      <c r="K1115" s="303"/>
      <c r="L1115" s="26"/>
      <c r="M1115" s="26"/>
      <c r="N1115" s="26"/>
      <c r="Q1115" s="30"/>
    </row>
    <row r="1116" spans="1:17" ht="12">
      <c r="A1116" s="290"/>
      <c r="B1116" s="291"/>
      <c r="C1116" s="292"/>
      <c r="D1116" s="292"/>
      <c r="E1116" s="292"/>
      <c r="F1116" s="293"/>
      <c r="G1116" s="294"/>
      <c r="H1116" s="295"/>
      <c r="I1116" s="292"/>
      <c r="J1116" s="292"/>
      <c r="K1116" s="303"/>
    </row>
    <row r="1117" spans="1:17" ht="12">
      <c r="A1117" s="290"/>
      <c r="B1117" s="291"/>
      <c r="C1117" s="297"/>
      <c r="D1117" s="297"/>
      <c r="E1117" s="297"/>
      <c r="F1117" s="293"/>
      <c r="G1117" s="294"/>
      <c r="H1117" s="295"/>
      <c r="I1117" s="297"/>
      <c r="J1117" s="297"/>
      <c r="K1117" s="303"/>
      <c r="L1117" s="26"/>
      <c r="M1117" s="26"/>
      <c r="N1117" s="26"/>
      <c r="Q1117" s="30"/>
    </row>
    <row r="1118" spans="1:17" ht="12">
      <c r="A1118" s="290"/>
      <c r="B1118" s="291"/>
      <c r="C1118" s="297"/>
      <c r="D1118" s="297"/>
      <c r="E1118" s="297"/>
      <c r="F1118" s="293"/>
      <c r="G1118" s="294"/>
      <c r="H1118" s="295"/>
      <c r="I1118" s="297"/>
      <c r="J1118" s="297"/>
      <c r="K1118" s="303"/>
      <c r="L1118" s="26"/>
      <c r="M1118" s="26"/>
      <c r="N1118" s="26"/>
      <c r="Q1118" s="30"/>
    </row>
    <row r="1119" spans="1:17" ht="12">
      <c r="A1119" s="290"/>
      <c r="B1119" s="291"/>
      <c r="C1119" s="292"/>
      <c r="D1119" s="292"/>
      <c r="E1119" s="292"/>
      <c r="F1119" s="293"/>
      <c r="G1119" s="294"/>
      <c r="H1119" s="295"/>
      <c r="I1119" s="292"/>
      <c r="J1119" s="292"/>
      <c r="K1119" s="303"/>
      <c r="L1119" s="26"/>
      <c r="M1119" s="26"/>
      <c r="N1119" s="26"/>
      <c r="Q1119" s="30"/>
    </row>
    <row r="1120" spans="1:17" ht="12">
      <c r="A1120" s="290"/>
      <c r="B1120" s="291"/>
      <c r="C1120" s="297"/>
      <c r="D1120" s="297"/>
      <c r="E1120" s="297"/>
      <c r="F1120" s="293"/>
      <c r="G1120" s="294"/>
      <c r="H1120" s="295"/>
      <c r="I1120" s="297"/>
      <c r="J1120" s="297"/>
      <c r="K1120" s="303"/>
      <c r="L1120" s="26"/>
      <c r="M1120" s="26"/>
      <c r="N1120" s="26"/>
      <c r="Q1120" s="30"/>
    </row>
    <row r="1121" spans="1:11" ht="12">
      <c r="A1121" s="290"/>
      <c r="B1121" s="291"/>
      <c r="C1121" s="297"/>
      <c r="D1121" s="297"/>
      <c r="E1121" s="297"/>
      <c r="F1121" s="293"/>
      <c r="G1121" s="294"/>
      <c r="H1121" s="295"/>
      <c r="I1121" s="297"/>
      <c r="J1121" s="297"/>
      <c r="K1121" s="303"/>
    </row>
    <row r="1122" spans="1:11" ht="12">
      <c r="A1122" s="290"/>
      <c r="B1122" s="291"/>
      <c r="C1122" s="297"/>
      <c r="D1122" s="297"/>
      <c r="E1122" s="297"/>
      <c r="F1122" s="293"/>
      <c r="G1122" s="294"/>
      <c r="H1122" s="295"/>
      <c r="I1122" s="297"/>
      <c r="J1122" s="297"/>
      <c r="K1122" s="303"/>
    </row>
    <row r="1123" spans="1:11" ht="12">
      <c r="A1123" s="290"/>
      <c r="B1123" s="291"/>
      <c r="C1123" s="292"/>
      <c r="D1123" s="292"/>
      <c r="E1123" s="292"/>
      <c r="F1123" s="293"/>
      <c r="G1123" s="294"/>
      <c r="H1123" s="295"/>
      <c r="I1123" s="292"/>
      <c r="J1123" s="292"/>
      <c r="K1123" s="303"/>
    </row>
    <row r="1124" spans="1:11" ht="12">
      <c r="A1124" s="290"/>
      <c r="B1124" s="291"/>
      <c r="C1124" s="297"/>
      <c r="D1124" s="297"/>
      <c r="E1124" s="297"/>
      <c r="F1124" s="293"/>
      <c r="G1124" s="294"/>
      <c r="H1124" s="295"/>
      <c r="I1124" s="297"/>
      <c r="J1124" s="297"/>
      <c r="K1124" s="303"/>
    </row>
    <row r="1125" spans="1:11" ht="12">
      <c r="A1125" s="290"/>
      <c r="B1125" s="291"/>
      <c r="C1125" s="297"/>
      <c r="D1125" s="297"/>
      <c r="E1125" s="297"/>
      <c r="F1125" s="293"/>
      <c r="G1125" s="294"/>
      <c r="H1125" s="295"/>
      <c r="I1125" s="297"/>
      <c r="J1125" s="297"/>
      <c r="K1125" s="303"/>
    </row>
    <row r="1126" spans="1:11" ht="12">
      <c r="A1126" s="290"/>
      <c r="B1126" s="291"/>
      <c r="C1126" s="297"/>
      <c r="D1126" s="297"/>
      <c r="E1126" s="297"/>
      <c r="F1126" s="293"/>
      <c r="G1126" s="294"/>
      <c r="H1126" s="295"/>
      <c r="I1126" s="297"/>
      <c r="J1126" s="297"/>
      <c r="K1126" s="303"/>
    </row>
    <row r="1127" spans="1:11" ht="12">
      <c r="A1127" s="290"/>
      <c r="B1127" s="291"/>
      <c r="C1127" s="292"/>
      <c r="D1127" s="292"/>
      <c r="E1127" s="292"/>
      <c r="F1127" s="293"/>
      <c r="G1127" s="294"/>
      <c r="H1127" s="295"/>
      <c r="I1127" s="292"/>
      <c r="J1127" s="292"/>
      <c r="K1127" s="303"/>
    </row>
    <row r="1128" spans="1:11" ht="12">
      <c r="A1128" s="290"/>
      <c r="B1128" s="291"/>
      <c r="C1128" s="292"/>
      <c r="D1128" s="292"/>
      <c r="E1128" s="292"/>
      <c r="F1128" s="293"/>
      <c r="G1128" s="294"/>
      <c r="H1128" s="295"/>
      <c r="I1128" s="292"/>
      <c r="J1128" s="292"/>
      <c r="K1128" s="303"/>
    </row>
    <row r="1129" spans="1:11" ht="12">
      <c r="A1129" s="290"/>
      <c r="B1129" s="291"/>
      <c r="C1129" s="297"/>
      <c r="D1129" s="297"/>
      <c r="E1129" s="297"/>
      <c r="F1129" s="293"/>
      <c r="G1129" s="294"/>
      <c r="H1129" s="295"/>
      <c r="I1129" s="297"/>
      <c r="J1129" s="297"/>
      <c r="K1129" s="303"/>
    </row>
    <row r="1130" spans="1:11" ht="12">
      <c r="A1130" s="290"/>
      <c r="B1130" s="291"/>
      <c r="C1130" s="292"/>
      <c r="D1130" s="292"/>
      <c r="E1130" s="292"/>
      <c r="F1130" s="293"/>
      <c r="G1130" s="294"/>
      <c r="H1130" s="295"/>
      <c r="I1130" s="292"/>
      <c r="J1130" s="292"/>
      <c r="K1130" s="303"/>
    </row>
    <row r="1131" spans="1:11" ht="12">
      <c r="A1131" s="290"/>
      <c r="B1131" s="291"/>
      <c r="C1131" s="292"/>
      <c r="D1131" s="292"/>
      <c r="E1131" s="292"/>
      <c r="F1131" s="293"/>
      <c r="G1131" s="294"/>
      <c r="H1131" s="295"/>
      <c r="I1131" s="292"/>
      <c r="J1131" s="292"/>
      <c r="K1131" s="303"/>
    </row>
    <row r="1132" spans="1:11" ht="12">
      <c r="A1132" s="290"/>
      <c r="B1132" s="291"/>
      <c r="C1132" s="292"/>
      <c r="D1132" s="292"/>
      <c r="E1132" s="292"/>
      <c r="F1132" s="293"/>
      <c r="G1132" s="294"/>
      <c r="H1132" s="295"/>
      <c r="I1132" s="292"/>
      <c r="J1132" s="292"/>
      <c r="K1132" s="303"/>
    </row>
    <row r="1133" spans="1:11" ht="12">
      <c r="A1133" s="290"/>
      <c r="B1133" s="291"/>
      <c r="C1133" s="292"/>
      <c r="D1133" s="292"/>
      <c r="E1133" s="292"/>
      <c r="F1133" s="293"/>
      <c r="G1133" s="294"/>
      <c r="H1133" s="295"/>
      <c r="I1133" s="292"/>
      <c r="J1133" s="292"/>
      <c r="K1133" s="303"/>
    </row>
    <row r="1134" spans="1:11" ht="12">
      <c r="A1134" s="290"/>
      <c r="B1134" s="291"/>
      <c r="C1134" s="297"/>
      <c r="D1134" s="297"/>
      <c r="E1134" s="297"/>
      <c r="F1134" s="293"/>
      <c r="G1134" s="294"/>
      <c r="H1134" s="295"/>
      <c r="I1134" s="292"/>
      <c r="J1134" s="297"/>
      <c r="K1134" s="303"/>
    </row>
    <row r="1135" spans="1:11" ht="12">
      <c r="A1135" s="290"/>
      <c r="B1135" s="291"/>
      <c r="C1135" s="292"/>
      <c r="D1135" s="292"/>
      <c r="E1135" s="292"/>
      <c r="F1135" s="293"/>
      <c r="G1135" s="300"/>
      <c r="H1135" s="301"/>
      <c r="I1135" s="292"/>
      <c r="J1135" s="292"/>
      <c r="K1135" s="303"/>
    </row>
    <row r="1136" spans="1:11" ht="12">
      <c r="A1136" s="290"/>
      <c r="B1136" s="291"/>
      <c r="C1136" s="292"/>
      <c r="D1136" s="292"/>
      <c r="E1136" s="292"/>
      <c r="F1136" s="293"/>
      <c r="G1136" s="294"/>
      <c r="H1136" s="295"/>
      <c r="I1136" s="292"/>
      <c r="J1136" s="292"/>
      <c r="K1136" s="303"/>
    </row>
    <row r="1137" spans="1:17" ht="12">
      <c r="A1137" s="290"/>
      <c r="B1137" s="291"/>
      <c r="C1137" s="292"/>
      <c r="D1137" s="292"/>
      <c r="E1137" s="292"/>
      <c r="F1137" s="293"/>
      <c r="G1137" s="294"/>
      <c r="H1137" s="295"/>
      <c r="I1137" s="292"/>
      <c r="J1137" s="292"/>
      <c r="K1137" s="303"/>
      <c r="L1137" s="26"/>
      <c r="M1137" s="26"/>
      <c r="N1137" s="26"/>
      <c r="Q1137" s="30"/>
    </row>
    <row r="1138" spans="1:17" ht="12">
      <c r="A1138" s="290"/>
      <c r="B1138" s="291"/>
      <c r="C1138" s="292"/>
      <c r="D1138" s="292"/>
      <c r="E1138" s="292"/>
      <c r="F1138" s="293"/>
      <c r="G1138" s="294"/>
      <c r="H1138" s="295"/>
      <c r="I1138" s="292"/>
      <c r="J1138" s="292"/>
      <c r="K1138" s="303"/>
    </row>
    <row r="1139" spans="1:17" ht="12">
      <c r="A1139" s="290"/>
      <c r="B1139" s="291"/>
      <c r="C1139" s="292"/>
      <c r="D1139" s="292"/>
      <c r="E1139" s="292"/>
      <c r="F1139" s="293"/>
      <c r="G1139" s="294"/>
      <c r="H1139" s="295"/>
      <c r="I1139" s="292"/>
      <c r="J1139" s="292"/>
      <c r="K1139" s="303"/>
    </row>
    <row r="1140" spans="1:17" ht="12">
      <c r="A1140" s="290"/>
      <c r="B1140" s="291"/>
      <c r="C1140" s="297"/>
      <c r="D1140" s="297"/>
      <c r="E1140" s="297"/>
      <c r="F1140" s="293"/>
      <c r="G1140" s="294"/>
      <c r="H1140" s="295"/>
      <c r="I1140" s="292"/>
      <c r="J1140" s="297"/>
      <c r="K1140" s="303"/>
      <c r="L1140" s="26"/>
      <c r="M1140" s="26"/>
      <c r="N1140" s="26"/>
      <c r="Q1140" s="30"/>
    </row>
    <row r="1141" spans="1:17" ht="12">
      <c r="A1141" s="290"/>
      <c r="B1141" s="291"/>
      <c r="C1141" s="292"/>
      <c r="D1141" s="292"/>
      <c r="E1141" s="292"/>
      <c r="F1141" s="293"/>
      <c r="G1141" s="294"/>
      <c r="H1141" s="295"/>
      <c r="I1141" s="292"/>
      <c r="J1141" s="292"/>
      <c r="K1141" s="303"/>
      <c r="L1141" s="26"/>
      <c r="M1141" s="26"/>
      <c r="N1141" s="26"/>
      <c r="Q1141" s="30"/>
    </row>
    <row r="1142" spans="1:17" ht="12">
      <c r="A1142" s="290"/>
      <c r="B1142" s="291"/>
      <c r="C1142" s="297"/>
      <c r="D1142" s="297"/>
      <c r="E1142" s="297"/>
      <c r="F1142" s="293"/>
      <c r="G1142" s="294"/>
      <c r="H1142" s="295"/>
      <c r="I1142" s="297"/>
      <c r="J1142" s="297"/>
      <c r="K1142" s="303"/>
    </row>
    <row r="1143" spans="1:17" ht="12">
      <c r="A1143" s="290"/>
      <c r="B1143" s="291"/>
      <c r="C1143" s="292"/>
      <c r="D1143" s="292"/>
      <c r="E1143" s="292"/>
      <c r="F1143" s="293"/>
      <c r="G1143" s="294"/>
      <c r="H1143" s="295"/>
      <c r="I1143" s="292"/>
      <c r="J1143" s="292"/>
      <c r="K1143" s="303"/>
    </row>
    <row r="1144" spans="1:17" ht="12">
      <c r="A1144" s="290"/>
      <c r="B1144" s="291"/>
      <c r="C1144" s="292"/>
      <c r="D1144" s="292"/>
      <c r="E1144" s="292"/>
      <c r="F1144" s="293"/>
      <c r="G1144" s="294"/>
      <c r="H1144" s="295"/>
      <c r="I1144" s="292"/>
      <c r="J1144" s="292"/>
      <c r="K1144" s="303"/>
    </row>
    <row r="1145" spans="1:17" ht="12">
      <c r="A1145" s="290"/>
      <c r="B1145" s="291"/>
      <c r="C1145" s="297"/>
      <c r="D1145" s="297"/>
      <c r="E1145" s="297"/>
      <c r="F1145" s="293"/>
      <c r="G1145" s="294"/>
      <c r="H1145" s="295"/>
      <c r="I1145" s="297"/>
      <c r="J1145" s="297"/>
      <c r="K1145" s="303"/>
    </row>
    <row r="1146" spans="1:17">
      <c r="A1146" s="197"/>
      <c r="B1146" s="198"/>
      <c r="C1146" s="199"/>
      <c r="D1146" s="199"/>
      <c r="E1146" s="199"/>
      <c r="F1146" s="200"/>
      <c r="G1146" s="201"/>
      <c r="H1146" s="202"/>
      <c r="I1146" s="199"/>
      <c r="J1146" s="199"/>
      <c r="K1146"/>
    </row>
    <row r="1147" spans="1:17">
      <c r="A1147" s="197"/>
      <c r="B1147" s="198"/>
      <c r="C1147" s="287"/>
      <c r="D1147" s="287"/>
      <c r="E1147" s="287"/>
      <c r="F1147" s="200"/>
      <c r="G1147" s="201"/>
      <c r="H1147" s="202"/>
      <c r="I1147" s="287"/>
      <c r="J1147" s="287"/>
      <c r="K1147"/>
    </row>
    <row r="1148" spans="1:17">
      <c r="A1148" s="197"/>
      <c r="B1148" s="198"/>
      <c r="C1148" s="199"/>
      <c r="D1148" s="199"/>
      <c r="E1148" s="199"/>
      <c r="F1148" s="200"/>
      <c r="G1148" s="201"/>
      <c r="H1148" s="202"/>
      <c r="I1148" s="199"/>
      <c r="J1148" s="199"/>
      <c r="K1148"/>
    </row>
    <row r="1149" spans="1:17">
      <c r="A1149" s="197"/>
      <c r="B1149" s="198"/>
      <c r="C1149" s="199"/>
      <c r="D1149" s="199"/>
      <c r="E1149" s="199"/>
      <c r="F1149" s="200"/>
      <c r="G1149" s="201"/>
      <c r="H1149" s="202"/>
      <c r="I1149" s="199"/>
      <c r="J1149" s="199"/>
      <c r="K1149"/>
    </row>
    <row r="1150" spans="1:17" ht="11.25" customHeight="1">
      <c r="A1150" s="197"/>
      <c r="B1150" s="198"/>
      <c r="C1150" s="287"/>
      <c r="D1150" s="287"/>
      <c r="E1150" s="287"/>
      <c r="F1150" s="200"/>
      <c r="G1150" s="201"/>
      <c r="H1150" s="202"/>
      <c r="I1150" s="199"/>
      <c r="J1150" s="287"/>
      <c r="K1150"/>
      <c r="L1150" s="26"/>
      <c r="M1150" s="26"/>
      <c r="N1150" s="26"/>
      <c r="Q1150" s="30"/>
    </row>
    <row r="1151" spans="1:17">
      <c r="A1151" s="197"/>
      <c r="B1151" s="198"/>
      <c r="C1151" s="199"/>
      <c r="D1151" s="199"/>
      <c r="E1151" s="199"/>
      <c r="F1151" s="200"/>
      <c r="G1151" s="201"/>
      <c r="H1151" s="202"/>
      <c r="I1151" s="199"/>
      <c r="J1151" s="199"/>
      <c r="K1151"/>
      <c r="L1151" s="26"/>
      <c r="M1151" s="26"/>
      <c r="N1151" s="26"/>
      <c r="Q1151" s="30"/>
    </row>
    <row r="1152" spans="1:17">
      <c r="A1152" s="197"/>
      <c r="B1152" s="198"/>
      <c r="C1152" s="199"/>
      <c r="D1152" s="199"/>
      <c r="E1152" s="199"/>
      <c r="F1152" s="200"/>
      <c r="G1152" s="201"/>
      <c r="H1152" s="202"/>
      <c r="I1152" s="199"/>
      <c r="J1152" s="199"/>
      <c r="K1152"/>
      <c r="L1152" s="26"/>
      <c r="M1152" s="26"/>
      <c r="N1152" s="26"/>
      <c r="Q1152" s="30"/>
    </row>
    <row r="1153" spans="1:17">
      <c r="A1153" s="197"/>
      <c r="B1153" s="198"/>
      <c r="C1153" s="287"/>
      <c r="D1153" s="287"/>
      <c r="E1153" s="287"/>
      <c r="F1153" s="200"/>
      <c r="G1153" s="201"/>
      <c r="H1153" s="202"/>
      <c r="I1153" s="199"/>
      <c r="J1153" s="287"/>
      <c r="L1153" s="26"/>
      <c r="M1153" s="26"/>
      <c r="N1153" s="26"/>
      <c r="Q1153" s="30"/>
    </row>
    <row r="1154" spans="1:17">
      <c r="A1154" s="197"/>
      <c r="B1154" s="198"/>
      <c r="C1154" s="199"/>
      <c r="D1154" s="199"/>
      <c r="E1154" s="199"/>
      <c r="F1154" s="200"/>
      <c r="G1154" s="201"/>
      <c r="H1154" s="202"/>
      <c r="I1154" s="199"/>
      <c r="J1154" s="199"/>
      <c r="L1154" s="26"/>
      <c r="M1154" s="26"/>
      <c r="N1154" s="26"/>
      <c r="Q1154" s="30"/>
    </row>
    <row r="1155" spans="1:17">
      <c r="A1155" s="197"/>
      <c r="B1155" s="198"/>
      <c r="C1155" s="199"/>
      <c r="D1155" s="199"/>
      <c r="E1155" s="199"/>
      <c r="F1155" s="200"/>
      <c r="G1155" s="201"/>
      <c r="H1155" s="202"/>
      <c r="I1155" s="199"/>
      <c r="J1155" s="199"/>
      <c r="L1155" s="26"/>
      <c r="M1155" s="26"/>
      <c r="N1155" s="26"/>
      <c r="Q1155" s="30"/>
    </row>
    <row r="1156" spans="1:17">
      <c r="A1156" s="197"/>
      <c r="B1156" s="198"/>
      <c r="C1156" s="199"/>
      <c r="D1156" s="199"/>
      <c r="E1156" s="199"/>
      <c r="F1156" s="200"/>
      <c r="G1156" s="201"/>
      <c r="H1156" s="202"/>
      <c r="I1156" s="199"/>
      <c r="J1156" s="199"/>
      <c r="L1156" s="26"/>
      <c r="M1156" s="26"/>
      <c r="N1156" s="26"/>
      <c r="Q1156" s="30"/>
    </row>
    <row r="1157" spans="1:17">
      <c r="A1157" s="197"/>
      <c r="B1157" s="198"/>
      <c r="C1157" s="199"/>
      <c r="D1157" s="199"/>
      <c r="E1157" s="199"/>
      <c r="F1157" s="200"/>
      <c r="G1157" s="201"/>
      <c r="H1157" s="202"/>
      <c r="I1157" s="199"/>
      <c r="J1157" s="199"/>
      <c r="L1157" s="26"/>
      <c r="M1157" s="26"/>
      <c r="N1157" s="26"/>
      <c r="Q1157" s="30"/>
    </row>
    <row r="1158" spans="1:17">
      <c r="A1158" s="197"/>
      <c r="B1158" s="198"/>
      <c r="C1158" s="287"/>
      <c r="D1158" s="287"/>
      <c r="E1158" s="287"/>
      <c r="F1158" s="200"/>
      <c r="G1158" s="201"/>
      <c r="H1158" s="202"/>
      <c r="I1158" s="199"/>
      <c r="J1158" s="287"/>
      <c r="L1158" s="26"/>
      <c r="M1158" s="26"/>
      <c r="N1158" s="26"/>
      <c r="Q1158" s="30"/>
    </row>
    <row r="1159" spans="1:17">
      <c r="A1159" s="197"/>
      <c r="B1159" s="198"/>
      <c r="C1159" s="199"/>
      <c r="D1159" s="199"/>
      <c r="E1159" s="199"/>
      <c r="F1159" s="200"/>
      <c r="G1159" s="201"/>
      <c r="H1159" s="202"/>
      <c r="I1159" s="199"/>
      <c r="J1159" s="199"/>
    </row>
    <row r="1160" spans="1:17">
      <c r="A1160" s="197"/>
      <c r="B1160" s="198"/>
      <c r="C1160" s="199"/>
      <c r="D1160" s="199"/>
      <c r="E1160" s="199"/>
      <c r="F1160" s="200"/>
      <c r="G1160" s="201"/>
      <c r="H1160" s="202"/>
      <c r="I1160" s="199"/>
      <c r="J1160" s="199"/>
    </row>
    <row r="1161" spans="1:17">
      <c r="A1161" s="197"/>
      <c r="B1161" s="198"/>
      <c r="C1161" s="199"/>
      <c r="D1161" s="199"/>
      <c r="E1161" s="199"/>
      <c r="F1161" s="200"/>
      <c r="G1161" s="201"/>
      <c r="H1161" s="202"/>
      <c r="I1161" s="199"/>
      <c r="J1161" s="199"/>
    </row>
    <row r="1162" spans="1:17">
      <c r="A1162" s="197"/>
      <c r="B1162" s="198"/>
      <c r="C1162" s="199"/>
      <c r="D1162" s="199"/>
      <c r="E1162" s="199"/>
      <c r="F1162" s="200"/>
      <c r="G1162" s="201"/>
      <c r="H1162" s="202"/>
      <c r="I1162" s="199"/>
      <c r="J1162" s="199"/>
      <c r="L1162" s="26"/>
      <c r="M1162" s="26"/>
      <c r="N1162" s="26"/>
      <c r="Q1162" s="30"/>
    </row>
    <row r="1163" spans="1:17">
      <c r="A1163" s="197"/>
      <c r="B1163" s="198"/>
      <c r="C1163" s="199"/>
      <c r="D1163" s="199"/>
      <c r="E1163" s="199"/>
      <c r="F1163" s="200"/>
      <c r="G1163" s="201"/>
      <c r="H1163" s="202"/>
      <c r="I1163" s="199"/>
      <c r="J1163" s="199"/>
    </row>
    <row r="1164" spans="1:17">
      <c r="A1164" s="197"/>
      <c r="B1164" s="198"/>
      <c r="C1164" s="199"/>
      <c r="D1164" s="199"/>
      <c r="E1164" s="199"/>
      <c r="F1164" s="200"/>
      <c r="G1164" s="201"/>
      <c r="H1164" s="202"/>
      <c r="I1164" s="199"/>
      <c r="J1164" s="199"/>
      <c r="L1164" s="26"/>
      <c r="M1164" s="26"/>
      <c r="N1164" s="26"/>
      <c r="Q1164" s="30"/>
    </row>
    <row r="1165" spans="1:17">
      <c r="A1165" s="197"/>
      <c r="B1165" s="198"/>
      <c r="C1165" s="287"/>
      <c r="D1165" s="287"/>
      <c r="E1165" s="287"/>
      <c r="F1165" s="200"/>
      <c r="G1165" s="201"/>
      <c r="H1165" s="202"/>
      <c r="I1165" s="199"/>
      <c r="J1165" s="287"/>
    </row>
    <row r="1166" spans="1:17">
      <c r="A1166" s="197"/>
      <c r="B1166" s="198"/>
      <c r="C1166" s="199"/>
      <c r="D1166" s="199"/>
      <c r="E1166" s="199"/>
      <c r="F1166" s="200"/>
      <c r="G1166" s="201"/>
      <c r="H1166" s="202"/>
      <c r="I1166" s="199"/>
      <c r="J1166" s="199"/>
    </row>
    <row r="1167" spans="1:17">
      <c r="A1167" s="197"/>
      <c r="B1167" s="198"/>
      <c r="C1167" s="199"/>
      <c r="D1167" s="199"/>
      <c r="E1167" s="199"/>
      <c r="F1167" s="200"/>
      <c r="G1167" s="201"/>
      <c r="H1167" s="202"/>
      <c r="I1167" s="199"/>
      <c r="J1167" s="199"/>
    </row>
    <row r="1168" spans="1:17">
      <c r="A1168" s="197"/>
      <c r="B1168" s="198"/>
      <c r="C1168" s="199"/>
      <c r="D1168" s="199"/>
      <c r="E1168" s="199"/>
      <c r="F1168" s="200"/>
      <c r="G1168" s="201"/>
      <c r="H1168" s="202"/>
      <c r="I1168" s="199"/>
      <c r="J1168" s="199"/>
    </row>
    <row r="1169" spans="1:10">
      <c r="A1169" s="197"/>
      <c r="B1169" s="198"/>
      <c r="C1169" s="199"/>
      <c r="D1169" s="199"/>
      <c r="E1169" s="199"/>
      <c r="F1169" s="200"/>
      <c r="G1169" s="201"/>
      <c r="H1169" s="202"/>
      <c r="I1169" s="199"/>
      <c r="J1169" s="199"/>
    </row>
    <row r="1170" spans="1:10">
      <c r="A1170" s="197"/>
      <c r="B1170" s="198"/>
      <c r="C1170" s="287"/>
      <c r="D1170" s="287"/>
      <c r="E1170" s="287"/>
      <c r="F1170" s="200"/>
      <c r="G1170" s="201"/>
      <c r="H1170" s="202"/>
      <c r="I1170" s="287"/>
      <c r="J1170" s="287"/>
    </row>
    <row r="1171" spans="1:10">
      <c r="A1171" s="197"/>
      <c r="B1171" s="198"/>
      <c r="C1171" s="199"/>
      <c r="D1171" s="199"/>
      <c r="E1171" s="199"/>
      <c r="F1171" s="200"/>
      <c r="G1171" s="201"/>
      <c r="H1171" s="202"/>
      <c r="I1171" s="199"/>
      <c r="J1171" s="199"/>
    </row>
    <row r="1172" spans="1:10">
      <c r="A1172" s="197"/>
      <c r="B1172" s="198"/>
      <c r="C1172" s="199"/>
      <c r="D1172" s="199"/>
      <c r="E1172" s="199"/>
      <c r="F1172" s="200"/>
      <c r="G1172" s="201"/>
      <c r="H1172" s="202"/>
      <c r="I1172" s="199"/>
      <c r="J1172" s="199"/>
    </row>
    <row r="1173" spans="1:10">
      <c r="A1173" s="197"/>
      <c r="B1173" s="198"/>
      <c r="C1173" s="199"/>
      <c r="D1173" s="199"/>
      <c r="E1173" s="199"/>
      <c r="F1173" s="200"/>
      <c r="G1173" s="201"/>
      <c r="H1173" s="202"/>
      <c r="I1173" s="199"/>
      <c r="J1173" s="199"/>
    </row>
    <row r="1174" spans="1:10">
      <c r="A1174" s="197"/>
      <c r="B1174" s="198"/>
      <c r="C1174" s="199"/>
      <c r="D1174" s="199"/>
      <c r="E1174" s="199"/>
      <c r="F1174" s="200"/>
      <c r="G1174" s="201"/>
      <c r="H1174" s="202"/>
      <c r="I1174" s="199"/>
      <c r="J1174" s="199"/>
    </row>
    <row r="1175" spans="1:10">
      <c r="A1175" s="197"/>
      <c r="B1175" s="198"/>
      <c r="C1175" s="287"/>
      <c r="D1175" s="287"/>
      <c r="E1175" s="287"/>
      <c r="F1175" s="200"/>
      <c r="G1175" s="201"/>
      <c r="H1175" s="202"/>
      <c r="I1175" s="287"/>
      <c r="J1175" s="287"/>
    </row>
    <row r="1176" spans="1:10">
      <c r="A1176" s="197"/>
      <c r="B1176" s="198"/>
      <c r="C1176" s="199"/>
      <c r="D1176" s="199"/>
      <c r="E1176" s="199"/>
      <c r="F1176" s="200"/>
      <c r="G1176" s="201"/>
      <c r="H1176" s="202"/>
      <c r="I1176" s="199"/>
      <c r="J1176" s="199"/>
    </row>
    <row r="1177" spans="1:10">
      <c r="A1177" s="197"/>
      <c r="B1177" s="198"/>
      <c r="C1177" s="199"/>
      <c r="D1177" s="199"/>
      <c r="E1177" s="199"/>
      <c r="F1177" s="200"/>
      <c r="G1177" s="201"/>
      <c r="H1177" s="202"/>
      <c r="I1177" s="199"/>
      <c r="J1177" s="199"/>
    </row>
    <row r="1178" spans="1:10">
      <c r="A1178" s="197"/>
      <c r="B1178" s="198"/>
      <c r="C1178" s="199"/>
      <c r="D1178" s="199"/>
      <c r="E1178" s="199"/>
      <c r="F1178" s="200"/>
      <c r="G1178" s="201"/>
      <c r="H1178" s="202"/>
      <c r="I1178" s="199"/>
      <c r="J1178" s="199"/>
    </row>
    <row r="1179" spans="1:10">
      <c r="A1179" s="197"/>
      <c r="B1179" s="198"/>
      <c r="C1179" s="199"/>
      <c r="D1179" s="199"/>
      <c r="E1179" s="199"/>
      <c r="F1179" s="200"/>
      <c r="G1179" s="201"/>
      <c r="H1179" s="202"/>
      <c r="I1179" s="199"/>
      <c r="J1179" s="199"/>
    </row>
    <row r="1180" spans="1:10">
      <c r="A1180" s="197"/>
      <c r="B1180" s="198"/>
      <c r="C1180" s="199"/>
      <c r="D1180" s="199"/>
      <c r="E1180" s="199"/>
      <c r="F1180" s="200"/>
      <c r="G1180" s="201"/>
      <c r="H1180" s="202"/>
      <c r="I1180" s="199"/>
      <c r="J1180" s="199"/>
    </row>
    <row r="1181" spans="1:10">
      <c r="A1181" s="197"/>
      <c r="B1181" s="198"/>
      <c r="C1181" s="199"/>
      <c r="D1181" s="199"/>
      <c r="E1181" s="199"/>
      <c r="F1181" s="200"/>
      <c r="G1181" s="288"/>
      <c r="H1181" s="289"/>
      <c r="I1181" s="199"/>
      <c r="J1181" s="199"/>
    </row>
    <row r="1182" spans="1:10">
      <c r="A1182" s="197"/>
      <c r="B1182" s="198"/>
      <c r="C1182" s="287"/>
      <c r="D1182" s="287"/>
      <c r="E1182" s="287"/>
      <c r="F1182" s="200"/>
      <c r="G1182" s="201"/>
      <c r="H1182" s="202"/>
      <c r="I1182" s="287"/>
      <c r="J1182" s="287"/>
    </row>
    <row r="1183" spans="1:10">
      <c r="A1183" s="197"/>
      <c r="B1183" s="198"/>
      <c r="C1183" s="287"/>
      <c r="D1183" s="287"/>
      <c r="E1183" s="287"/>
      <c r="F1183" s="200"/>
      <c r="G1183" s="201"/>
      <c r="H1183" s="202"/>
      <c r="I1183" s="287"/>
      <c r="J1183" s="287"/>
    </row>
    <row r="1184" spans="1:10">
      <c r="A1184" s="197"/>
      <c r="B1184" s="198"/>
      <c r="C1184" s="199"/>
      <c r="D1184" s="199"/>
      <c r="E1184" s="199"/>
      <c r="F1184" s="200"/>
      <c r="G1184" s="201"/>
      <c r="H1184" s="202"/>
      <c r="I1184" s="199"/>
      <c r="J1184" s="199"/>
    </row>
    <row r="1185" spans="1:10">
      <c r="A1185" s="197"/>
      <c r="B1185" s="198"/>
      <c r="C1185" s="287"/>
      <c r="D1185" s="287"/>
      <c r="E1185" s="287"/>
      <c r="F1185" s="200"/>
      <c r="G1185" s="201"/>
      <c r="H1185" s="202"/>
      <c r="I1185" s="287"/>
      <c r="J1185" s="287"/>
    </row>
    <row r="1186" spans="1:10">
      <c r="A1186" s="197"/>
      <c r="B1186" s="198"/>
      <c r="C1186" s="287"/>
      <c r="D1186" s="287"/>
      <c r="E1186" s="287"/>
      <c r="F1186" s="200"/>
      <c r="G1186" s="201"/>
      <c r="H1186" s="202"/>
      <c r="I1186" s="287"/>
      <c r="J1186" s="287"/>
    </row>
    <row r="1187" spans="1:10">
      <c r="A1187" s="197"/>
      <c r="B1187" s="198"/>
      <c r="C1187" s="287"/>
      <c r="D1187" s="287"/>
      <c r="E1187" s="287"/>
      <c r="F1187" s="200"/>
      <c r="G1187" s="201"/>
      <c r="H1187" s="202"/>
      <c r="I1187" s="287"/>
      <c r="J1187" s="287"/>
    </row>
    <row r="1188" spans="1:10">
      <c r="A1188" s="197"/>
      <c r="B1188" s="198"/>
      <c r="C1188" s="287"/>
      <c r="D1188" s="287"/>
      <c r="E1188" s="287"/>
      <c r="F1188" s="200"/>
      <c r="G1188" s="201"/>
      <c r="H1188" s="202"/>
      <c r="I1188" s="287"/>
      <c r="J1188" s="287"/>
    </row>
    <row r="1189" spans="1:10">
      <c r="A1189" s="197"/>
      <c r="B1189" s="198"/>
      <c r="C1189" s="287"/>
      <c r="D1189" s="287"/>
      <c r="E1189" s="287"/>
      <c r="F1189" s="200"/>
      <c r="G1189" s="201"/>
      <c r="H1189" s="202"/>
      <c r="I1189" s="287"/>
      <c r="J1189" s="287"/>
    </row>
    <row r="1190" spans="1:10">
      <c r="A1190" s="197"/>
      <c r="B1190" s="198"/>
      <c r="C1190" s="199"/>
      <c r="D1190" s="199"/>
      <c r="E1190" s="199"/>
      <c r="F1190" s="200"/>
      <c r="G1190" s="201"/>
      <c r="H1190" s="202"/>
      <c r="I1190" s="199"/>
      <c r="J1190" s="199"/>
    </row>
    <row r="1191" spans="1:10">
      <c r="A1191" s="197"/>
      <c r="B1191" s="198"/>
      <c r="C1191" s="199"/>
      <c r="D1191" s="199"/>
      <c r="E1191" s="199"/>
      <c r="F1191" s="200"/>
      <c r="G1191" s="201"/>
      <c r="H1191" s="202"/>
      <c r="I1191" s="199"/>
      <c r="J1191" s="199"/>
    </row>
    <row r="1192" spans="1:10">
      <c r="A1192" s="197"/>
      <c r="B1192" s="198"/>
      <c r="C1192" s="287"/>
      <c r="D1192" s="287"/>
      <c r="E1192" s="287"/>
      <c r="F1192" s="200"/>
      <c r="G1192" s="201"/>
      <c r="H1192" s="202"/>
      <c r="I1192" s="287"/>
      <c r="J1192" s="287"/>
    </row>
    <row r="1193" spans="1:10">
      <c r="A1193" s="197"/>
      <c r="B1193" s="198"/>
      <c r="C1193" s="199"/>
      <c r="D1193" s="199"/>
      <c r="E1193" s="199"/>
      <c r="F1193" s="200"/>
      <c r="G1193" s="201"/>
      <c r="H1193" s="202"/>
      <c r="I1193" s="199"/>
      <c r="J1193" s="199"/>
    </row>
    <row r="1194" spans="1:10">
      <c r="A1194" s="197"/>
      <c r="B1194" s="198"/>
      <c r="C1194" s="199"/>
      <c r="D1194" s="199"/>
      <c r="E1194" s="199"/>
      <c r="F1194" s="200"/>
      <c r="G1194" s="201"/>
      <c r="H1194" s="202"/>
      <c r="I1194" s="199"/>
      <c r="J1194" s="199"/>
    </row>
    <row r="1195" spans="1:10">
      <c r="A1195" s="197"/>
      <c r="B1195" s="198"/>
      <c r="C1195" s="199"/>
      <c r="D1195" s="199"/>
      <c r="E1195" s="199"/>
      <c r="F1195" s="200"/>
      <c r="G1195" s="201"/>
      <c r="H1195" s="202"/>
      <c r="I1195" s="199"/>
      <c r="J1195" s="199"/>
    </row>
    <row r="1196" spans="1:10">
      <c r="A1196" s="197"/>
      <c r="B1196" s="198"/>
      <c r="C1196" s="199"/>
      <c r="D1196" s="199"/>
      <c r="E1196" s="199"/>
      <c r="F1196" s="200"/>
      <c r="G1196" s="201"/>
      <c r="H1196" s="202"/>
      <c r="I1196" s="199"/>
      <c r="J1196" s="199"/>
    </row>
    <row r="1197" spans="1:10">
      <c r="A1197" s="197"/>
      <c r="B1197" s="198"/>
      <c r="C1197" s="199"/>
      <c r="D1197" s="199"/>
      <c r="E1197" s="199"/>
      <c r="F1197" s="200"/>
      <c r="G1197" s="201"/>
      <c r="H1197" s="202"/>
      <c r="I1197" s="199"/>
      <c r="J1197" s="199"/>
    </row>
    <row r="1198" spans="1:10">
      <c r="A1198" s="197"/>
      <c r="B1198" s="198"/>
      <c r="C1198" s="199"/>
      <c r="D1198" s="199"/>
      <c r="E1198" s="199"/>
      <c r="F1198" s="200"/>
      <c r="G1198" s="201"/>
      <c r="H1198" s="202"/>
      <c r="I1198" s="199"/>
      <c r="J1198" s="199"/>
    </row>
    <row r="1199" spans="1:10">
      <c r="A1199" s="197"/>
      <c r="B1199" s="198"/>
      <c r="C1199" s="199"/>
      <c r="D1199" s="199"/>
      <c r="E1199" s="199"/>
      <c r="F1199" s="200"/>
      <c r="G1199" s="201"/>
      <c r="H1199" s="202"/>
      <c r="I1199" s="199"/>
      <c r="J1199" s="199"/>
    </row>
    <row r="1200" spans="1:10">
      <c r="A1200" s="197"/>
      <c r="B1200" s="198"/>
      <c r="C1200" s="199"/>
      <c r="D1200" s="199"/>
      <c r="E1200" s="199"/>
      <c r="F1200" s="200"/>
      <c r="G1200" s="201"/>
      <c r="H1200" s="202"/>
      <c r="I1200" s="199"/>
      <c r="J1200" s="199"/>
    </row>
    <row r="1201" spans="1:10">
      <c r="A1201" s="197"/>
      <c r="B1201" s="198"/>
      <c r="C1201" s="199"/>
      <c r="D1201" s="199"/>
      <c r="E1201" s="199"/>
      <c r="F1201" s="200"/>
      <c r="G1201" s="201"/>
      <c r="H1201" s="202"/>
      <c r="I1201" s="199"/>
      <c r="J1201" s="199"/>
    </row>
    <row r="1202" spans="1:10">
      <c r="A1202" s="197"/>
      <c r="B1202" s="198"/>
      <c r="C1202" s="199"/>
      <c r="D1202" s="199"/>
      <c r="E1202" s="199"/>
      <c r="F1202" s="200"/>
      <c r="G1202" s="199"/>
      <c r="H1202" s="200"/>
      <c r="I1202" s="199"/>
      <c r="J1202" s="199"/>
    </row>
    <row r="1203" spans="1:10">
      <c r="A1203" s="197"/>
      <c r="B1203" s="198"/>
      <c r="C1203" s="199"/>
      <c r="D1203" s="199"/>
      <c r="E1203" s="199"/>
      <c r="F1203" s="200"/>
      <c r="G1203" s="201"/>
      <c r="H1203" s="202"/>
      <c r="I1203" s="199"/>
      <c r="J1203" s="199"/>
    </row>
    <row r="1204" spans="1:10">
      <c r="A1204" s="197"/>
      <c r="B1204" s="198"/>
      <c r="C1204" s="287"/>
      <c r="D1204" s="287"/>
      <c r="E1204" s="287"/>
      <c r="F1204" s="200"/>
      <c r="G1204" s="201"/>
      <c r="H1204" s="202"/>
      <c r="I1204" s="287"/>
      <c r="J1204" s="287"/>
    </row>
    <row r="1205" spans="1:10">
      <c r="A1205" s="197"/>
      <c r="B1205" s="198"/>
      <c r="C1205" s="287"/>
      <c r="D1205" s="287"/>
      <c r="E1205" s="287"/>
      <c r="F1205" s="200"/>
      <c r="G1205" s="201"/>
      <c r="H1205" s="202"/>
      <c r="I1205" s="287"/>
      <c r="J1205" s="287"/>
    </row>
    <row r="1206" spans="1:10">
      <c r="A1206" s="197"/>
      <c r="B1206" s="198"/>
      <c r="C1206" s="287"/>
      <c r="D1206" s="287"/>
      <c r="E1206" s="287"/>
      <c r="F1206" s="200"/>
      <c r="G1206" s="201"/>
      <c r="H1206" s="202"/>
      <c r="I1206" s="287"/>
      <c r="J1206" s="287"/>
    </row>
    <row r="1207" spans="1:10">
      <c r="A1207" s="197"/>
      <c r="B1207" s="198"/>
      <c r="C1207" s="199"/>
      <c r="D1207" s="199"/>
      <c r="E1207" s="199"/>
      <c r="F1207" s="200"/>
      <c r="G1207" s="201"/>
      <c r="H1207" s="202"/>
      <c r="I1207" s="199"/>
      <c r="J1207" s="199"/>
    </row>
    <row r="1208" spans="1:10">
      <c r="A1208" s="197"/>
      <c r="B1208" s="198"/>
      <c r="C1208" s="287"/>
      <c r="D1208" s="287"/>
      <c r="E1208" s="287"/>
      <c r="F1208" s="200"/>
      <c r="G1208" s="201"/>
      <c r="H1208" s="202"/>
      <c r="I1208" s="287"/>
      <c r="J1208" s="287"/>
    </row>
    <row r="1209" spans="1:10">
      <c r="A1209" s="197"/>
      <c r="B1209" s="198"/>
      <c r="C1209" s="287"/>
      <c r="D1209" s="287"/>
      <c r="E1209" s="287"/>
      <c r="F1209" s="200"/>
      <c r="G1209" s="201"/>
      <c r="H1209" s="202"/>
      <c r="I1209" s="287"/>
      <c r="J1209" s="287"/>
    </row>
    <row r="1210" spans="1:10">
      <c r="A1210" s="197"/>
      <c r="B1210" s="198"/>
      <c r="C1210" s="199"/>
      <c r="D1210" s="199"/>
      <c r="E1210" s="199"/>
      <c r="F1210" s="200"/>
      <c r="G1210" s="201"/>
      <c r="H1210" s="202"/>
      <c r="I1210" s="199"/>
      <c r="J1210" s="199"/>
    </row>
    <row r="1211" spans="1:10">
      <c r="A1211" s="197"/>
      <c r="B1211" s="198"/>
      <c r="C1211" s="199"/>
      <c r="D1211" s="199"/>
      <c r="E1211" s="199"/>
      <c r="F1211" s="200"/>
      <c r="G1211" s="201"/>
      <c r="H1211" s="202"/>
      <c r="I1211" s="199"/>
      <c r="J1211" s="199"/>
    </row>
    <row r="1212" spans="1:10">
      <c r="A1212" s="197"/>
      <c r="B1212" s="198"/>
      <c r="C1212" s="199"/>
      <c r="D1212" s="199"/>
      <c r="E1212" s="199"/>
      <c r="F1212" s="200"/>
      <c r="G1212" s="201"/>
      <c r="H1212" s="202"/>
      <c r="I1212" s="199"/>
      <c r="J1212" s="199"/>
    </row>
    <row r="1213" spans="1:10">
      <c r="A1213" s="197"/>
      <c r="B1213" s="198"/>
      <c r="C1213" s="199"/>
      <c r="D1213" s="199"/>
      <c r="E1213" s="199"/>
      <c r="F1213" s="200"/>
      <c r="G1213" s="201"/>
      <c r="H1213" s="202"/>
      <c r="I1213" s="199"/>
      <c r="J1213" s="199"/>
    </row>
    <row r="1214" spans="1:10">
      <c r="A1214" s="197"/>
      <c r="B1214" s="198"/>
      <c r="C1214" s="287"/>
      <c r="D1214" s="287"/>
      <c r="E1214" s="287"/>
      <c r="F1214" s="200"/>
      <c r="G1214" s="201"/>
      <c r="H1214" s="202"/>
      <c r="I1214" s="287"/>
      <c r="J1214" s="287"/>
    </row>
    <row r="1215" spans="1:10">
      <c r="A1215" s="197"/>
      <c r="B1215" s="198"/>
      <c r="C1215" s="199"/>
      <c r="D1215" s="199"/>
      <c r="E1215" s="199"/>
      <c r="F1215" s="200"/>
      <c r="G1215" s="201"/>
      <c r="H1215" s="202"/>
      <c r="I1215" s="199"/>
      <c r="J1215" s="199"/>
    </row>
    <row r="1216" spans="1:10">
      <c r="A1216" s="197"/>
      <c r="B1216" s="198"/>
      <c r="C1216" s="199"/>
      <c r="D1216" s="199"/>
      <c r="E1216" s="199"/>
      <c r="F1216" s="200"/>
      <c r="G1216" s="201"/>
      <c r="H1216" s="202"/>
      <c r="I1216" s="199"/>
      <c r="J1216" s="199"/>
    </row>
    <row r="1217" spans="1:10">
      <c r="A1217" s="197"/>
      <c r="B1217" s="198"/>
      <c r="C1217" s="199"/>
      <c r="D1217" s="199"/>
      <c r="E1217" s="199"/>
      <c r="F1217" s="200"/>
      <c r="G1217" s="201"/>
      <c r="H1217" s="202"/>
      <c r="I1217" s="199"/>
      <c r="J1217" s="199"/>
    </row>
    <row r="1218" spans="1:10">
      <c r="A1218" s="197"/>
      <c r="B1218" s="198"/>
      <c r="C1218" s="287"/>
      <c r="D1218" s="287"/>
      <c r="E1218" s="287"/>
      <c r="F1218" s="200"/>
      <c r="G1218" s="201"/>
      <c r="H1218" s="202"/>
      <c r="I1218" s="199"/>
      <c r="J1218" s="287"/>
    </row>
    <row r="1219" spans="1:10">
      <c r="A1219" s="197"/>
      <c r="B1219" s="198"/>
      <c r="C1219" s="199"/>
      <c r="D1219" s="199"/>
      <c r="E1219" s="199"/>
      <c r="F1219" s="200"/>
      <c r="G1219" s="201"/>
      <c r="H1219" s="202"/>
      <c r="I1219" s="199"/>
      <c r="J1219" s="199"/>
    </row>
    <row r="1220" spans="1:10">
      <c r="A1220" s="197"/>
      <c r="B1220" s="198"/>
      <c r="C1220" s="199"/>
      <c r="D1220" s="199"/>
      <c r="E1220" s="199"/>
      <c r="F1220" s="200"/>
      <c r="G1220" s="201"/>
      <c r="H1220" s="202"/>
      <c r="I1220" s="199"/>
      <c r="J1220" s="199"/>
    </row>
    <row r="1221" spans="1:10">
      <c r="A1221" s="197"/>
      <c r="B1221" s="198"/>
      <c r="C1221" s="199"/>
      <c r="D1221" s="199"/>
      <c r="E1221" s="199"/>
      <c r="F1221" s="200"/>
      <c r="G1221" s="201"/>
      <c r="H1221" s="202"/>
      <c r="I1221" s="199"/>
      <c r="J1221" s="199"/>
    </row>
    <row r="1222" spans="1:10">
      <c r="A1222" s="197"/>
      <c r="B1222" s="198"/>
      <c r="C1222" s="287"/>
      <c r="D1222" s="287"/>
      <c r="E1222" s="287"/>
      <c r="F1222" s="200"/>
      <c r="G1222" s="201"/>
      <c r="H1222" s="202"/>
      <c r="I1222" s="199"/>
      <c r="J1222" s="287"/>
    </row>
    <row r="1223" spans="1:10">
      <c r="A1223" s="197"/>
      <c r="B1223" s="198"/>
      <c r="C1223" s="199"/>
      <c r="D1223" s="199"/>
      <c r="E1223" s="199"/>
      <c r="F1223" s="200"/>
      <c r="G1223" s="201"/>
      <c r="H1223" s="202"/>
      <c r="I1223" s="199"/>
      <c r="J1223" s="199"/>
    </row>
    <row r="1224" spans="1:10">
      <c r="A1224" s="197"/>
      <c r="B1224" s="198"/>
      <c r="C1224" s="199"/>
      <c r="D1224" s="199"/>
      <c r="E1224" s="199"/>
      <c r="F1224" s="200"/>
      <c r="G1224" s="201"/>
      <c r="H1224" s="202"/>
      <c r="I1224" s="199"/>
      <c r="J1224" s="199"/>
    </row>
    <row r="1225" spans="1:10">
      <c r="A1225" s="197"/>
      <c r="B1225" s="198"/>
      <c r="C1225" s="199"/>
      <c r="D1225" s="199"/>
      <c r="E1225" s="199"/>
      <c r="F1225" s="200"/>
      <c r="G1225" s="201"/>
      <c r="H1225" s="202"/>
      <c r="I1225" s="199"/>
      <c r="J1225" s="199"/>
    </row>
    <row r="1226" spans="1:10">
      <c r="A1226" s="197"/>
      <c r="B1226" s="198"/>
      <c r="C1226" s="199"/>
      <c r="D1226" s="199"/>
      <c r="E1226" s="199"/>
      <c r="F1226" s="200"/>
      <c r="G1226" s="201"/>
      <c r="H1226" s="202"/>
      <c r="I1226" s="199"/>
      <c r="J1226" s="199"/>
    </row>
    <row r="1227" spans="1:10">
      <c r="A1227" s="197"/>
      <c r="B1227" s="198"/>
      <c r="C1227" s="287"/>
      <c r="D1227" s="287"/>
      <c r="E1227" s="287"/>
      <c r="F1227" s="200"/>
      <c r="G1227" s="201"/>
      <c r="H1227" s="202"/>
      <c r="I1227" s="199"/>
      <c r="J1227" s="287"/>
    </row>
    <row r="1228" spans="1:10">
      <c r="A1228" s="197"/>
      <c r="B1228" s="198"/>
      <c r="C1228" s="199"/>
      <c r="D1228" s="199"/>
      <c r="E1228" s="199"/>
      <c r="F1228" s="200"/>
      <c r="G1228" s="201"/>
      <c r="H1228" s="202"/>
      <c r="I1228" s="199"/>
      <c r="J1228" s="199"/>
    </row>
    <row r="1229" spans="1:10">
      <c r="A1229" s="197"/>
      <c r="B1229" s="198"/>
      <c r="C1229" s="199"/>
      <c r="D1229" s="199"/>
      <c r="E1229" s="199"/>
      <c r="F1229" s="200"/>
      <c r="G1229" s="201"/>
      <c r="H1229" s="202"/>
      <c r="I1229" s="199"/>
      <c r="J1229" s="199"/>
    </row>
    <row r="1230" spans="1:10">
      <c r="A1230" s="197"/>
      <c r="B1230" s="198"/>
      <c r="C1230" s="199"/>
      <c r="D1230" s="199"/>
      <c r="E1230" s="199"/>
      <c r="F1230" s="200"/>
      <c r="G1230" s="201"/>
      <c r="H1230" s="202"/>
      <c r="I1230" s="199"/>
      <c r="J1230" s="199"/>
    </row>
    <row r="1231" spans="1:10">
      <c r="A1231" s="197"/>
      <c r="B1231" s="198"/>
      <c r="C1231" s="199"/>
      <c r="D1231" s="199"/>
      <c r="E1231" s="199"/>
      <c r="F1231" s="200"/>
      <c r="G1231" s="201"/>
      <c r="H1231" s="202"/>
      <c r="I1231" s="199"/>
      <c r="J1231" s="199"/>
    </row>
    <row r="1232" spans="1:10">
      <c r="A1232" s="197"/>
      <c r="B1232" s="198"/>
      <c r="C1232" s="199"/>
      <c r="D1232" s="199"/>
      <c r="E1232" s="199"/>
      <c r="F1232" s="200"/>
      <c r="G1232" s="201"/>
      <c r="H1232" s="202"/>
      <c r="I1232" s="199"/>
      <c r="J1232" s="199"/>
    </row>
    <row r="1233" spans="1:10">
      <c r="A1233" s="197"/>
      <c r="B1233" s="198"/>
      <c r="C1233" s="287"/>
      <c r="D1233" s="287"/>
      <c r="E1233" s="287"/>
      <c r="F1233" s="200"/>
      <c r="G1233" s="201"/>
      <c r="H1233" s="202"/>
      <c r="I1233" s="199"/>
      <c r="J1233" s="287"/>
    </row>
    <row r="1234" spans="1:10">
      <c r="A1234" s="197"/>
      <c r="B1234" s="198"/>
      <c r="C1234" s="199"/>
      <c r="D1234" s="199"/>
      <c r="E1234" s="199"/>
      <c r="F1234" s="200"/>
      <c r="G1234" s="201"/>
      <c r="H1234" s="202"/>
      <c r="I1234" s="199"/>
      <c r="J1234" s="199"/>
    </row>
    <row r="1235" spans="1:10">
      <c r="A1235" s="197"/>
      <c r="B1235" s="198"/>
      <c r="C1235" s="199"/>
      <c r="D1235" s="199"/>
      <c r="E1235" s="199"/>
      <c r="F1235" s="200"/>
      <c r="G1235" s="201"/>
      <c r="H1235" s="202"/>
      <c r="I1235" s="199"/>
      <c r="J1235" s="199"/>
    </row>
    <row r="1236" spans="1:10">
      <c r="A1236" s="197"/>
      <c r="B1236" s="198"/>
      <c r="C1236" s="199"/>
      <c r="D1236" s="199"/>
      <c r="E1236" s="199"/>
      <c r="F1236" s="200"/>
      <c r="G1236" s="201"/>
      <c r="H1236" s="202"/>
      <c r="I1236" s="199"/>
      <c r="J1236" s="199"/>
    </row>
    <row r="1237" spans="1:10">
      <c r="A1237" s="197"/>
      <c r="B1237" s="198"/>
      <c r="C1237" s="199"/>
      <c r="D1237" s="199"/>
      <c r="E1237" s="199"/>
      <c r="F1237" s="200"/>
      <c r="G1237" s="201"/>
      <c r="H1237" s="202"/>
      <c r="I1237" s="199"/>
      <c r="J1237" s="199"/>
    </row>
    <row r="1238" spans="1:10">
      <c r="A1238" s="197"/>
      <c r="B1238" s="198"/>
      <c r="C1238" s="287"/>
      <c r="D1238" s="287"/>
      <c r="E1238" s="287"/>
      <c r="F1238" s="200"/>
      <c r="G1238" s="201"/>
      <c r="H1238" s="202"/>
      <c r="I1238" s="199"/>
      <c r="J1238" s="287"/>
    </row>
    <row r="1239" spans="1:10">
      <c r="A1239" s="197"/>
      <c r="B1239" s="198"/>
      <c r="C1239" s="199"/>
      <c r="D1239" s="199"/>
      <c r="E1239" s="199"/>
      <c r="F1239" s="200"/>
      <c r="G1239" s="201"/>
      <c r="H1239" s="202"/>
      <c r="I1239" s="199"/>
      <c r="J1239" s="199"/>
    </row>
    <row r="1240" spans="1:10">
      <c r="A1240" s="197"/>
      <c r="B1240" s="198"/>
      <c r="C1240" s="199"/>
      <c r="D1240" s="199"/>
      <c r="E1240" s="199"/>
      <c r="F1240" s="200"/>
      <c r="G1240" s="201"/>
      <c r="H1240" s="202"/>
      <c r="I1240" s="199"/>
      <c r="J1240" s="199"/>
    </row>
    <row r="1241" spans="1:10">
      <c r="A1241" s="197"/>
      <c r="B1241" s="198"/>
      <c r="C1241" s="199"/>
      <c r="D1241" s="199"/>
      <c r="E1241" s="199"/>
      <c r="F1241" s="200"/>
      <c r="G1241" s="201"/>
      <c r="H1241" s="202"/>
      <c r="I1241" s="199"/>
      <c r="J1241" s="199"/>
    </row>
    <row r="1242" spans="1:10">
      <c r="A1242" s="197"/>
      <c r="B1242" s="198"/>
      <c r="C1242" s="199"/>
      <c r="D1242" s="199"/>
      <c r="E1242" s="199"/>
      <c r="F1242" s="200"/>
      <c r="G1242" s="201"/>
      <c r="H1242" s="202"/>
      <c r="I1242" s="199"/>
      <c r="J1242" s="199"/>
    </row>
    <row r="1243" spans="1:10">
      <c r="A1243" s="197"/>
      <c r="B1243" s="198"/>
      <c r="C1243" s="199"/>
      <c r="D1243" s="199"/>
      <c r="E1243" s="199"/>
      <c r="F1243" s="200"/>
      <c r="G1243" s="201"/>
      <c r="H1243" s="202"/>
      <c r="I1243" s="199"/>
      <c r="J1243" s="199"/>
    </row>
    <row r="1244" spans="1:10">
      <c r="A1244" s="197"/>
      <c r="B1244" s="198"/>
      <c r="C1244" s="199"/>
      <c r="D1244" s="199"/>
      <c r="E1244" s="199"/>
      <c r="F1244" s="200"/>
      <c r="G1244" s="201"/>
      <c r="H1244" s="202"/>
      <c r="I1244" s="199"/>
      <c r="J1244" s="199"/>
    </row>
    <row r="1245" spans="1:10">
      <c r="A1245" s="197"/>
      <c r="B1245" s="198"/>
      <c r="C1245" s="199"/>
      <c r="D1245" s="199"/>
      <c r="E1245" s="199"/>
      <c r="F1245" s="200"/>
      <c r="G1245" s="201"/>
      <c r="H1245" s="202"/>
      <c r="I1245" s="199"/>
      <c r="J1245" s="199"/>
    </row>
    <row r="1246" spans="1:10">
      <c r="A1246" s="197"/>
      <c r="B1246" s="198"/>
      <c r="C1246" s="199"/>
      <c r="D1246" s="199"/>
      <c r="E1246" s="199"/>
      <c r="F1246" s="200"/>
      <c r="G1246" s="201"/>
      <c r="H1246" s="202"/>
      <c r="I1246" s="199"/>
      <c r="J1246" s="199"/>
    </row>
    <row r="1247" spans="1:10">
      <c r="A1247" s="197"/>
      <c r="B1247" s="198"/>
      <c r="C1247" s="199"/>
      <c r="D1247" s="199"/>
      <c r="E1247" s="199"/>
      <c r="F1247" s="200"/>
      <c r="G1247" s="201"/>
      <c r="H1247" s="202"/>
      <c r="I1247" s="199"/>
      <c r="J1247" s="199"/>
    </row>
    <row r="1248" spans="1:10">
      <c r="A1248" s="197"/>
      <c r="B1248" s="198"/>
      <c r="C1248" s="199"/>
      <c r="D1248" s="199"/>
      <c r="E1248" s="199"/>
      <c r="F1248" s="200"/>
      <c r="G1248" s="199"/>
      <c r="H1248" s="200"/>
      <c r="I1248" s="199"/>
      <c r="J1248" s="199"/>
    </row>
    <row r="1249" spans="1:10">
      <c r="A1249" s="197"/>
      <c r="B1249" s="198"/>
      <c r="C1249" s="199"/>
      <c r="D1249" s="199"/>
      <c r="E1249" s="199"/>
      <c r="F1249" s="200"/>
      <c r="G1249" s="201"/>
      <c r="H1249" s="202"/>
      <c r="I1249" s="199"/>
      <c r="J1249" s="199"/>
    </row>
    <row r="1250" spans="1:10">
      <c r="A1250" s="197"/>
      <c r="B1250" s="198"/>
      <c r="C1250" s="199"/>
      <c r="D1250" s="199"/>
      <c r="E1250" s="199"/>
      <c r="F1250" s="200"/>
      <c r="G1250" s="199"/>
      <c r="H1250" s="200"/>
      <c r="I1250" s="199"/>
      <c r="J1250" s="199"/>
    </row>
    <row r="1251" spans="1:10">
      <c r="A1251" s="197"/>
      <c r="B1251" s="198"/>
      <c r="C1251" s="199"/>
      <c r="D1251" s="199"/>
      <c r="E1251" s="199"/>
      <c r="F1251" s="200"/>
      <c r="G1251" s="201"/>
      <c r="H1251" s="202"/>
      <c r="I1251" s="199"/>
      <c r="J1251" s="199"/>
    </row>
    <row r="1252" spans="1:10">
      <c r="A1252" s="197"/>
      <c r="B1252" s="198"/>
      <c r="C1252" s="287"/>
      <c r="D1252" s="287"/>
      <c r="E1252" s="287"/>
      <c r="F1252" s="200"/>
      <c r="G1252" s="201"/>
      <c r="H1252" s="202"/>
      <c r="I1252" s="287"/>
      <c r="J1252" s="287"/>
    </row>
    <row r="1253" spans="1:10">
      <c r="A1253" s="197"/>
      <c r="B1253" s="198"/>
      <c r="C1253" s="287"/>
      <c r="D1253" s="287"/>
      <c r="E1253" s="287"/>
      <c r="F1253" s="200"/>
      <c r="G1253" s="201"/>
      <c r="H1253" s="202"/>
      <c r="I1253" s="287"/>
      <c r="J1253" s="287"/>
    </row>
    <row r="1254" spans="1:10">
      <c r="A1254" s="197"/>
      <c r="B1254" s="198"/>
      <c r="C1254" s="199"/>
      <c r="D1254" s="199"/>
      <c r="E1254" s="199"/>
      <c r="F1254" s="200"/>
      <c r="G1254" s="201"/>
      <c r="H1254" s="202"/>
      <c r="I1254" s="199"/>
      <c r="J1254" s="199"/>
    </row>
    <row r="1255" spans="1:10">
      <c r="A1255" s="197"/>
      <c r="B1255" s="198"/>
      <c r="C1255" s="287"/>
      <c r="D1255" s="287"/>
      <c r="E1255" s="287"/>
      <c r="F1255" s="200"/>
      <c r="G1255" s="201"/>
      <c r="H1255" s="202"/>
      <c r="I1255" s="287"/>
      <c r="J1255" s="287"/>
    </row>
    <row r="1256" spans="1:10">
      <c r="A1256" s="197"/>
      <c r="B1256" s="198"/>
      <c r="C1256" s="199"/>
      <c r="D1256" s="199"/>
      <c r="E1256" s="199"/>
      <c r="F1256" s="200"/>
      <c r="G1256" s="201"/>
      <c r="H1256" s="202"/>
      <c r="I1256" s="199"/>
      <c r="J1256" s="199"/>
    </row>
    <row r="1257" spans="1:10">
      <c r="A1257" s="197"/>
      <c r="B1257" s="198"/>
      <c r="C1257" s="199"/>
      <c r="D1257" s="199"/>
      <c r="E1257" s="199"/>
      <c r="F1257" s="200"/>
      <c r="G1257" s="201"/>
      <c r="H1257" s="202"/>
      <c r="I1257" s="199"/>
      <c r="J1257" s="199"/>
    </row>
    <row r="1258" spans="1:10">
      <c r="A1258" s="197"/>
      <c r="B1258" s="198"/>
      <c r="C1258" s="199"/>
      <c r="D1258" s="199"/>
      <c r="E1258" s="199"/>
      <c r="F1258" s="200"/>
      <c r="G1258" s="201"/>
      <c r="H1258" s="202"/>
      <c r="I1258" s="199"/>
      <c r="J1258" s="199"/>
    </row>
    <row r="1259" spans="1:10">
      <c r="A1259" s="197"/>
      <c r="B1259" s="198"/>
      <c r="C1259" s="199"/>
      <c r="D1259" s="199"/>
      <c r="E1259" s="199"/>
      <c r="F1259" s="200"/>
      <c r="G1259" s="201"/>
      <c r="H1259" s="202"/>
      <c r="I1259" s="199"/>
      <c r="J1259" s="199"/>
    </row>
    <row r="1260" spans="1:10">
      <c r="A1260" s="197"/>
      <c r="B1260" s="198"/>
      <c r="C1260" s="287"/>
      <c r="D1260" s="287"/>
      <c r="E1260" s="287"/>
      <c r="F1260" s="200"/>
      <c r="G1260" s="199"/>
      <c r="H1260" s="200"/>
      <c r="I1260" s="199"/>
      <c r="J1260" s="287"/>
    </row>
    <row r="1261" spans="1:10">
      <c r="A1261" s="197"/>
      <c r="B1261" s="198"/>
      <c r="C1261" s="287"/>
      <c r="D1261" s="287"/>
      <c r="E1261" s="287"/>
      <c r="F1261" s="200"/>
      <c r="G1261" s="201"/>
      <c r="H1261" s="202"/>
      <c r="I1261" s="287"/>
      <c r="J1261" s="287"/>
    </row>
    <row r="1262" spans="1:10">
      <c r="A1262" s="197"/>
      <c r="B1262" s="198"/>
      <c r="C1262" s="199"/>
      <c r="D1262" s="199"/>
      <c r="E1262" s="199"/>
      <c r="F1262" s="200"/>
      <c r="G1262" s="201"/>
      <c r="H1262" s="202"/>
      <c r="I1262" s="199"/>
      <c r="J1262" s="199"/>
    </row>
    <row r="1263" spans="1:10">
      <c r="A1263" s="197"/>
      <c r="B1263" s="198"/>
      <c r="C1263" s="199"/>
      <c r="D1263" s="199"/>
      <c r="E1263" s="199"/>
      <c r="F1263" s="200"/>
      <c r="G1263" s="201"/>
      <c r="H1263" s="202"/>
      <c r="I1263" s="199"/>
      <c r="J1263" s="199"/>
    </row>
    <row r="1264" spans="1:10">
      <c r="A1264" s="197"/>
      <c r="B1264" s="198"/>
      <c r="C1264" s="199"/>
      <c r="D1264" s="199"/>
      <c r="E1264" s="199"/>
      <c r="F1264" s="200"/>
      <c r="G1264" s="201"/>
      <c r="H1264" s="202"/>
      <c r="I1264" s="199"/>
      <c r="J1264" s="199"/>
    </row>
    <row r="1265" spans="1:10">
      <c r="A1265" s="197"/>
      <c r="B1265" s="198"/>
      <c r="C1265" s="287"/>
      <c r="D1265" s="287"/>
      <c r="E1265" s="287"/>
      <c r="F1265" s="200"/>
      <c r="G1265" s="201"/>
      <c r="H1265" s="202"/>
      <c r="I1265" s="199"/>
      <c r="J1265" s="287"/>
    </row>
    <row r="1266" spans="1:10">
      <c r="A1266" s="197"/>
      <c r="B1266" s="198"/>
      <c r="C1266" s="199"/>
      <c r="D1266" s="199"/>
      <c r="E1266" s="199"/>
      <c r="F1266" s="200"/>
      <c r="G1266" s="201"/>
      <c r="H1266" s="202"/>
      <c r="I1266" s="199"/>
      <c r="J1266" s="199"/>
    </row>
    <row r="1267" spans="1:10">
      <c r="A1267" s="197"/>
      <c r="B1267" s="198"/>
      <c r="C1267" s="199"/>
      <c r="D1267" s="199"/>
      <c r="E1267" s="199"/>
      <c r="F1267" s="200"/>
      <c r="G1267" s="201"/>
      <c r="H1267" s="202"/>
      <c r="I1267" s="199"/>
      <c r="J1267" s="199"/>
    </row>
    <row r="1268" spans="1:10">
      <c r="A1268" s="197"/>
      <c r="B1268" s="198"/>
      <c r="C1268" s="199"/>
      <c r="D1268" s="199"/>
      <c r="E1268" s="199"/>
      <c r="F1268" s="200"/>
      <c r="G1268" s="201"/>
      <c r="H1268" s="202"/>
      <c r="I1268" s="199"/>
      <c r="J1268" s="199"/>
    </row>
    <row r="1269" spans="1:10">
      <c r="A1269" s="197"/>
      <c r="B1269" s="198"/>
      <c r="C1269" s="199"/>
      <c r="D1269" s="199"/>
      <c r="E1269" s="199"/>
      <c r="F1269" s="200"/>
      <c r="G1269" s="201"/>
      <c r="H1269" s="202"/>
      <c r="I1269" s="199"/>
      <c r="J1269" s="199"/>
    </row>
    <row r="1270" spans="1:10">
      <c r="A1270" s="197"/>
      <c r="B1270" s="198"/>
      <c r="C1270" s="287"/>
      <c r="D1270" s="287"/>
      <c r="E1270" s="287"/>
      <c r="F1270" s="200"/>
      <c r="G1270" s="201"/>
      <c r="H1270" s="202"/>
      <c r="I1270" s="199"/>
      <c r="J1270" s="287"/>
    </row>
    <row r="1271" spans="1:10">
      <c r="A1271" s="197"/>
      <c r="B1271" s="198"/>
      <c r="C1271" s="199"/>
      <c r="D1271" s="199"/>
      <c r="E1271" s="199"/>
      <c r="F1271" s="200"/>
      <c r="G1271" s="201"/>
      <c r="H1271" s="202"/>
      <c r="I1271" s="199"/>
      <c r="J1271" s="199"/>
    </row>
    <row r="1272" spans="1:10">
      <c r="A1272" s="197"/>
      <c r="B1272" s="198"/>
      <c r="C1272" s="199"/>
      <c r="D1272" s="199"/>
      <c r="E1272" s="199"/>
      <c r="F1272" s="200"/>
      <c r="G1272" s="201"/>
      <c r="H1272" s="202"/>
      <c r="I1272" s="199"/>
      <c r="J1272" s="199"/>
    </row>
    <row r="1273" spans="1:10">
      <c r="A1273" s="197"/>
      <c r="B1273" s="198"/>
      <c r="C1273" s="199"/>
      <c r="D1273" s="199"/>
      <c r="E1273" s="199"/>
      <c r="F1273" s="200"/>
      <c r="G1273" s="201"/>
      <c r="H1273" s="202"/>
      <c r="I1273" s="199"/>
      <c r="J1273" s="199"/>
    </row>
    <row r="1274" spans="1:10">
      <c r="A1274" s="197"/>
      <c r="B1274" s="198"/>
      <c r="C1274" s="199"/>
      <c r="D1274" s="199"/>
      <c r="E1274" s="199"/>
      <c r="F1274" s="200"/>
      <c r="G1274" s="201"/>
      <c r="H1274" s="202"/>
      <c r="I1274" s="199"/>
      <c r="J1274" s="199"/>
    </row>
    <row r="1275" spans="1:10">
      <c r="A1275" s="197"/>
      <c r="B1275" s="198"/>
      <c r="C1275" s="287"/>
      <c r="D1275" s="287"/>
      <c r="E1275" s="287"/>
      <c r="F1275" s="200"/>
      <c r="G1275" s="201"/>
      <c r="H1275" s="202"/>
      <c r="I1275" s="199"/>
      <c r="J1275" s="287"/>
    </row>
    <row r="1276" spans="1:10">
      <c r="A1276" s="197"/>
      <c r="B1276" s="198"/>
      <c r="C1276" s="199"/>
      <c r="D1276" s="199"/>
      <c r="E1276" s="199"/>
      <c r="F1276" s="200"/>
      <c r="G1276" s="201"/>
      <c r="H1276" s="202"/>
      <c r="I1276" s="199"/>
      <c r="J1276" s="199"/>
    </row>
    <row r="1277" spans="1:10">
      <c r="A1277" s="197"/>
      <c r="B1277" s="198"/>
      <c r="C1277" s="199"/>
      <c r="D1277" s="199"/>
      <c r="E1277" s="199"/>
      <c r="F1277" s="200"/>
      <c r="G1277" s="201"/>
      <c r="H1277" s="202"/>
      <c r="I1277" s="199"/>
      <c r="J1277" s="199"/>
    </row>
    <row r="1278" spans="1:10">
      <c r="A1278" s="197"/>
      <c r="B1278" s="198"/>
      <c r="C1278" s="199"/>
      <c r="D1278" s="199"/>
      <c r="E1278" s="199"/>
      <c r="F1278" s="200"/>
      <c r="G1278" s="201"/>
      <c r="H1278" s="202"/>
      <c r="I1278" s="199"/>
      <c r="J1278" s="199"/>
    </row>
    <row r="1279" spans="1:10">
      <c r="A1279" s="197"/>
      <c r="B1279" s="198"/>
      <c r="C1279" s="287"/>
      <c r="D1279" s="287"/>
      <c r="E1279" s="287"/>
      <c r="F1279" s="200"/>
      <c r="G1279" s="201"/>
      <c r="H1279" s="202"/>
      <c r="I1279" s="199"/>
      <c r="J1279" s="287"/>
    </row>
    <row r="1280" spans="1:10">
      <c r="A1280" s="197"/>
      <c r="B1280" s="198"/>
      <c r="C1280" s="199"/>
      <c r="D1280" s="199"/>
      <c r="E1280" s="199"/>
      <c r="F1280" s="200"/>
      <c r="G1280" s="201"/>
      <c r="H1280" s="202"/>
      <c r="I1280" s="199"/>
      <c r="J1280" s="199"/>
    </row>
    <row r="1281" spans="1:10">
      <c r="A1281" s="197"/>
      <c r="B1281" s="198"/>
      <c r="C1281" s="199"/>
      <c r="D1281" s="199"/>
      <c r="E1281" s="199"/>
      <c r="F1281" s="200"/>
      <c r="G1281" s="201"/>
      <c r="H1281" s="202"/>
      <c r="I1281" s="199"/>
      <c r="J1281" s="199"/>
    </row>
    <row r="1282" spans="1:10">
      <c r="A1282" s="197"/>
      <c r="B1282" s="198"/>
      <c r="C1282" s="287"/>
      <c r="D1282" s="287"/>
      <c r="E1282" s="287"/>
      <c r="F1282" s="200"/>
      <c r="G1282" s="201"/>
      <c r="H1282" s="202"/>
      <c r="I1282" s="199"/>
      <c r="J1282" s="287"/>
    </row>
    <row r="1283" spans="1:10">
      <c r="A1283" s="197"/>
      <c r="B1283" s="198"/>
      <c r="C1283" s="199"/>
      <c r="D1283" s="199"/>
      <c r="E1283" s="199"/>
      <c r="F1283" s="200"/>
      <c r="G1283" s="201"/>
      <c r="H1283" s="202"/>
      <c r="I1283" s="199"/>
      <c r="J1283" s="199"/>
    </row>
    <row r="1284" spans="1:10">
      <c r="A1284" s="197"/>
      <c r="B1284" s="198"/>
      <c r="C1284" s="199"/>
      <c r="D1284" s="199"/>
      <c r="E1284" s="199"/>
      <c r="F1284" s="200"/>
      <c r="G1284" s="201"/>
      <c r="H1284" s="202"/>
      <c r="I1284" s="199"/>
      <c r="J1284" s="199"/>
    </row>
    <row r="1285" spans="1:10">
      <c r="A1285" s="197"/>
      <c r="B1285" s="198"/>
      <c r="C1285" s="199"/>
      <c r="D1285" s="199"/>
      <c r="E1285" s="199"/>
      <c r="F1285" s="200"/>
      <c r="G1285" s="201"/>
      <c r="H1285" s="202"/>
      <c r="I1285" s="199"/>
      <c r="J1285" s="199"/>
    </row>
    <row r="1286" spans="1:10">
      <c r="A1286" s="197"/>
      <c r="B1286" s="198"/>
      <c r="C1286" s="199"/>
      <c r="D1286" s="199"/>
      <c r="E1286" s="199"/>
      <c r="F1286" s="200"/>
      <c r="G1286" s="201"/>
      <c r="H1286" s="202"/>
      <c r="I1286" s="199"/>
      <c r="J1286" s="199"/>
    </row>
    <row r="1287" spans="1:10">
      <c r="A1287" s="197"/>
      <c r="B1287" s="198"/>
      <c r="C1287" s="199"/>
      <c r="D1287" s="199"/>
      <c r="E1287" s="199"/>
      <c r="F1287" s="200"/>
      <c r="G1287" s="201"/>
      <c r="H1287" s="202"/>
      <c r="I1287" s="199"/>
      <c r="J1287" s="199"/>
    </row>
  </sheetData>
  <pageMargins left="0.7" right="0.7" top="0.78740157499999996" bottom="0.78740157499999996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</sheetPr>
  <dimension ref="A1:Q316"/>
  <sheetViews>
    <sheetView workbookViewId="0">
      <selection activeCell="P12" sqref="P12"/>
    </sheetView>
  </sheetViews>
  <sheetFormatPr baseColWidth="10" defaultColWidth="5.21875" defaultRowHeight="14.4"/>
  <cols>
    <col min="1" max="1" width="6.21875" style="199" bestFit="1" customWidth="1"/>
    <col min="2" max="2" width="9" style="199" bestFit="1" customWidth="1"/>
    <col min="3" max="3" width="15.6640625" style="199" bestFit="1" customWidth="1"/>
    <col min="4" max="4" width="13.21875" style="199" bestFit="1" customWidth="1"/>
    <col min="5" max="5" width="2.77734375" style="199" bestFit="1" customWidth="1"/>
    <col min="6" max="6" width="12.21875" style="199" bestFit="1" customWidth="1"/>
    <col min="7" max="8" width="2.33203125" style="199" bestFit="1" customWidth="1"/>
    <col min="9" max="9" width="6.21875" style="199" bestFit="1" customWidth="1"/>
    <col min="10" max="10" width="4.21875" style="199" bestFit="1" customWidth="1"/>
    <col min="11" max="11" width="6.6640625" style="199" bestFit="1" customWidth="1"/>
    <col min="12" max="12" width="10.33203125" style="199" bestFit="1" customWidth="1"/>
    <col min="13" max="13" width="25.44140625" style="199" bestFit="1" customWidth="1"/>
    <col min="14" max="15" width="28.21875" style="199" bestFit="1" customWidth="1"/>
    <col min="16" max="255" width="10.6640625" style="248" customWidth="1"/>
    <col min="256" max="256" width="5.21875" style="248" bestFit="1"/>
    <col min="257" max="16384" width="5.21875" style="248"/>
  </cols>
  <sheetData>
    <row r="1" spans="1:17">
      <c r="A1" s="321">
        <v>3233</v>
      </c>
      <c r="B1" s="199" t="s">
        <v>2560</v>
      </c>
      <c r="C1" s="199" t="s">
        <v>68</v>
      </c>
      <c r="D1" s="199" t="s">
        <v>1441</v>
      </c>
      <c r="E1" s="199" t="s">
        <v>48</v>
      </c>
      <c r="F1" s="199" t="s">
        <v>49</v>
      </c>
      <c r="I1" s="199">
        <v>1693</v>
      </c>
      <c r="J1" s="199">
        <v>10</v>
      </c>
      <c r="K1" s="322">
        <v>169.30000305175781</v>
      </c>
      <c r="L1" s="323">
        <v>22766</v>
      </c>
      <c r="M1" s="199" t="s">
        <v>1445</v>
      </c>
      <c r="N1" s="199" t="s">
        <v>1359</v>
      </c>
    </row>
    <row r="2" spans="1:17">
      <c r="A2" s="321">
        <v>3234</v>
      </c>
      <c r="B2" s="199" t="s">
        <v>2559</v>
      </c>
      <c r="C2" s="199" t="s">
        <v>68</v>
      </c>
      <c r="D2" s="199" t="s">
        <v>237</v>
      </c>
      <c r="E2" s="199" t="s">
        <v>42</v>
      </c>
      <c r="F2" s="199" t="s">
        <v>51</v>
      </c>
      <c r="I2" s="199">
        <v>1663</v>
      </c>
      <c r="J2" s="199">
        <v>10</v>
      </c>
      <c r="K2" s="322">
        <v>166.30000305175781</v>
      </c>
      <c r="L2" s="323">
        <v>22439</v>
      </c>
      <c r="M2" s="199" t="s">
        <v>1445</v>
      </c>
      <c r="N2" s="199" t="s">
        <v>1359</v>
      </c>
      <c r="Q2" s="251"/>
    </row>
    <row r="3" spans="1:17">
      <c r="A3" s="321">
        <v>7024</v>
      </c>
      <c r="B3" s="199" t="s">
        <v>1933</v>
      </c>
      <c r="C3" s="199" t="s">
        <v>1681</v>
      </c>
      <c r="D3" s="199" t="s">
        <v>253</v>
      </c>
      <c r="E3" s="199" t="s">
        <v>48</v>
      </c>
      <c r="F3" s="199" t="s">
        <v>78</v>
      </c>
      <c r="I3" s="199">
        <v>2613</v>
      </c>
      <c r="J3" s="199">
        <v>13</v>
      </c>
      <c r="K3" s="322">
        <v>201</v>
      </c>
      <c r="L3" s="323">
        <v>29570</v>
      </c>
      <c r="M3" s="199" t="s">
        <v>1593</v>
      </c>
      <c r="N3" s="199" t="s">
        <v>1359</v>
      </c>
    </row>
    <row r="4" spans="1:17">
      <c r="A4" s="321">
        <v>7031</v>
      </c>
      <c r="B4" s="199" t="s">
        <v>932</v>
      </c>
      <c r="C4" s="199" t="s">
        <v>933</v>
      </c>
      <c r="D4" s="199" t="s">
        <v>199</v>
      </c>
      <c r="E4" s="199" t="s">
        <v>42</v>
      </c>
      <c r="F4" s="199" t="s">
        <v>51</v>
      </c>
      <c r="G4" s="199" t="s">
        <v>65</v>
      </c>
      <c r="I4" s="199">
        <v>3333</v>
      </c>
      <c r="J4" s="199">
        <v>18</v>
      </c>
      <c r="K4" s="322">
        <v>185.16999816894531</v>
      </c>
      <c r="L4" s="323">
        <v>22227</v>
      </c>
      <c r="M4" s="199" t="s">
        <v>911</v>
      </c>
      <c r="N4" s="199" t="s">
        <v>19</v>
      </c>
    </row>
    <row r="5" spans="1:17">
      <c r="A5" s="321">
        <v>7071</v>
      </c>
      <c r="B5" s="199" t="s">
        <v>948</v>
      </c>
      <c r="C5" s="199" t="s">
        <v>949</v>
      </c>
      <c r="D5" s="199" t="s">
        <v>111</v>
      </c>
      <c r="E5" s="199" t="s">
        <v>42</v>
      </c>
      <c r="F5" s="199" t="s">
        <v>57</v>
      </c>
      <c r="G5" s="199" t="s">
        <v>238</v>
      </c>
      <c r="I5" s="199">
        <v>21890</v>
      </c>
      <c r="J5" s="199">
        <v>109</v>
      </c>
      <c r="K5" s="322">
        <v>200.83000183105469</v>
      </c>
      <c r="L5" s="323">
        <v>17942</v>
      </c>
      <c r="M5" s="199" t="s">
        <v>1593</v>
      </c>
      <c r="N5" s="199" t="s">
        <v>1359</v>
      </c>
    </row>
    <row r="6" spans="1:17">
      <c r="A6" s="321">
        <v>7076</v>
      </c>
      <c r="B6" s="199">
        <v>9111186</v>
      </c>
      <c r="C6" s="199" t="s">
        <v>909</v>
      </c>
      <c r="D6" s="199" t="s">
        <v>175</v>
      </c>
      <c r="E6" s="199" t="s">
        <v>42</v>
      </c>
      <c r="F6" s="199" t="s">
        <v>57</v>
      </c>
      <c r="G6" s="199" t="s">
        <v>179</v>
      </c>
      <c r="I6" s="199">
        <v>3447</v>
      </c>
      <c r="J6" s="199">
        <v>18</v>
      </c>
      <c r="K6" s="322">
        <v>191.5</v>
      </c>
      <c r="L6" s="323">
        <v>15346</v>
      </c>
      <c r="M6" s="199" t="s">
        <v>911</v>
      </c>
      <c r="N6" s="199" t="s">
        <v>19</v>
      </c>
    </row>
    <row r="7" spans="1:17">
      <c r="A7" s="321">
        <v>7080</v>
      </c>
      <c r="B7" s="199" t="s">
        <v>958</v>
      </c>
      <c r="C7" s="199" t="s">
        <v>959</v>
      </c>
      <c r="D7" s="199" t="s">
        <v>183</v>
      </c>
      <c r="E7" s="199" t="s">
        <v>42</v>
      </c>
      <c r="F7" s="199" t="s">
        <v>51</v>
      </c>
      <c r="I7" s="199">
        <v>3178</v>
      </c>
      <c r="J7" s="199">
        <v>16</v>
      </c>
      <c r="K7" s="322">
        <v>198.6300048828125</v>
      </c>
      <c r="L7" s="323">
        <v>24104</v>
      </c>
      <c r="M7" s="199" t="s">
        <v>1463</v>
      </c>
      <c r="N7" s="199" t="s">
        <v>1359</v>
      </c>
    </row>
    <row r="8" spans="1:17">
      <c r="A8" s="321">
        <v>7082</v>
      </c>
      <c r="B8" s="199" t="s">
        <v>955</v>
      </c>
      <c r="C8" s="199" t="s">
        <v>956</v>
      </c>
      <c r="D8" s="199" t="s">
        <v>957</v>
      </c>
      <c r="E8" s="199" t="s">
        <v>48</v>
      </c>
      <c r="F8" s="199" t="s">
        <v>227</v>
      </c>
      <c r="G8" s="199" t="s">
        <v>50</v>
      </c>
      <c r="I8" s="199">
        <v>3343</v>
      </c>
      <c r="J8" s="199">
        <v>22</v>
      </c>
      <c r="K8" s="322">
        <v>151.94999694824219</v>
      </c>
      <c r="L8" s="323">
        <v>19531</v>
      </c>
      <c r="M8" s="199" t="s">
        <v>1463</v>
      </c>
      <c r="N8" s="199" t="s">
        <v>1359</v>
      </c>
    </row>
    <row r="9" spans="1:17">
      <c r="A9" s="321">
        <v>7087</v>
      </c>
      <c r="B9" s="199" t="s">
        <v>2545</v>
      </c>
      <c r="C9" s="199" t="s">
        <v>909</v>
      </c>
      <c r="D9" s="199" t="s">
        <v>1256</v>
      </c>
      <c r="E9" s="199" t="s">
        <v>48</v>
      </c>
      <c r="F9" s="199" t="s">
        <v>49</v>
      </c>
      <c r="G9" s="199" t="s">
        <v>44</v>
      </c>
      <c r="I9" s="199">
        <v>2844</v>
      </c>
      <c r="J9" s="199">
        <v>18</v>
      </c>
      <c r="K9" s="322">
        <v>158</v>
      </c>
      <c r="L9" s="323">
        <v>22217</v>
      </c>
      <c r="M9" s="199" t="s">
        <v>1257</v>
      </c>
      <c r="N9" s="199" t="s">
        <v>1175</v>
      </c>
    </row>
    <row r="10" spans="1:17">
      <c r="A10" s="321">
        <v>7102</v>
      </c>
      <c r="B10" s="199" t="s">
        <v>627</v>
      </c>
      <c r="C10" s="199" t="s">
        <v>628</v>
      </c>
      <c r="D10" s="199" t="s">
        <v>98</v>
      </c>
      <c r="E10" s="199" t="s">
        <v>42</v>
      </c>
      <c r="F10" s="199" t="s">
        <v>43</v>
      </c>
      <c r="G10" s="199" t="s">
        <v>65</v>
      </c>
      <c r="I10" s="199">
        <v>4655</v>
      </c>
      <c r="J10" s="199">
        <v>25</v>
      </c>
      <c r="K10" s="322">
        <v>186.19999694824219</v>
      </c>
      <c r="L10" s="323">
        <v>28349</v>
      </c>
      <c r="M10" s="199" t="s">
        <v>231</v>
      </c>
      <c r="N10" s="199" t="s">
        <v>203</v>
      </c>
    </row>
    <row r="11" spans="1:17">
      <c r="A11" s="321">
        <v>7123</v>
      </c>
      <c r="B11" s="199" t="s">
        <v>726</v>
      </c>
      <c r="C11" s="199" t="s">
        <v>727</v>
      </c>
      <c r="D11" s="199" t="s">
        <v>96</v>
      </c>
      <c r="E11" s="199" t="s">
        <v>42</v>
      </c>
      <c r="F11" s="199" t="s">
        <v>51</v>
      </c>
      <c r="I11" s="199">
        <v>898</v>
      </c>
      <c r="J11" s="199">
        <v>6</v>
      </c>
      <c r="K11" s="322">
        <v>149.66999816894531</v>
      </c>
      <c r="L11" s="323">
        <v>20885</v>
      </c>
      <c r="M11" s="199" t="s">
        <v>701</v>
      </c>
      <c r="N11" s="199" t="s">
        <v>677</v>
      </c>
    </row>
    <row r="12" spans="1:17">
      <c r="A12" s="321">
        <v>7154</v>
      </c>
      <c r="B12" s="199" t="s">
        <v>697</v>
      </c>
      <c r="C12" s="199" t="s">
        <v>696</v>
      </c>
      <c r="D12" s="199" t="s">
        <v>698</v>
      </c>
      <c r="E12" s="199" t="s">
        <v>48</v>
      </c>
      <c r="F12" s="199" t="s">
        <v>138</v>
      </c>
      <c r="G12" s="199" t="s">
        <v>179</v>
      </c>
      <c r="I12" s="199">
        <v>12744</v>
      </c>
      <c r="J12" s="199">
        <v>70</v>
      </c>
      <c r="K12" s="322">
        <v>182.05999755859375</v>
      </c>
      <c r="L12" s="323">
        <v>25214</v>
      </c>
      <c r="M12" s="199" t="s">
        <v>680</v>
      </c>
      <c r="N12" s="199" t="s">
        <v>677</v>
      </c>
    </row>
    <row r="13" spans="1:17">
      <c r="A13" s="321">
        <v>7167</v>
      </c>
      <c r="B13" s="199" t="s">
        <v>1266</v>
      </c>
      <c r="C13" s="199" t="s">
        <v>1267</v>
      </c>
      <c r="D13" s="199" t="s">
        <v>1268</v>
      </c>
      <c r="E13" s="199" t="s">
        <v>48</v>
      </c>
      <c r="F13" s="199" t="s">
        <v>138</v>
      </c>
      <c r="I13" s="199">
        <v>1318</v>
      </c>
      <c r="J13" s="199">
        <v>8</v>
      </c>
      <c r="K13" s="322">
        <v>164.75</v>
      </c>
      <c r="L13" s="323">
        <v>25125</v>
      </c>
      <c r="M13" s="199" t="s">
        <v>1257</v>
      </c>
      <c r="N13" s="199" t="s">
        <v>1175</v>
      </c>
    </row>
    <row r="14" spans="1:17">
      <c r="A14" s="321">
        <v>7182</v>
      </c>
      <c r="B14" s="199" t="s">
        <v>695</v>
      </c>
      <c r="C14" s="199" t="s">
        <v>696</v>
      </c>
      <c r="D14" s="199" t="s">
        <v>183</v>
      </c>
      <c r="E14" s="199" t="s">
        <v>42</v>
      </c>
      <c r="F14" s="199" t="s">
        <v>51</v>
      </c>
      <c r="G14" s="199" t="s">
        <v>179</v>
      </c>
      <c r="I14" s="199">
        <v>12762</v>
      </c>
      <c r="J14" s="199">
        <v>66</v>
      </c>
      <c r="K14" s="322">
        <v>193.36000061035156</v>
      </c>
      <c r="L14" s="323">
        <v>22564</v>
      </c>
      <c r="M14" s="199" t="s">
        <v>680</v>
      </c>
      <c r="N14" s="199" t="s">
        <v>677</v>
      </c>
    </row>
    <row r="15" spans="1:17">
      <c r="A15" s="321">
        <v>7291</v>
      </c>
      <c r="B15" s="199" t="s">
        <v>67</v>
      </c>
      <c r="C15" s="199" t="s">
        <v>68</v>
      </c>
      <c r="D15" s="199" t="s">
        <v>69</v>
      </c>
      <c r="E15" s="199" t="s">
        <v>42</v>
      </c>
      <c r="F15" s="199" t="s">
        <v>57</v>
      </c>
      <c r="I15" s="199">
        <v>1966</v>
      </c>
      <c r="J15" s="199">
        <v>12</v>
      </c>
      <c r="K15" s="322">
        <v>163.83000183105469</v>
      </c>
      <c r="L15" s="323">
        <v>18821</v>
      </c>
      <c r="M15" s="199" t="s">
        <v>45</v>
      </c>
      <c r="N15" s="199" t="s">
        <v>46</v>
      </c>
    </row>
    <row r="16" spans="1:17">
      <c r="A16" s="321">
        <v>7295</v>
      </c>
      <c r="B16" s="199" t="s">
        <v>70</v>
      </c>
      <c r="C16" s="199" t="s">
        <v>71</v>
      </c>
      <c r="D16" s="199" t="s">
        <v>72</v>
      </c>
      <c r="E16" s="199" t="s">
        <v>42</v>
      </c>
      <c r="F16" s="199" t="s">
        <v>57</v>
      </c>
      <c r="I16" s="199">
        <v>2585</v>
      </c>
      <c r="J16" s="199">
        <v>16</v>
      </c>
      <c r="K16" s="322">
        <v>161.55999755859375</v>
      </c>
      <c r="L16" s="323">
        <v>20212</v>
      </c>
      <c r="M16" s="199" t="s">
        <v>45</v>
      </c>
      <c r="N16" s="199" t="s">
        <v>46</v>
      </c>
    </row>
    <row r="17" spans="1:14">
      <c r="A17" s="321">
        <v>7306</v>
      </c>
      <c r="B17" s="199" t="s">
        <v>53</v>
      </c>
      <c r="C17" s="199" t="s">
        <v>54</v>
      </c>
      <c r="D17" s="199" t="s">
        <v>55</v>
      </c>
      <c r="E17" s="199" t="s">
        <v>48</v>
      </c>
      <c r="F17" s="199" t="s">
        <v>49</v>
      </c>
      <c r="I17" s="199">
        <v>2495</v>
      </c>
      <c r="J17" s="199">
        <v>16</v>
      </c>
      <c r="K17" s="322">
        <v>155.94000244140625</v>
      </c>
      <c r="L17" s="323">
        <v>22809</v>
      </c>
      <c r="M17" s="199" t="s">
        <v>45</v>
      </c>
      <c r="N17" s="199" t="s">
        <v>46</v>
      </c>
    </row>
    <row r="18" spans="1:14">
      <c r="A18" s="321">
        <v>7387</v>
      </c>
      <c r="B18" s="199" t="s">
        <v>2018</v>
      </c>
      <c r="C18" s="199" t="s">
        <v>1020</v>
      </c>
      <c r="D18" s="199" t="s">
        <v>1021</v>
      </c>
      <c r="E18" s="199" t="s">
        <v>42</v>
      </c>
      <c r="F18" s="199" t="s">
        <v>51</v>
      </c>
      <c r="I18" s="199">
        <v>1062</v>
      </c>
      <c r="J18" s="199">
        <v>6</v>
      </c>
      <c r="K18" s="322">
        <v>177</v>
      </c>
      <c r="L18" s="323">
        <v>21826</v>
      </c>
      <c r="M18" s="199" t="s">
        <v>1018</v>
      </c>
      <c r="N18" s="199" t="s">
        <v>15</v>
      </c>
    </row>
    <row r="19" spans="1:14">
      <c r="A19" s="321">
        <v>7393</v>
      </c>
      <c r="B19" s="199" t="s">
        <v>1016</v>
      </c>
      <c r="C19" s="199" t="s">
        <v>1017</v>
      </c>
      <c r="D19" s="199" t="s">
        <v>79</v>
      </c>
      <c r="E19" s="199" t="s">
        <v>42</v>
      </c>
      <c r="F19" s="199" t="s">
        <v>51</v>
      </c>
      <c r="I19" s="199">
        <v>1940</v>
      </c>
      <c r="J19" s="199">
        <v>12</v>
      </c>
      <c r="K19" s="322">
        <v>161.66999816894531</v>
      </c>
      <c r="L19" s="323">
        <v>24016</v>
      </c>
      <c r="M19" s="199" t="s">
        <v>1018</v>
      </c>
      <c r="N19" s="199" t="s">
        <v>15</v>
      </c>
    </row>
    <row r="20" spans="1:14">
      <c r="A20" s="321">
        <v>7394</v>
      </c>
      <c r="B20" s="199">
        <v>610890</v>
      </c>
      <c r="C20" s="199" t="s">
        <v>1030</v>
      </c>
      <c r="D20" s="199" t="s">
        <v>621</v>
      </c>
      <c r="E20" s="199" t="s">
        <v>42</v>
      </c>
      <c r="F20" s="199" t="s">
        <v>51</v>
      </c>
      <c r="I20" s="199">
        <v>283</v>
      </c>
      <c r="J20" s="199">
        <v>2</v>
      </c>
      <c r="K20" s="322">
        <v>141.5</v>
      </c>
      <c r="L20" s="323">
        <v>23862</v>
      </c>
      <c r="M20" s="199" t="s">
        <v>1018</v>
      </c>
      <c r="N20" s="199" t="s">
        <v>15</v>
      </c>
    </row>
    <row r="21" spans="1:14">
      <c r="A21" s="321">
        <v>7395</v>
      </c>
      <c r="B21" s="199" t="s">
        <v>2022</v>
      </c>
      <c r="C21" s="199" t="s">
        <v>1027</v>
      </c>
      <c r="D21" s="199" t="s">
        <v>281</v>
      </c>
      <c r="E21" s="199" t="s">
        <v>42</v>
      </c>
      <c r="F21" s="199" t="s">
        <v>43</v>
      </c>
      <c r="I21" s="199">
        <v>1176</v>
      </c>
      <c r="J21" s="199">
        <v>6</v>
      </c>
      <c r="K21" s="322">
        <v>196</v>
      </c>
      <c r="L21" s="323">
        <v>29483</v>
      </c>
      <c r="M21" s="199" t="s">
        <v>1018</v>
      </c>
      <c r="N21" s="199" t="s">
        <v>15</v>
      </c>
    </row>
    <row r="22" spans="1:14">
      <c r="A22" s="321">
        <v>7396</v>
      </c>
      <c r="B22" s="199" t="s">
        <v>1033</v>
      </c>
      <c r="C22" s="199" t="s">
        <v>1034</v>
      </c>
      <c r="D22" s="199" t="s">
        <v>98</v>
      </c>
      <c r="E22" s="199" t="s">
        <v>42</v>
      </c>
      <c r="F22" s="199" t="s">
        <v>43</v>
      </c>
      <c r="I22" s="199">
        <v>443</v>
      </c>
      <c r="J22" s="199">
        <v>3</v>
      </c>
      <c r="K22" s="322">
        <v>147.66999816894531</v>
      </c>
      <c r="L22" s="323">
        <v>28027</v>
      </c>
      <c r="M22" s="199" t="s">
        <v>1018</v>
      </c>
      <c r="N22" s="199" t="s">
        <v>15</v>
      </c>
    </row>
    <row r="23" spans="1:14">
      <c r="A23" s="321">
        <v>7397</v>
      </c>
      <c r="B23" s="199" t="s">
        <v>2020</v>
      </c>
      <c r="C23" s="199" t="s">
        <v>1024</v>
      </c>
      <c r="D23" s="199" t="s">
        <v>205</v>
      </c>
      <c r="E23" s="199" t="s">
        <v>42</v>
      </c>
      <c r="F23" s="199" t="s">
        <v>51</v>
      </c>
      <c r="I23" s="199">
        <v>432</v>
      </c>
      <c r="J23" s="199">
        <v>3</v>
      </c>
      <c r="K23" s="322">
        <v>144</v>
      </c>
      <c r="L23" s="323">
        <v>23432</v>
      </c>
      <c r="M23" s="199" t="s">
        <v>1018</v>
      </c>
      <c r="N23" s="199" t="s">
        <v>15</v>
      </c>
    </row>
    <row r="24" spans="1:14">
      <c r="A24" s="321">
        <v>7412</v>
      </c>
      <c r="B24" s="199" t="s">
        <v>1475</v>
      </c>
      <c r="C24" s="199" t="s">
        <v>1476</v>
      </c>
      <c r="D24" s="199" t="s">
        <v>178</v>
      </c>
      <c r="E24" s="199" t="s">
        <v>42</v>
      </c>
      <c r="F24" s="199" t="s">
        <v>51</v>
      </c>
      <c r="G24" s="199" t="s">
        <v>65</v>
      </c>
      <c r="I24" s="199">
        <v>7700</v>
      </c>
      <c r="J24" s="199">
        <v>41</v>
      </c>
      <c r="K24" s="322">
        <v>187.80000305175781</v>
      </c>
      <c r="L24" s="323">
        <v>22833</v>
      </c>
      <c r="M24" s="199" t="s">
        <v>1463</v>
      </c>
      <c r="N24" s="199" t="s">
        <v>1359</v>
      </c>
    </row>
    <row r="25" spans="1:14">
      <c r="A25" s="321">
        <v>7418</v>
      </c>
      <c r="B25" s="199" t="s">
        <v>1212</v>
      </c>
      <c r="C25" s="199" t="s">
        <v>1213</v>
      </c>
      <c r="D25" s="199" t="s">
        <v>768</v>
      </c>
      <c r="E25" s="199" t="s">
        <v>42</v>
      </c>
      <c r="F25" s="199" t="s">
        <v>66</v>
      </c>
      <c r="G25" s="199" t="s">
        <v>179</v>
      </c>
      <c r="I25" s="199">
        <v>3963</v>
      </c>
      <c r="J25" s="199">
        <v>20</v>
      </c>
      <c r="K25" s="322">
        <v>198.14999389648438</v>
      </c>
      <c r="L25" s="323">
        <v>24886</v>
      </c>
      <c r="M25" s="199" t="s">
        <v>1206</v>
      </c>
      <c r="N25" s="199" t="s">
        <v>1175</v>
      </c>
    </row>
    <row r="26" spans="1:14">
      <c r="A26" s="321">
        <v>7440</v>
      </c>
      <c r="B26" s="199" t="s">
        <v>1625</v>
      </c>
      <c r="C26" s="199" t="s">
        <v>776</v>
      </c>
      <c r="D26" s="199" t="s">
        <v>1626</v>
      </c>
      <c r="E26" s="199" t="s">
        <v>48</v>
      </c>
      <c r="F26" s="199" t="s">
        <v>138</v>
      </c>
      <c r="G26" s="199" t="s">
        <v>238</v>
      </c>
      <c r="I26" s="199">
        <v>15717</v>
      </c>
      <c r="J26" s="199">
        <v>80</v>
      </c>
      <c r="K26" s="322">
        <v>196.46000671386719</v>
      </c>
      <c r="L26" s="323">
        <v>26640</v>
      </c>
      <c r="M26" s="199" t="s">
        <v>1593</v>
      </c>
      <c r="N26" s="199" t="s">
        <v>1359</v>
      </c>
    </row>
    <row r="27" spans="1:14">
      <c r="A27" s="321">
        <v>7445</v>
      </c>
      <c r="B27" s="199" t="s">
        <v>1114</v>
      </c>
      <c r="C27" s="199" t="s">
        <v>1115</v>
      </c>
      <c r="D27" s="199" t="s">
        <v>1095</v>
      </c>
      <c r="E27" s="199" t="s">
        <v>48</v>
      </c>
      <c r="F27" s="199" t="s">
        <v>78</v>
      </c>
      <c r="G27" s="199" t="s">
        <v>238</v>
      </c>
      <c r="I27" s="199">
        <v>6727</v>
      </c>
      <c r="J27" s="199">
        <v>32</v>
      </c>
      <c r="K27" s="322">
        <v>210.22000122070313</v>
      </c>
      <c r="L27" s="323">
        <v>32916</v>
      </c>
      <c r="M27" s="199" t="s">
        <v>1108</v>
      </c>
      <c r="N27" s="199" t="s">
        <v>1039</v>
      </c>
    </row>
    <row r="28" spans="1:14">
      <c r="A28" s="321">
        <v>7501</v>
      </c>
      <c r="B28" s="199" t="s">
        <v>1516</v>
      </c>
      <c r="C28" s="199" t="s">
        <v>1233</v>
      </c>
      <c r="D28" s="199" t="s">
        <v>119</v>
      </c>
      <c r="E28" s="199" t="s">
        <v>42</v>
      </c>
      <c r="F28" s="199" t="s">
        <v>57</v>
      </c>
      <c r="G28" s="199" t="s">
        <v>44</v>
      </c>
      <c r="I28" s="199">
        <v>3043</v>
      </c>
      <c r="J28" s="199">
        <v>18</v>
      </c>
      <c r="K28" s="322">
        <v>169.05999755859375</v>
      </c>
      <c r="L28" s="323">
        <v>17882</v>
      </c>
      <c r="M28" s="199" t="s">
        <v>1508</v>
      </c>
      <c r="N28" s="199" t="s">
        <v>1359</v>
      </c>
    </row>
    <row r="29" spans="1:14">
      <c r="A29" s="321">
        <v>7534</v>
      </c>
      <c r="B29" s="199" t="s">
        <v>1488</v>
      </c>
      <c r="C29" s="199" t="s">
        <v>1489</v>
      </c>
      <c r="D29" s="199" t="s">
        <v>137</v>
      </c>
      <c r="E29" s="199" t="s">
        <v>48</v>
      </c>
      <c r="F29" s="199" t="s">
        <v>138</v>
      </c>
      <c r="G29" s="199" t="s">
        <v>179</v>
      </c>
      <c r="I29" s="199">
        <v>5469</v>
      </c>
      <c r="J29" s="199">
        <v>30</v>
      </c>
      <c r="K29" s="322">
        <v>182.30000305175781</v>
      </c>
      <c r="L29" s="323">
        <v>24754</v>
      </c>
      <c r="M29" s="199" t="s">
        <v>1463</v>
      </c>
      <c r="N29" s="199" t="s">
        <v>1359</v>
      </c>
    </row>
    <row r="30" spans="1:14">
      <c r="A30" s="321">
        <v>7539</v>
      </c>
      <c r="B30" s="199" t="s">
        <v>1595</v>
      </c>
      <c r="C30" s="199" t="s">
        <v>1592</v>
      </c>
      <c r="D30" s="199" t="s">
        <v>229</v>
      </c>
      <c r="E30" s="199" t="s">
        <v>48</v>
      </c>
      <c r="F30" s="199" t="s">
        <v>49</v>
      </c>
      <c r="G30" s="199" t="s">
        <v>179</v>
      </c>
      <c r="I30" s="199">
        <v>4780</v>
      </c>
      <c r="J30" s="199">
        <v>26</v>
      </c>
      <c r="K30" s="322">
        <v>183.85000610351563</v>
      </c>
      <c r="L30" s="323">
        <v>23790</v>
      </c>
      <c r="M30" s="199" t="s">
        <v>1593</v>
      </c>
      <c r="N30" s="199" t="s">
        <v>1359</v>
      </c>
    </row>
    <row r="31" spans="1:14">
      <c r="A31" s="321">
        <v>7541</v>
      </c>
      <c r="B31" s="199" t="s">
        <v>1263</v>
      </c>
      <c r="C31" s="199" t="s">
        <v>1264</v>
      </c>
      <c r="D31" s="199" t="s">
        <v>1265</v>
      </c>
      <c r="E31" s="199" t="s">
        <v>48</v>
      </c>
      <c r="F31" s="199" t="s">
        <v>227</v>
      </c>
      <c r="I31" s="199">
        <v>940</v>
      </c>
      <c r="J31" s="199">
        <v>6</v>
      </c>
      <c r="K31" s="322">
        <v>156.66999816894531</v>
      </c>
      <c r="L31" s="323">
        <v>18284</v>
      </c>
      <c r="M31" s="199" t="s">
        <v>1257</v>
      </c>
      <c r="N31" s="199" t="s">
        <v>1175</v>
      </c>
    </row>
    <row r="32" spans="1:14">
      <c r="A32" s="321">
        <v>7546</v>
      </c>
      <c r="B32" s="199" t="s">
        <v>2546</v>
      </c>
      <c r="C32" s="199" t="s">
        <v>1271</v>
      </c>
      <c r="D32" s="199" t="s">
        <v>1272</v>
      </c>
      <c r="E32" s="199" t="s">
        <v>48</v>
      </c>
      <c r="F32" s="199" t="s">
        <v>227</v>
      </c>
      <c r="G32" s="199" t="s">
        <v>44</v>
      </c>
      <c r="I32" s="199">
        <v>3261</v>
      </c>
      <c r="J32" s="199">
        <v>20</v>
      </c>
      <c r="K32" s="322">
        <v>163.05000305175781</v>
      </c>
      <c r="L32" s="323">
        <v>18725</v>
      </c>
      <c r="M32" s="199" t="s">
        <v>1257</v>
      </c>
      <c r="N32" s="199" t="s">
        <v>1175</v>
      </c>
    </row>
    <row r="33" spans="1:14">
      <c r="A33" s="321">
        <v>7549</v>
      </c>
      <c r="B33" s="199" t="s">
        <v>1482</v>
      </c>
      <c r="C33" s="199" t="s">
        <v>1483</v>
      </c>
      <c r="D33" s="199" t="s">
        <v>935</v>
      </c>
      <c r="E33" s="199" t="s">
        <v>48</v>
      </c>
      <c r="F33" s="199" t="s">
        <v>49</v>
      </c>
      <c r="G33" s="199" t="s">
        <v>179</v>
      </c>
      <c r="I33" s="199">
        <v>8191</v>
      </c>
      <c r="J33" s="199">
        <v>44</v>
      </c>
      <c r="K33" s="322">
        <v>186.16000366210938</v>
      </c>
      <c r="L33" s="323">
        <v>22409</v>
      </c>
      <c r="M33" s="199" t="s">
        <v>1463</v>
      </c>
      <c r="N33" s="199" t="s">
        <v>1359</v>
      </c>
    </row>
    <row r="34" spans="1:14">
      <c r="A34" s="321">
        <v>7551</v>
      </c>
      <c r="B34" s="199" t="s">
        <v>2548</v>
      </c>
      <c r="C34" s="199" t="s">
        <v>1279</v>
      </c>
      <c r="D34" s="199" t="s">
        <v>317</v>
      </c>
      <c r="E34" s="199" t="s">
        <v>48</v>
      </c>
      <c r="F34" s="199" t="s">
        <v>227</v>
      </c>
      <c r="G34" s="199" t="s">
        <v>44</v>
      </c>
      <c r="I34" s="199">
        <v>5417</v>
      </c>
      <c r="J34" s="199">
        <v>34</v>
      </c>
      <c r="K34" s="322">
        <v>159.32000732421875</v>
      </c>
      <c r="L34" s="323">
        <v>20585</v>
      </c>
      <c r="M34" s="199" t="s">
        <v>1257</v>
      </c>
      <c r="N34" s="199" t="s">
        <v>1175</v>
      </c>
    </row>
    <row r="35" spans="1:14">
      <c r="A35" s="321">
        <v>7558</v>
      </c>
      <c r="B35" s="199" t="s">
        <v>1624</v>
      </c>
      <c r="C35" s="199" t="s">
        <v>1489</v>
      </c>
      <c r="D35" s="199" t="s">
        <v>314</v>
      </c>
      <c r="E35" s="199" t="s">
        <v>42</v>
      </c>
      <c r="F35" s="199" t="s">
        <v>57</v>
      </c>
      <c r="G35" s="199" t="s">
        <v>179</v>
      </c>
      <c r="I35" s="199">
        <v>5346</v>
      </c>
      <c r="J35" s="199">
        <v>28</v>
      </c>
      <c r="K35" s="322">
        <v>190.92999267578125</v>
      </c>
      <c r="L35" s="323">
        <v>19125</v>
      </c>
      <c r="M35" s="199" t="s">
        <v>254</v>
      </c>
      <c r="N35" s="199" t="s">
        <v>1359</v>
      </c>
    </row>
    <row r="36" spans="1:14">
      <c r="A36" s="321">
        <v>7573</v>
      </c>
      <c r="B36" s="199" t="s">
        <v>1659</v>
      </c>
      <c r="C36" s="199" t="s">
        <v>1660</v>
      </c>
      <c r="D36" s="199" t="s">
        <v>314</v>
      </c>
      <c r="E36" s="199" t="s">
        <v>42</v>
      </c>
      <c r="F36" s="199" t="s">
        <v>51</v>
      </c>
      <c r="G36" s="199" t="s">
        <v>179</v>
      </c>
      <c r="I36" s="199">
        <v>5465</v>
      </c>
      <c r="J36" s="199">
        <v>28</v>
      </c>
      <c r="K36" s="322">
        <v>195.17999267578125</v>
      </c>
      <c r="L36" s="323">
        <v>21765</v>
      </c>
      <c r="M36" s="199" t="s">
        <v>1593</v>
      </c>
      <c r="N36" s="199" t="s">
        <v>1359</v>
      </c>
    </row>
    <row r="37" spans="1:14">
      <c r="A37" s="321">
        <v>7574</v>
      </c>
      <c r="B37" s="199" t="s">
        <v>1598</v>
      </c>
      <c r="C37" s="199" t="s">
        <v>1599</v>
      </c>
      <c r="D37" s="199" t="s">
        <v>1272</v>
      </c>
      <c r="E37" s="199" t="s">
        <v>48</v>
      </c>
      <c r="F37" s="199" t="s">
        <v>227</v>
      </c>
      <c r="I37" s="199">
        <v>1481</v>
      </c>
      <c r="J37" s="199">
        <v>8</v>
      </c>
      <c r="K37" s="322">
        <v>185.1300048828125</v>
      </c>
      <c r="L37" s="323">
        <v>19025</v>
      </c>
      <c r="M37" s="199" t="s">
        <v>1593</v>
      </c>
      <c r="N37" s="199" t="s">
        <v>1359</v>
      </c>
    </row>
    <row r="38" spans="1:14">
      <c r="A38" s="321">
        <v>7575</v>
      </c>
      <c r="B38" s="199" t="s">
        <v>1600</v>
      </c>
      <c r="C38" s="199" t="s">
        <v>1601</v>
      </c>
      <c r="D38" s="199" t="s">
        <v>1529</v>
      </c>
      <c r="E38" s="199" t="s">
        <v>48</v>
      </c>
      <c r="F38" s="199" t="s">
        <v>138</v>
      </c>
      <c r="I38" s="199">
        <v>2037</v>
      </c>
      <c r="J38" s="199">
        <v>10</v>
      </c>
      <c r="K38" s="322">
        <v>203.69999694824219</v>
      </c>
      <c r="L38" s="323">
        <v>25948</v>
      </c>
      <c r="M38" s="199" t="s">
        <v>1593</v>
      </c>
      <c r="N38" s="199" t="s">
        <v>1359</v>
      </c>
    </row>
    <row r="39" spans="1:14">
      <c r="A39" s="321">
        <v>7576</v>
      </c>
      <c r="B39" s="199" t="s">
        <v>1620</v>
      </c>
      <c r="C39" s="199" t="s">
        <v>1115</v>
      </c>
      <c r="D39" s="199" t="s">
        <v>1406</v>
      </c>
      <c r="E39" s="199" t="s">
        <v>48</v>
      </c>
      <c r="F39" s="199" t="s">
        <v>227</v>
      </c>
      <c r="G39" s="199" t="s">
        <v>44</v>
      </c>
      <c r="I39" s="199">
        <v>2827</v>
      </c>
      <c r="J39" s="199">
        <v>18</v>
      </c>
      <c r="K39" s="322">
        <v>157.05999755859375</v>
      </c>
      <c r="L39" s="323">
        <v>19942</v>
      </c>
      <c r="M39" s="199" t="s">
        <v>1593</v>
      </c>
      <c r="N39" s="199" t="s">
        <v>1359</v>
      </c>
    </row>
    <row r="40" spans="1:14">
      <c r="A40" s="321">
        <v>7578</v>
      </c>
      <c r="B40" s="199" t="s">
        <v>1614</v>
      </c>
      <c r="C40" s="199" t="s">
        <v>1104</v>
      </c>
      <c r="D40" s="199" t="s">
        <v>1110</v>
      </c>
      <c r="E40" s="199" t="s">
        <v>48</v>
      </c>
      <c r="F40" s="199" t="s">
        <v>49</v>
      </c>
      <c r="G40" s="199" t="s">
        <v>179</v>
      </c>
      <c r="I40" s="199">
        <v>8771</v>
      </c>
      <c r="J40" s="199">
        <v>47</v>
      </c>
      <c r="K40" s="322">
        <v>186.6199951171875</v>
      </c>
      <c r="L40" s="323">
        <v>22375</v>
      </c>
      <c r="M40" s="199" t="s">
        <v>1593</v>
      </c>
      <c r="N40" s="199" t="s">
        <v>1359</v>
      </c>
    </row>
    <row r="41" spans="1:14">
      <c r="A41" s="321">
        <v>7583</v>
      </c>
      <c r="B41" s="199" t="s">
        <v>1566</v>
      </c>
      <c r="C41" s="199" t="s">
        <v>1567</v>
      </c>
      <c r="D41" s="199" t="s">
        <v>72</v>
      </c>
      <c r="E41" s="199" t="s">
        <v>42</v>
      </c>
      <c r="F41" s="199" t="s">
        <v>51</v>
      </c>
      <c r="G41" s="199" t="s">
        <v>179</v>
      </c>
      <c r="I41" s="199">
        <v>3565</v>
      </c>
      <c r="J41" s="199">
        <v>18</v>
      </c>
      <c r="K41" s="322">
        <v>198.05999755859375</v>
      </c>
      <c r="L41" s="323">
        <v>22341</v>
      </c>
      <c r="M41" s="199" t="s">
        <v>1525</v>
      </c>
      <c r="N41" s="199" t="s">
        <v>1912</v>
      </c>
    </row>
    <row r="42" spans="1:14">
      <c r="A42" s="321">
        <v>7592</v>
      </c>
      <c r="B42" s="199" t="s">
        <v>1596</v>
      </c>
      <c r="C42" s="199" t="s">
        <v>1592</v>
      </c>
      <c r="D42" s="199" t="s">
        <v>131</v>
      </c>
      <c r="E42" s="199" t="s">
        <v>42</v>
      </c>
      <c r="F42" s="199" t="s">
        <v>43</v>
      </c>
      <c r="G42" s="199" t="s">
        <v>238</v>
      </c>
      <c r="I42" s="199">
        <v>21026</v>
      </c>
      <c r="J42" s="199">
        <v>101</v>
      </c>
      <c r="K42" s="322">
        <v>208.17999267578125</v>
      </c>
      <c r="L42" s="323">
        <v>33756</v>
      </c>
      <c r="M42" s="199" t="s">
        <v>1593</v>
      </c>
      <c r="N42" s="199" t="s">
        <v>1359</v>
      </c>
    </row>
    <row r="43" spans="1:14">
      <c r="A43" s="321">
        <v>7593</v>
      </c>
      <c r="B43" s="199" t="s">
        <v>1594</v>
      </c>
      <c r="C43" s="199" t="s">
        <v>1592</v>
      </c>
      <c r="D43" s="199" t="s">
        <v>72</v>
      </c>
      <c r="E43" s="199" t="s">
        <v>42</v>
      </c>
      <c r="F43" s="199" t="s">
        <v>51</v>
      </c>
      <c r="G43" s="199" t="s">
        <v>238</v>
      </c>
      <c r="I43" s="199">
        <v>6696</v>
      </c>
      <c r="J43" s="199">
        <v>33</v>
      </c>
      <c r="K43" s="322">
        <v>202.91000366210938</v>
      </c>
      <c r="L43" s="323">
        <v>21379</v>
      </c>
      <c r="M43" s="199" t="s">
        <v>1593</v>
      </c>
      <c r="N43" s="199" t="s">
        <v>1359</v>
      </c>
    </row>
    <row r="44" spans="1:14">
      <c r="A44" s="321">
        <v>7595</v>
      </c>
      <c r="B44" s="199" t="s">
        <v>1602</v>
      </c>
      <c r="C44" s="199" t="s">
        <v>1603</v>
      </c>
      <c r="D44" s="199" t="s">
        <v>178</v>
      </c>
      <c r="E44" s="199" t="s">
        <v>42</v>
      </c>
      <c r="F44" s="199" t="s">
        <v>43</v>
      </c>
      <c r="G44" s="199" t="s">
        <v>179</v>
      </c>
      <c r="I44" s="199">
        <v>13082</v>
      </c>
      <c r="J44" s="199">
        <v>66</v>
      </c>
      <c r="K44" s="322">
        <v>198.21000671386719</v>
      </c>
      <c r="L44" s="323">
        <v>33677</v>
      </c>
      <c r="M44" s="199" t="s">
        <v>1593</v>
      </c>
      <c r="N44" s="199" t="s">
        <v>1359</v>
      </c>
    </row>
    <row r="45" spans="1:14">
      <c r="A45" s="321">
        <v>7597</v>
      </c>
      <c r="B45" s="199" t="s">
        <v>1621</v>
      </c>
      <c r="C45" s="199" t="s">
        <v>1115</v>
      </c>
      <c r="D45" s="199" t="s">
        <v>621</v>
      </c>
      <c r="E45" s="199" t="s">
        <v>42</v>
      </c>
      <c r="F45" s="199" t="s">
        <v>51</v>
      </c>
      <c r="G45" s="199" t="s">
        <v>238</v>
      </c>
      <c r="I45" s="199">
        <v>5687</v>
      </c>
      <c r="J45" s="199">
        <v>28</v>
      </c>
      <c r="K45" s="322">
        <v>203.11000061035156</v>
      </c>
      <c r="L45" s="323">
        <v>22391</v>
      </c>
      <c r="M45" s="199" t="s">
        <v>1593</v>
      </c>
      <c r="N45" s="199" t="s">
        <v>1359</v>
      </c>
    </row>
    <row r="46" spans="1:14">
      <c r="A46" s="321">
        <v>7598</v>
      </c>
      <c r="B46" s="199">
        <v>9109428</v>
      </c>
      <c r="C46" s="199" t="s">
        <v>1597</v>
      </c>
      <c r="D46" s="199" t="s">
        <v>434</v>
      </c>
      <c r="E46" s="199" t="s">
        <v>42</v>
      </c>
      <c r="F46" s="199" t="s">
        <v>57</v>
      </c>
      <c r="I46" s="199">
        <v>2085</v>
      </c>
      <c r="J46" s="199">
        <v>10</v>
      </c>
      <c r="K46" s="322">
        <v>208.5</v>
      </c>
      <c r="L46" s="323">
        <v>18287</v>
      </c>
      <c r="M46" s="199" t="s">
        <v>1593</v>
      </c>
      <c r="N46" s="199" t="s">
        <v>1359</v>
      </c>
    </row>
    <row r="47" spans="1:14">
      <c r="A47" s="321">
        <v>7607</v>
      </c>
      <c r="B47" s="199" t="s">
        <v>780</v>
      </c>
      <c r="C47" s="199" t="s">
        <v>499</v>
      </c>
      <c r="D47" s="199" t="s">
        <v>60</v>
      </c>
      <c r="E47" s="199" t="s">
        <v>42</v>
      </c>
      <c r="F47" s="199" t="s">
        <v>51</v>
      </c>
      <c r="I47" s="199">
        <v>1683</v>
      </c>
      <c r="J47" s="199">
        <v>10</v>
      </c>
      <c r="K47" s="322">
        <v>168.30000305175781</v>
      </c>
      <c r="L47" s="323">
        <v>23918</v>
      </c>
      <c r="M47" s="199" t="s">
        <v>1358</v>
      </c>
      <c r="N47" s="199" t="s">
        <v>1359</v>
      </c>
    </row>
    <row r="48" spans="1:14">
      <c r="A48" s="321">
        <v>7620</v>
      </c>
      <c r="B48" s="199" t="s">
        <v>1385</v>
      </c>
      <c r="C48" s="199" t="s">
        <v>1384</v>
      </c>
      <c r="D48" s="199" t="s">
        <v>1072</v>
      </c>
      <c r="E48" s="199" t="s">
        <v>42</v>
      </c>
      <c r="F48" s="199" t="s">
        <v>57</v>
      </c>
      <c r="I48" s="199">
        <v>1900</v>
      </c>
      <c r="J48" s="199">
        <v>10</v>
      </c>
      <c r="K48" s="322">
        <v>190</v>
      </c>
      <c r="L48" s="323">
        <v>19609</v>
      </c>
      <c r="M48" s="199" t="s">
        <v>1358</v>
      </c>
      <c r="N48" s="199" t="s">
        <v>1359</v>
      </c>
    </row>
    <row r="49" spans="1:14">
      <c r="A49" s="321">
        <v>7627</v>
      </c>
      <c r="B49" s="199" t="s">
        <v>1383</v>
      </c>
      <c r="C49" s="199" t="s">
        <v>1384</v>
      </c>
      <c r="D49" s="199" t="s">
        <v>613</v>
      </c>
      <c r="E49" s="199" t="s">
        <v>48</v>
      </c>
      <c r="F49" s="199" t="s">
        <v>227</v>
      </c>
      <c r="I49" s="199">
        <v>1642</v>
      </c>
      <c r="J49" s="199">
        <v>10</v>
      </c>
      <c r="K49" s="322">
        <v>164.19999694824219</v>
      </c>
      <c r="L49" s="323">
        <v>20282</v>
      </c>
      <c r="M49" s="199" t="s">
        <v>1358</v>
      </c>
      <c r="N49" s="199" t="s">
        <v>1359</v>
      </c>
    </row>
    <row r="50" spans="1:14">
      <c r="A50" s="321">
        <v>7641</v>
      </c>
      <c r="B50" s="199" t="s">
        <v>1356</v>
      </c>
      <c r="C50" s="199" t="s">
        <v>1357</v>
      </c>
      <c r="D50" s="199" t="s">
        <v>142</v>
      </c>
      <c r="E50" s="199" t="s">
        <v>42</v>
      </c>
      <c r="F50" s="199" t="s">
        <v>66</v>
      </c>
      <c r="I50" s="199">
        <v>1942</v>
      </c>
      <c r="J50" s="199">
        <v>10</v>
      </c>
      <c r="K50" s="322">
        <v>194.19999694824219</v>
      </c>
      <c r="L50" s="323">
        <v>24388</v>
      </c>
      <c r="M50" s="199" t="s">
        <v>1358</v>
      </c>
      <c r="N50" s="199" t="s">
        <v>1359</v>
      </c>
    </row>
    <row r="51" spans="1:14">
      <c r="A51" s="321">
        <v>7647</v>
      </c>
      <c r="B51" s="199" t="s">
        <v>1146</v>
      </c>
      <c r="C51" s="199" t="s">
        <v>1099</v>
      </c>
      <c r="D51" s="199" t="s">
        <v>106</v>
      </c>
      <c r="E51" s="199" t="s">
        <v>42</v>
      </c>
      <c r="F51" s="199" t="s">
        <v>66</v>
      </c>
      <c r="G51" s="199" t="s">
        <v>238</v>
      </c>
      <c r="I51" s="199">
        <v>8773</v>
      </c>
      <c r="J51" s="199">
        <v>43</v>
      </c>
      <c r="K51" s="322">
        <v>204.02000427246094</v>
      </c>
      <c r="L51" s="323">
        <v>26970</v>
      </c>
      <c r="M51" s="199" t="s">
        <v>1122</v>
      </c>
      <c r="N51" s="199" t="s">
        <v>1039</v>
      </c>
    </row>
    <row r="52" spans="1:14">
      <c r="A52" s="321">
        <v>7666</v>
      </c>
      <c r="B52" s="199" t="s">
        <v>1461</v>
      </c>
      <c r="C52" s="199" t="s">
        <v>1462</v>
      </c>
      <c r="D52" s="199" t="s">
        <v>79</v>
      </c>
      <c r="E52" s="199" t="s">
        <v>42</v>
      </c>
      <c r="F52" s="199" t="s">
        <v>57</v>
      </c>
      <c r="I52" s="199">
        <v>2058</v>
      </c>
      <c r="J52" s="199">
        <v>10</v>
      </c>
      <c r="K52" s="322">
        <v>205.80000305175781</v>
      </c>
      <c r="L52" s="323">
        <v>20156</v>
      </c>
      <c r="M52" s="199" t="s">
        <v>1463</v>
      </c>
      <c r="N52" s="199" t="s">
        <v>1359</v>
      </c>
    </row>
    <row r="53" spans="1:14">
      <c r="A53" s="321">
        <v>7668</v>
      </c>
      <c r="B53" s="199" t="s">
        <v>1487</v>
      </c>
      <c r="C53" s="199" t="s">
        <v>1486</v>
      </c>
      <c r="D53" s="199" t="s">
        <v>72</v>
      </c>
      <c r="E53" s="199" t="s">
        <v>42</v>
      </c>
      <c r="F53" s="199" t="s">
        <v>57</v>
      </c>
      <c r="G53" s="199" t="s">
        <v>50</v>
      </c>
      <c r="I53" s="199">
        <v>3579</v>
      </c>
      <c r="J53" s="199">
        <v>22</v>
      </c>
      <c r="K53" s="322">
        <v>162.67999267578125</v>
      </c>
      <c r="L53" s="323">
        <v>18531</v>
      </c>
      <c r="M53" s="199" t="s">
        <v>1463</v>
      </c>
      <c r="N53" s="199" t="s">
        <v>1359</v>
      </c>
    </row>
    <row r="54" spans="1:14">
      <c r="A54" s="321">
        <v>7670</v>
      </c>
      <c r="B54" s="199" t="s">
        <v>1561</v>
      </c>
      <c r="C54" s="199" t="s">
        <v>1562</v>
      </c>
      <c r="D54" s="199" t="s">
        <v>1563</v>
      </c>
      <c r="E54" s="199" t="s">
        <v>42</v>
      </c>
      <c r="F54" s="199" t="s">
        <v>57</v>
      </c>
      <c r="G54" s="199" t="s">
        <v>44</v>
      </c>
      <c r="I54" s="199">
        <v>3141</v>
      </c>
      <c r="J54" s="199">
        <v>18</v>
      </c>
      <c r="K54" s="322">
        <v>174.5</v>
      </c>
      <c r="L54" s="323">
        <v>20581</v>
      </c>
      <c r="M54" s="199" t="s">
        <v>1525</v>
      </c>
      <c r="N54" s="199" t="s">
        <v>1912</v>
      </c>
    </row>
    <row r="55" spans="1:14">
      <c r="A55" s="321">
        <v>7676</v>
      </c>
      <c r="B55" s="199" t="s">
        <v>1485</v>
      </c>
      <c r="C55" s="199" t="s">
        <v>1486</v>
      </c>
      <c r="D55" s="199" t="s">
        <v>307</v>
      </c>
      <c r="E55" s="199" t="s">
        <v>48</v>
      </c>
      <c r="F55" s="199" t="s">
        <v>227</v>
      </c>
      <c r="G55" s="199" t="s">
        <v>44</v>
      </c>
      <c r="I55" s="199">
        <v>3633</v>
      </c>
      <c r="J55" s="199">
        <v>23</v>
      </c>
      <c r="K55" s="322">
        <v>157.96000671386719</v>
      </c>
      <c r="L55" s="323">
        <v>20173</v>
      </c>
      <c r="M55" s="199" t="s">
        <v>1463</v>
      </c>
      <c r="N55" s="199" t="s">
        <v>1359</v>
      </c>
    </row>
    <row r="56" spans="1:14">
      <c r="A56" s="321">
        <v>7709</v>
      </c>
      <c r="B56" s="199" t="s">
        <v>885</v>
      </c>
      <c r="C56" s="199" t="s">
        <v>884</v>
      </c>
      <c r="D56" s="199" t="s">
        <v>886</v>
      </c>
      <c r="E56" s="199" t="s">
        <v>48</v>
      </c>
      <c r="F56" s="199" t="s">
        <v>49</v>
      </c>
      <c r="G56" s="199" t="s">
        <v>44</v>
      </c>
      <c r="I56" s="199">
        <v>4229</v>
      </c>
      <c r="J56" s="199">
        <v>27</v>
      </c>
      <c r="K56" s="322">
        <v>156.6300048828125</v>
      </c>
      <c r="L56" s="323">
        <v>20967</v>
      </c>
      <c r="M56" s="199" t="s">
        <v>847</v>
      </c>
      <c r="N56" s="199" t="s">
        <v>17</v>
      </c>
    </row>
    <row r="57" spans="1:14">
      <c r="A57" s="321">
        <v>7721</v>
      </c>
      <c r="B57" s="199">
        <v>67657</v>
      </c>
      <c r="C57" s="199" t="s">
        <v>884</v>
      </c>
      <c r="D57" s="199" t="s">
        <v>205</v>
      </c>
      <c r="E57" s="199" t="s">
        <v>42</v>
      </c>
      <c r="F57" s="199" t="s">
        <v>51</v>
      </c>
      <c r="G57" s="199" t="s">
        <v>179</v>
      </c>
      <c r="I57" s="199">
        <v>6720</v>
      </c>
      <c r="J57" s="199">
        <v>35</v>
      </c>
      <c r="K57" s="322">
        <v>192</v>
      </c>
      <c r="L57" s="323">
        <v>22714</v>
      </c>
      <c r="M57" s="199" t="s">
        <v>847</v>
      </c>
      <c r="N57" s="199" t="s">
        <v>17</v>
      </c>
    </row>
    <row r="58" spans="1:14">
      <c r="A58" s="321">
        <v>7723</v>
      </c>
      <c r="B58" s="199" t="s">
        <v>1899</v>
      </c>
      <c r="C58" s="199" t="s">
        <v>884</v>
      </c>
      <c r="D58" s="199" t="s">
        <v>86</v>
      </c>
      <c r="E58" s="199" t="s">
        <v>42</v>
      </c>
      <c r="F58" s="199" t="s">
        <v>43</v>
      </c>
      <c r="I58" s="199">
        <v>906</v>
      </c>
      <c r="J58" s="199">
        <v>4</v>
      </c>
      <c r="K58" s="322">
        <v>226.5</v>
      </c>
      <c r="L58" s="323">
        <v>33118</v>
      </c>
      <c r="M58" s="199" t="s">
        <v>847</v>
      </c>
      <c r="N58" s="199" t="s">
        <v>17</v>
      </c>
    </row>
    <row r="59" spans="1:14">
      <c r="A59" s="321">
        <v>7724</v>
      </c>
      <c r="B59" s="199" t="s">
        <v>246</v>
      </c>
      <c r="C59" s="199" t="s">
        <v>247</v>
      </c>
      <c r="D59" s="199" t="s">
        <v>86</v>
      </c>
      <c r="E59" s="199" t="s">
        <v>42</v>
      </c>
      <c r="F59" s="199" t="s">
        <v>43</v>
      </c>
      <c r="G59" s="199" t="s">
        <v>65</v>
      </c>
      <c r="I59" s="199">
        <v>8954</v>
      </c>
      <c r="J59" s="199">
        <v>48</v>
      </c>
      <c r="K59" s="322">
        <v>186.53999328613281</v>
      </c>
      <c r="L59" s="323">
        <v>31986</v>
      </c>
      <c r="M59" s="199" t="s">
        <v>231</v>
      </c>
      <c r="N59" s="199" t="s">
        <v>203</v>
      </c>
    </row>
    <row r="60" spans="1:14">
      <c r="A60" s="321">
        <v>7725</v>
      </c>
      <c r="B60" s="199" t="s">
        <v>248</v>
      </c>
      <c r="C60" s="199" t="s">
        <v>249</v>
      </c>
      <c r="D60" s="199" t="s">
        <v>178</v>
      </c>
      <c r="E60" s="199" t="s">
        <v>42</v>
      </c>
      <c r="F60" s="199" t="s">
        <v>43</v>
      </c>
      <c r="G60" s="199" t="s">
        <v>179</v>
      </c>
      <c r="I60" s="199">
        <v>7009</v>
      </c>
      <c r="J60" s="199">
        <v>36</v>
      </c>
      <c r="K60" s="322">
        <v>194.69000244140625</v>
      </c>
      <c r="L60" s="323">
        <v>29307</v>
      </c>
      <c r="M60" s="199" t="s">
        <v>231</v>
      </c>
      <c r="N60" s="199" t="s">
        <v>203</v>
      </c>
    </row>
    <row r="61" spans="1:14">
      <c r="A61" s="321">
        <v>7730</v>
      </c>
      <c r="B61" s="199" t="s">
        <v>1042</v>
      </c>
      <c r="C61" s="199" t="s">
        <v>1041</v>
      </c>
      <c r="D61" s="199" t="s">
        <v>60</v>
      </c>
      <c r="E61" s="199" t="s">
        <v>42</v>
      </c>
      <c r="F61" s="199" t="s">
        <v>43</v>
      </c>
      <c r="I61" s="199">
        <v>1051</v>
      </c>
      <c r="J61" s="199">
        <v>6</v>
      </c>
      <c r="K61" s="322">
        <v>175.16999816894531</v>
      </c>
      <c r="L61" s="323">
        <v>29529</v>
      </c>
      <c r="M61" s="199" t="s">
        <v>1038</v>
      </c>
      <c r="N61" s="199" t="s">
        <v>1039</v>
      </c>
    </row>
    <row r="62" spans="1:14">
      <c r="A62" s="321">
        <v>7734</v>
      </c>
      <c r="B62" s="199" t="s">
        <v>1138</v>
      </c>
      <c r="C62" s="199" t="s">
        <v>794</v>
      </c>
      <c r="D62" s="199" t="s">
        <v>1139</v>
      </c>
      <c r="E62" s="199" t="s">
        <v>42</v>
      </c>
      <c r="F62" s="199" t="s">
        <v>43</v>
      </c>
      <c r="I62" s="199">
        <v>828</v>
      </c>
      <c r="J62" s="199">
        <v>4</v>
      </c>
      <c r="K62" s="322">
        <v>207</v>
      </c>
      <c r="L62" s="323">
        <v>33955</v>
      </c>
      <c r="M62" s="199" t="s">
        <v>231</v>
      </c>
      <c r="N62" s="199" t="s">
        <v>203</v>
      </c>
    </row>
    <row r="63" spans="1:14">
      <c r="A63" s="321">
        <v>7735</v>
      </c>
      <c r="B63" s="199" t="s">
        <v>241</v>
      </c>
      <c r="C63" s="199" t="s">
        <v>242</v>
      </c>
      <c r="D63" s="199" t="s">
        <v>243</v>
      </c>
      <c r="E63" s="199" t="s">
        <v>42</v>
      </c>
      <c r="F63" s="199" t="s">
        <v>57</v>
      </c>
      <c r="I63" s="199">
        <v>1312</v>
      </c>
      <c r="J63" s="199">
        <v>7</v>
      </c>
      <c r="K63" s="322">
        <v>187.42999267578125</v>
      </c>
      <c r="L63" s="323">
        <v>20573</v>
      </c>
      <c r="M63" s="199" t="s">
        <v>342</v>
      </c>
      <c r="N63" s="199" t="s">
        <v>301</v>
      </c>
    </row>
    <row r="64" spans="1:14">
      <c r="A64" s="321">
        <v>7738</v>
      </c>
      <c r="B64" s="199" t="s">
        <v>425</v>
      </c>
      <c r="C64" s="199" t="s">
        <v>426</v>
      </c>
      <c r="D64" s="199" t="s">
        <v>116</v>
      </c>
      <c r="E64" s="199" t="s">
        <v>42</v>
      </c>
      <c r="F64" s="199" t="s">
        <v>51</v>
      </c>
      <c r="G64" s="199" t="s">
        <v>179</v>
      </c>
      <c r="I64" s="199">
        <v>8579</v>
      </c>
      <c r="J64" s="199">
        <v>45</v>
      </c>
      <c r="K64" s="322">
        <v>190.63999938964844</v>
      </c>
      <c r="L64" s="323">
        <v>20802</v>
      </c>
      <c r="M64" s="199" t="s">
        <v>342</v>
      </c>
      <c r="N64" s="199" t="s">
        <v>301</v>
      </c>
    </row>
    <row r="65" spans="1:14">
      <c r="A65" s="321">
        <v>7740</v>
      </c>
      <c r="B65" s="199" t="s">
        <v>393</v>
      </c>
      <c r="C65" s="199" t="s">
        <v>394</v>
      </c>
      <c r="D65" s="199" t="s">
        <v>97</v>
      </c>
      <c r="E65" s="199" t="s">
        <v>42</v>
      </c>
      <c r="F65" s="199" t="s">
        <v>51</v>
      </c>
      <c r="G65" s="199" t="s">
        <v>65</v>
      </c>
      <c r="I65" s="199">
        <v>4694</v>
      </c>
      <c r="J65" s="199">
        <v>25</v>
      </c>
      <c r="K65" s="322">
        <v>187.75999450683594</v>
      </c>
      <c r="L65" s="323">
        <v>23304</v>
      </c>
      <c r="M65" s="199" t="s">
        <v>342</v>
      </c>
      <c r="N65" s="199" t="s">
        <v>301</v>
      </c>
    </row>
    <row r="66" spans="1:14">
      <c r="A66" s="321">
        <v>7741</v>
      </c>
      <c r="B66" s="199" t="s">
        <v>235</v>
      </c>
      <c r="C66" s="199" t="s">
        <v>135</v>
      </c>
      <c r="D66" s="199" t="s">
        <v>142</v>
      </c>
      <c r="E66" s="199" t="s">
        <v>42</v>
      </c>
      <c r="F66" s="199" t="s">
        <v>51</v>
      </c>
      <c r="I66" s="199">
        <v>514</v>
      </c>
      <c r="J66" s="199">
        <v>3</v>
      </c>
      <c r="K66" s="322">
        <v>171.33000183105469</v>
      </c>
      <c r="L66" s="323">
        <v>24116</v>
      </c>
      <c r="M66" s="199" t="s">
        <v>342</v>
      </c>
      <c r="N66" s="199" t="s">
        <v>301</v>
      </c>
    </row>
    <row r="67" spans="1:14">
      <c r="A67" s="321">
        <v>7746</v>
      </c>
      <c r="B67" s="199" t="s">
        <v>346</v>
      </c>
      <c r="C67" s="199" t="s">
        <v>347</v>
      </c>
      <c r="D67" s="199" t="s">
        <v>56</v>
      </c>
      <c r="E67" s="199" t="s">
        <v>42</v>
      </c>
      <c r="F67" s="199" t="s">
        <v>66</v>
      </c>
      <c r="G67" s="199" t="s">
        <v>179</v>
      </c>
      <c r="I67" s="199">
        <v>5567</v>
      </c>
      <c r="J67" s="199">
        <v>28</v>
      </c>
      <c r="K67" s="322">
        <v>198.82000732421875</v>
      </c>
      <c r="L67" s="323">
        <v>24513</v>
      </c>
      <c r="M67" s="199" t="s">
        <v>342</v>
      </c>
      <c r="N67" s="199" t="s">
        <v>301</v>
      </c>
    </row>
    <row r="68" spans="1:14">
      <c r="A68" s="321">
        <v>7753</v>
      </c>
      <c r="B68" s="199" t="s">
        <v>220</v>
      </c>
      <c r="C68" s="199" t="s">
        <v>221</v>
      </c>
      <c r="D68" s="199" t="s">
        <v>222</v>
      </c>
      <c r="E68" s="199" t="s">
        <v>48</v>
      </c>
      <c r="F68" s="199" t="s">
        <v>49</v>
      </c>
      <c r="G68" s="199" t="s">
        <v>65</v>
      </c>
      <c r="I68" s="199">
        <v>13121</v>
      </c>
      <c r="J68" s="199">
        <v>75</v>
      </c>
      <c r="K68" s="322">
        <v>174.94999694824219</v>
      </c>
      <c r="L68" s="323">
        <v>20825</v>
      </c>
      <c r="M68" s="199" t="s">
        <v>217</v>
      </c>
      <c r="N68" s="199" t="s">
        <v>203</v>
      </c>
    </row>
    <row r="69" spans="1:14">
      <c r="A69" s="321">
        <v>7758</v>
      </c>
      <c r="B69" s="199" t="s">
        <v>215</v>
      </c>
      <c r="C69" s="199" t="s">
        <v>216</v>
      </c>
      <c r="D69" s="199" t="s">
        <v>166</v>
      </c>
      <c r="E69" s="199" t="s">
        <v>48</v>
      </c>
      <c r="F69" s="199" t="s">
        <v>138</v>
      </c>
      <c r="I69" s="199">
        <v>1907</v>
      </c>
      <c r="J69" s="199">
        <v>12</v>
      </c>
      <c r="K69" s="322">
        <v>158.91999816894531</v>
      </c>
      <c r="L69" s="323">
        <v>24882</v>
      </c>
      <c r="M69" s="199" t="s">
        <v>217</v>
      </c>
      <c r="N69" s="199" t="s">
        <v>203</v>
      </c>
    </row>
    <row r="70" spans="1:14">
      <c r="A70" s="321">
        <v>7770</v>
      </c>
      <c r="B70" s="199" t="s">
        <v>868</v>
      </c>
      <c r="C70" s="199" t="s">
        <v>866</v>
      </c>
      <c r="D70" s="199" t="s">
        <v>142</v>
      </c>
      <c r="E70" s="199" t="s">
        <v>42</v>
      </c>
      <c r="F70" s="199" t="s">
        <v>66</v>
      </c>
      <c r="I70" s="199">
        <v>1171</v>
      </c>
      <c r="J70" s="199">
        <v>7</v>
      </c>
      <c r="K70" s="322">
        <v>167.28999328613281</v>
      </c>
      <c r="L70" s="323">
        <v>24391</v>
      </c>
      <c r="M70" s="199" t="s">
        <v>847</v>
      </c>
      <c r="N70" s="199" t="s">
        <v>17</v>
      </c>
    </row>
    <row r="71" spans="1:14">
      <c r="A71" s="321">
        <v>7772</v>
      </c>
      <c r="B71" s="199" t="s">
        <v>877</v>
      </c>
      <c r="C71" s="199" t="s">
        <v>875</v>
      </c>
      <c r="D71" s="199" t="s">
        <v>116</v>
      </c>
      <c r="E71" s="199" t="s">
        <v>42</v>
      </c>
      <c r="F71" s="199" t="s">
        <v>66</v>
      </c>
      <c r="G71" s="199" t="s">
        <v>179</v>
      </c>
      <c r="I71" s="199">
        <v>8642</v>
      </c>
      <c r="J71" s="199">
        <v>44</v>
      </c>
      <c r="K71" s="322">
        <v>196.41000366210938</v>
      </c>
      <c r="L71" s="323">
        <v>26864</v>
      </c>
      <c r="M71" s="199" t="s">
        <v>847</v>
      </c>
      <c r="N71" s="199" t="s">
        <v>17</v>
      </c>
    </row>
    <row r="72" spans="1:14">
      <c r="A72" s="321">
        <v>7786</v>
      </c>
      <c r="B72" s="199" t="s">
        <v>874</v>
      </c>
      <c r="C72" s="199" t="s">
        <v>875</v>
      </c>
      <c r="D72" s="199" t="s">
        <v>876</v>
      </c>
      <c r="E72" s="199" t="s">
        <v>48</v>
      </c>
      <c r="F72" s="199" t="s">
        <v>138</v>
      </c>
      <c r="G72" s="199" t="s">
        <v>65</v>
      </c>
      <c r="I72" s="199">
        <v>8821</v>
      </c>
      <c r="J72" s="199">
        <v>50</v>
      </c>
      <c r="K72" s="322">
        <v>176.41999816894531</v>
      </c>
      <c r="L72" s="323">
        <v>25268</v>
      </c>
      <c r="M72" s="199" t="s">
        <v>847</v>
      </c>
      <c r="N72" s="199" t="s">
        <v>17</v>
      </c>
    </row>
    <row r="73" spans="1:14">
      <c r="A73" s="321">
        <v>7801</v>
      </c>
      <c r="B73" s="199">
        <v>9099131</v>
      </c>
      <c r="C73" s="199" t="s">
        <v>884</v>
      </c>
      <c r="D73" s="199" t="s">
        <v>338</v>
      </c>
      <c r="E73" s="199" t="s">
        <v>48</v>
      </c>
      <c r="F73" s="199" t="s">
        <v>78</v>
      </c>
      <c r="G73" s="199" t="s">
        <v>179</v>
      </c>
      <c r="I73" s="199">
        <v>3902</v>
      </c>
      <c r="J73" s="199">
        <v>21</v>
      </c>
      <c r="K73" s="322">
        <v>185.80999755859375</v>
      </c>
      <c r="L73" s="323">
        <v>34520</v>
      </c>
      <c r="M73" s="199" t="s">
        <v>847</v>
      </c>
      <c r="N73" s="199" t="s">
        <v>17</v>
      </c>
    </row>
    <row r="74" spans="1:14">
      <c r="A74" s="321">
        <v>7809</v>
      </c>
      <c r="B74" s="199" t="s">
        <v>1043</v>
      </c>
      <c r="C74" s="199" t="s">
        <v>1044</v>
      </c>
      <c r="D74" s="199" t="s">
        <v>86</v>
      </c>
      <c r="E74" s="199" t="s">
        <v>42</v>
      </c>
      <c r="F74" s="199" t="s">
        <v>66</v>
      </c>
      <c r="I74" s="199">
        <v>780</v>
      </c>
      <c r="J74" s="199">
        <v>4</v>
      </c>
      <c r="K74" s="322">
        <v>195</v>
      </c>
      <c r="L74" s="323">
        <v>26189</v>
      </c>
      <c r="M74" s="199" t="s">
        <v>1038</v>
      </c>
      <c r="N74" s="199" t="s">
        <v>1039</v>
      </c>
    </row>
    <row r="75" spans="1:14">
      <c r="A75" s="321">
        <v>7813</v>
      </c>
      <c r="B75" s="199" t="s">
        <v>1064</v>
      </c>
      <c r="C75" s="199" t="s">
        <v>1065</v>
      </c>
      <c r="D75" s="199" t="s">
        <v>72</v>
      </c>
      <c r="E75" s="199" t="s">
        <v>42</v>
      </c>
      <c r="F75" s="199" t="s">
        <v>51</v>
      </c>
      <c r="I75" s="199">
        <v>1420</v>
      </c>
      <c r="J75" s="199">
        <v>8</v>
      </c>
      <c r="K75" s="322">
        <v>177.5</v>
      </c>
      <c r="L75" s="323">
        <v>23096</v>
      </c>
      <c r="M75" s="199" t="s">
        <v>1038</v>
      </c>
      <c r="N75" s="199" t="s">
        <v>1039</v>
      </c>
    </row>
    <row r="76" spans="1:14">
      <c r="A76" s="321">
        <v>7814</v>
      </c>
      <c r="B76" s="199" t="s">
        <v>1049</v>
      </c>
      <c r="C76" s="199" t="s">
        <v>1050</v>
      </c>
      <c r="D76" s="199" t="s">
        <v>644</v>
      </c>
      <c r="E76" s="199" t="s">
        <v>42</v>
      </c>
      <c r="F76" s="199" t="s">
        <v>51</v>
      </c>
      <c r="I76" s="199">
        <v>1457</v>
      </c>
      <c r="J76" s="199">
        <v>8</v>
      </c>
      <c r="K76" s="322">
        <v>182.1300048828125</v>
      </c>
      <c r="L76" s="323">
        <v>23672</v>
      </c>
      <c r="M76" s="199" t="s">
        <v>1038</v>
      </c>
      <c r="N76" s="199" t="s">
        <v>1039</v>
      </c>
    </row>
    <row r="77" spans="1:14">
      <c r="A77" s="321">
        <v>7816</v>
      </c>
      <c r="B77" s="199" t="s">
        <v>1047</v>
      </c>
      <c r="C77" s="199" t="s">
        <v>1048</v>
      </c>
      <c r="D77" s="199" t="s">
        <v>58</v>
      </c>
      <c r="E77" s="199" t="s">
        <v>42</v>
      </c>
      <c r="F77" s="199" t="s">
        <v>66</v>
      </c>
      <c r="I77" s="199">
        <v>507</v>
      </c>
      <c r="J77" s="199">
        <v>3</v>
      </c>
      <c r="K77" s="322">
        <v>169</v>
      </c>
      <c r="L77" s="323">
        <v>26444</v>
      </c>
      <c r="M77" s="199" t="s">
        <v>1038</v>
      </c>
      <c r="N77" s="199" t="s">
        <v>1039</v>
      </c>
    </row>
    <row r="78" spans="1:14">
      <c r="A78" s="321">
        <v>7836</v>
      </c>
      <c r="B78" s="199" t="s">
        <v>1145</v>
      </c>
      <c r="C78" s="199" t="s">
        <v>798</v>
      </c>
      <c r="D78" s="199" t="s">
        <v>1021</v>
      </c>
      <c r="E78" s="199" t="s">
        <v>42</v>
      </c>
      <c r="F78" s="199" t="s">
        <v>57</v>
      </c>
      <c r="G78" s="199" t="s">
        <v>179</v>
      </c>
      <c r="I78" s="199">
        <v>15962</v>
      </c>
      <c r="J78" s="199">
        <v>80</v>
      </c>
      <c r="K78" s="322">
        <v>199.52999877929688</v>
      </c>
      <c r="L78" s="323">
        <v>15760</v>
      </c>
      <c r="M78" s="199" t="s">
        <v>1122</v>
      </c>
      <c r="N78" s="199" t="s">
        <v>1039</v>
      </c>
    </row>
    <row r="79" spans="1:14">
      <c r="A79" s="321">
        <v>7849</v>
      </c>
      <c r="B79" s="199" t="s">
        <v>1061</v>
      </c>
      <c r="C79" s="199" t="s">
        <v>1062</v>
      </c>
      <c r="D79" s="199" t="s">
        <v>1063</v>
      </c>
      <c r="E79" s="199" t="s">
        <v>42</v>
      </c>
      <c r="F79" s="199" t="s">
        <v>66</v>
      </c>
      <c r="I79" s="199">
        <v>1010</v>
      </c>
      <c r="J79" s="199">
        <v>6</v>
      </c>
      <c r="K79" s="322">
        <v>168.33000183105469</v>
      </c>
      <c r="L79" s="323">
        <v>25076</v>
      </c>
      <c r="M79" s="199" t="s">
        <v>1038</v>
      </c>
      <c r="N79" s="199" t="s">
        <v>1039</v>
      </c>
    </row>
    <row r="80" spans="1:14">
      <c r="A80" s="321">
        <v>7860</v>
      </c>
      <c r="B80" s="199" t="s">
        <v>2139</v>
      </c>
      <c r="C80" s="199" t="s">
        <v>675</v>
      </c>
      <c r="D80" s="199" t="s">
        <v>676</v>
      </c>
      <c r="E80" s="199" t="s">
        <v>48</v>
      </c>
      <c r="F80" s="199" t="s">
        <v>49</v>
      </c>
      <c r="G80" s="199" t="s">
        <v>65</v>
      </c>
      <c r="I80" s="199">
        <v>5018</v>
      </c>
      <c r="J80" s="199">
        <v>29</v>
      </c>
      <c r="K80" s="322">
        <v>173.02999877929688</v>
      </c>
      <c r="L80" s="323">
        <v>23785</v>
      </c>
      <c r="M80" s="199" t="s">
        <v>680</v>
      </c>
      <c r="N80" s="199" t="s">
        <v>677</v>
      </c>
    </row>
    <row r="81" spans="1:14">
      <c r="A81" s="321">
        <v>7865</v>
      </c>
      <c r="B81" s="199" t="s">
        <v>1637</v>
      </c>
      <c r="C81" s="199" t="s">
        <v>1638</v>
      </c>
      <c r="D81" s="199" t="s">
        <v>86</v>
      </c>
      <c r="E81" s="199" t="s">
        <v>42</v>
      </c>
      <c r="F81" s="199" t="s">
        <v>43</v>
      </c>
      <c r="G81" s="199" t="s">
        <v>238</v>
      </c>
      <c r="I81" s="199">
        <v>14650</v>
      </c>
      <c r="J81" s="199">
        <v>73</v>
      </c>
      <c r="K81" s="322">
        <v>200.67999267578125</v>
      </c>
      <c r="L81" s="323">
        <v>30299</v>
      </c>
      <c r="M81" s="199" t="s">
        <v>1593</v>
      </c>
      <c r="N81" s="199" t="s">
        <v>1359</v>
      </c>
    </row>
    <row r="82" spans="1:14">
      <c r="A82" s="321">
        <v>7867</v>
      </c>
      <c r="B82" s="199" t="s">
        <v>1103</v>
      </c>
      <c r="C82" s="199" t="s">
        <v>1104</v>
      </c>
      <c r="D82" s="199" t="s">
        <v>262</v>
      </c>
      <c r="E82" s="199" t="s">
        <v>42</v>
      </c>
      <c r="F82" s="199" t="s">
        <v>51</v>
      </c>
      <c r="G82" s="199" t="s">
        <v>238</v>
      </c>
      <c r="I82" s="199">
        <v>14311</v>
      </c>
      <c r="J82" s="199">
        <v>71</v>
      </c>
      <c r="K82" s="322">
        <v>201.55999755859375</v>
      </c>
      <c r="L82" s="323">
        <v>22813</v>
      </c>
      <c r="M82" s="199" t="s">
        <v>1593</v>
      </c>
      <c r="N82" s="199" t="s">
        <v>1359</v>
      </c>
    </row>
    <row r="83" spans="1:14">
      <c r="A83" s="321">
        <v>7868</v>
      </c>
      <c r="B83" s="199" t="s">
        <v>2519</v>
      </c>
      <c r="C83" s="199" t="s">
        <v>2520</v>
      </c>
      <c r="D83" s="199" t="s">
        <v>63</v>
      </c>
      <c r="E83" s="199" t="s">
        <v>42</v>
      </c>
      <c r="F83" s="199" t="s">
        <v>66</v>
      </c>
      <c r="I83" s="199">
        <v>1546</v>
      </c>
      <c r="J83" s="199">
        <v>8</v>
      </c>
      <c r="K83" s="322">
        <v>193.25</v>
      </c>
      <c r="L83" s="323">
        <v>26592</v>
      </c>
      <c r="M83" s="199" t="s">
        <v>1122</v>
      </c>
      <c r="N83" s="199" t="s">
        <v>1039</v>
      </c>
    </row>
    <row r="84" spans="1:14">
      <c r="A84" s="321">
        <v>7869</v>
      </c>
      <c r="B84" s="199" t="s">
        <v>1137</v>
      </c>
      <c r="C84" s="199" t="s">
        <v>625</v>
      </c>
      <c r="D84" s="199" t="s">
        <v>72</v>
      </c>
      <c r="E84" s="199" t="s">
        <v>42</v>
      </c>
      <c r="F84" s="199" t="s">
        <v>57</v>
      </c>
      <c r="G84" s="199" t="s">
        <v>65</v>
      </c>
      <c r="I84" s="199">
        <v>5103</v>
      </c>
      <c r="J84" s="199">
        <v>27</v>
      </c>
      <c r="K84" s="322">
        <v>189</v>
      </c>
      <c r="L84" s="323">
        <v>19840</v>
      </c>
      <c r="M84" s="199" t="s">
        <v>1122</v>
      </c>
      <c r="N84" s="199" t="s">
        <v>1039</v>
      </c>
    </row>
    <row r="85" spans="1:14">
      <c r="A85" s="321">
        <v>7883</v>
      </c>
      <c r="B85" s="199" t="s">
        <v>1218</v>
      </c>
      <c r="C85" s="199" t="s">
        <v>1219</v>
      </c>
      <c r="D85" s="199" t="s">
        <v>1170</v>
      </c>
      <c r="E85" s="199" t="s">
        <v>42</v>
      </c>
      <c r="F85" s="199" t="s">
        <v>66</v>
      </c>
      <c r="G85" s="199" t="s">
        <v>238</v>
      </c>
      <c r="I85" s="199">
        <v>9454</v>
      </c>
      <c r="J85" s="199">
        <v>46</v>
      </c>
      <c r="K85" s="322">
        <v>205.52000427246094</v>
      </c>
      <c r="L85" s="323">
        <v>25224</v>
      </c>
      <c r="M85" s="199" t="s">
        <v>1206</v>
      </c>
      <c r="N85" s="199" t="s">
        <v>1175</v>
      </c>
    </row>
    <row r="86" spans="1:14">
      <c r="A86" s="321">
        <v>7884</v>
      </c>
      <c r="B86" s="199" t="s">
        <v>1142</v>
      </c>
      <c r="C86" s="199" t="s">
        <v>1</v>
      </c>
      <c r="D86" s="199" t="s">
        <v>106</v>
      </c>
      <c r="E86" s="199" t="s">
        <v>42</v>
      </c>
      <c r="F86" s="199" t="s">
        <v>66</v>
      </c>
      <c r="G86" s="199" t="s">
        <v>179</v>
      </c>
      <c r="I86" s="199">
        <v>10766</v>
      </c>
      <c r="J86" s="199">
        <v>56</v>
      </c>
      <c r="K86" s="322">
        <v>192.25</v>
      </c>
      <c r="L86" s="323">
        <v>24324</v>
      </c>
      <c r="M86" s="199" t="s">
        <v>1038</v>
      </c>
      <c r="N86" s="199" t="s">
        <v>1039</v>
      </c>
    </row>
    <row r="87" spans="1:14">
      <c r="A87" s="321">
        <v>7885</v>
      </c>
      <c r="B87" s="199" t="s">
        <v>1187</v>
      </c>
      <c r="C87" s="199" t="s">
        <v>1104</v>
      </c>
      <c r="D87" s="199" t="s">
        <v>81</v>
      </c>
      <c r="E87" s="199" t="s">
        <v>42</v>
      </c>
      <c r="F87" s="199" t="s">
        <v>43</v>
      </c>
      <c r="G87" s="199" t="s">
        <v>238</v>
      </c>
      <c r="I87" s="199">
        <v>9429</v>
      </c>
      <c r="J87" s="199">
        <v>45</v>
      </c>
      <c r="K87" s="322">
        <v>209.52999877929688</v>
      </c>
      <c r="L87" s="323">
        <v>33414</v>
      </c>
      <c r="M87" s="199" t="s">
        <v>1593</v>
      </c>
      <c r="N87" s="199" t="s">
        <v>1359</v>
      </c>
    </row>
    <row r="88" spans="1:14">
      <c r="A88" s="321">
        <v>7900</v>
      </c>
      <c r="B88" s="199" t="s">
        <v>1141</v>
      </c>
      <c r="C88" s="199" t="s">
        <v>1140</v>
      </c>
      <c r="D88" s="199" t="s">
        <v>569</v>
      </c>
      <c r="E88" s="199" t="s">
        <v>42</v>
      </c>
      <c r="F88" s="199" t="s">
        <v>51</v>
      </c>
      <c r="I88" s="199">
        <v>1639</v>
      </c>
      <c r="J88" s="199">
        <v>8</v>
      </c>
      <c r="K88" s="322">
        <v>204.8800048828125</v>
      </c>
      <c r="L88" s="323">
        <v>23765</v>
      </c>
      <c r="M88" s="199" t="s">
        <v>1122</v>
      </c>
      <c r="N88" s="199" t="s">
        <v>1039</v>
      </c>
    </row>
    <row r="89" spans="1:14">
      <c r="A89" s="321">
        <v>7901</v>
      </c>
      <c r="B89" s="199" t="s">
        <v>1070</v>
      </c>
      <c r="C89" s="199" t="s">
        <v>1071</v>
      </c>
      <c r="D89" s="199" t="s">
        <v>1072</v>
      </c>
      <c r="E89" s="199" t="s">
        <v>42</v>
      </c>
      <c r="F89" s="199" t="s">
        <v>51</v>
      </c>
      <c r="I89" s="199">
        <v>1371</v>
      </c>
      <c r="J89" s="199">
        <v>8</v>
      </c>
      <c r="K89" s="322">
        <v>171.3800048828125</v>
      </c>
      <c r="L89" s="323">
        <v>21477</v>
      </c>
      <c r="M89" s="199" t="s">
        <v>1069</v>
      </c>
      <c r="N89" s="199" t="s">
        <v>1039</v>
      </c>
    </row>
    <row r="90" spans="1:14">
      <c r="A90" s="321">
        <v>7903</v>
      </c>
      <c r="B90" s="199" t="s">
        <v>1096</v>
      </c>
      <c r="C90" s="199" t="s">
        <v>1</v>
      </c>
      <c r="D90" s="199" t="s">
        <v>1097</v>
      </c>
      <c r="E90" s="199" t="s">
        <v>48</v>
      </c>
      <c r="F90" s="199" t="s">
        <v>49</v>
      </c>
      <c r="G90" s="199" t="s">
        <v>44</v>
      </c>
      <c r="I90" s="199">
        <v>8971</v>
      </c>
      <c r="J90" s="199">
        <v>53</v>
      </c>
      <c r="K90" s="322">
        <v>169.25999450683594</v>
      </c>
      <c r="L90" s="323">
        <v>23989</v>
      </c>
      <c r="M90" s="199" t="s">
        <v>1093</v>
      </c>
      <c r="N90" s="199" t="s">
        <v>1039</v>
      </c>
    </row>
    <row r="91" spans="1:14">
      <c r="A91" s="321">
        <v>7937</v>
      </c>
      <c r="B91" s="199" t="s">
        <v>343</v>
      </c>
      <c r="C91" s="199" t="s">
        <v>344</v>
      </c>
      <c r="D91" s="199" t="s">
        <v>345</v>
      </c>
      <c r="E91" s="199" t="s">
        <v>42</v>
      </c>
      <c r="F91" s="199" t="s">
        <v>43</v>
      </c>
      <c r="G91" s="199" t="s">
        <v>238</v>
      </c>
      <c r="I91" s="199">
        <v>5874</v>
      </c>
      <c r="J91" s="199">
        <v>28</v>
      </c>
      <c r="K91" s="322">
        <v>209.78999328613281</v>
      </c>
      <c r="L91" s="323">
        <v>34429</v>
      </c>
      <c r="M91" s="199" t="s">
        <v>342</v>
      </c>
      <c r="N91" s="199" t="s">
        <v>301</v>
      </c>
    </row>
    <row r="92" spans="1:14">
      <c r="A92" s="321">
        <v>7946</v>
      </c>
      <c r="B92" s="199" t="s">
        <v>324</v>
      </c>
      <c r="C92" s="199" t="s">
        <v>323</v>
      </c>
      <c r="D92" s="199" t="s">
        <v>72</v>
      </c>
      <c r="E92" s="199" t="s">
        <v>42</v>
      </c>
      <c r="F92" s="199" t="s">
        <v>51</v>
      </c>
      <c r="I92" s="199">
        <v>905</v>
      </c>
      <c r="J92" s="199">
        <v>7</v>
      </c>
      <c r="K92" s="322">
        <v>129.28999328613281</v>
      </c>
      <c r="L92" s="323">
        <v>21898</v>
      </c>
      <c r="M92" s="199" t="s">
        <v>318</v>
      </c>
      <c r="N92" s="199" t="s">
        <v>301</v>
      </c>
    </row>
    <row r="93" spans="1:14">
      <c r="A93" s="321">
        <v>7947</v>
      </c>
      <c r="B93" s="199" t="s">
        <v>1960</v>
      </c>
      <c r="C93" s="199" t="s">
        <v>344</v>
      </c>
      <c r="D93" s="199" t="s">
        <v>205</v>
      </c>
      <c r="E93" s="199" t="s">
        <v>42</v>
      </c>
      <c r="F93" s="199" t="s">
        <v>51</v>
      </c>
      <c r="I93" s="199">
        <v>1042</v>
      </c>
      <c r="J93" s="199">
        <v>6</v>
      </c>
      <c r="K93" s="322">
        <v>173.66999816894531</v>
      </c>
      <c r="L93" s="323">
        <v>23665</v>
      </c>
      <c r="M93" s="199" t="s">
        <v>342</v>
      </c>
      <c r="N93" s="199" t="s">
        <v>301</v>
      </c>
    </row>
    <row r="94" spans="1:14">
      <c r="A94" s="321">
        <v>7956</v>
      </c>
      <c r="B94" s="199" t="s">
        <v>322</v>
      </c>
      <c r="C94" s="199" t="s">
        <v>323</v>
      </c>
      <c r="D94" s="199" t="s">
        <v>166</v>
      </c>
      <c r="E94" s="199" t="s">
        <v>48</v>
      </c>
      <c r="F94" s="199" t="s">
        <v>49</v>
      </c>
      <c r="I94" s="199">
        <v>1686</v>
      </c>
      <c r="J94" s="199">
        <v>11</v>
      </c>
      <c r="K94" s="322">
        <v>153.27000427246094</v>
      </c>
      <c r="L94" s="323">
        <v>23899</v>
      </c>
      <c r="M94" s="199" t="s">
        <v>318</v>
      </c>
      <c r="N94" s="199" t="s">
        <v>301</v>
      </c>
    </row>
    <row r="95" spans="1:14">
      <c r="A95" s="321">
        <v>7958</v>
      </c>
      <c r="B95" s="199">
        <v>9111157</v>
      </c>
      <c r="C95" s="199" t="s">
        <v>371</v>
      </c>
      <c r="D95" s="199" t="s">
        <v>372</v>
      </c>
      <c r="E95" s="199" t="s">
        <v>42</v>
      </c>
      <c r="F95" s="199" t="s">
        <v>57</v>
      </c>
      <c r="G95" s="199" t="s">
        <v>44</v>
      </c>
      <c r="I95" s="199">
        <v>6278</v>
      </c>
      <c r="J95" s="199">
        <v>35</v>
      </c>
      <c r="K95" s="322">
        <v>179.3699951171875</v>
      </c>
      <c r="L95" s="323">
        <v>19993</v>
      </c>
      <c r="M95" s="199" t="s">
        <v>342</v>
      </c>
      <c r="N95" s="199" t="s">
        <v>301</v>
      </c>
    </row>
    <row r="96" spans="1:14">
      <c r="A96" s="321">
        <v>7961</v>
      </c>
      <c r="B96" s="199" t="s">
        <v>418</v>
      </c>
      <c r="C96" s="199" t="s">
        <v>214</v>
      </c>
      <c r="D96" s="199" t="s">
        <v>116</v>
      </c>
      <c r="E96" s="199" t="s">
        <v>42</v>
      </c>
      <c r="F96" s="199" t="s">
        <v>51</v>
      </c>
      <c r="G96" s="199" t="s">
        <v>44</v>
      </c>
      <c r="I96" s="199">
        <v>6713</v>
      </c>
      <c r="J96" s="199">
        <v>38</v>
      </c>
      <c r="K96" s="322">
        <v>176.66000366210938</v>
      </c>
      <c r="L96" s="323">
        <v>21148</v>
      </c>
      <c r="M96" s="199" t="s">
        <v>342</v>
      </c>
      <c r="N96" s="199" t="s">
        <v>301</v>
      </c>
    </row>
    <row r="97" spans="1:14">
      <c r="A97" s="321">
        <v>7972</v>
      </c>
      <c r="B97" s="199" t="s">
        <v>2434</v>
      </c>
      <c r="C97" s="199" t="s">
        <v>371</v>
      </c>
      <c r="D97" s="199" t="s">
        <v>225</v>
      </c>
      <c r="E97" s="199" t="s">
        <v>48</v>
      </c>
      <c r="F97" s="199" t="s">
        <v>49</v>
      </c>
      <c r="G97" s="199" t="s">
        <v>44</v>
      </c>
      <c r="I97" s="199">
        <v>3454</v>
      </c>
      <c r="J97" s="199">
        <v>22</v>
      </c>
      <c r="K97" s="322">
        <v>157</v>
      </c>
      <c r="L97" s="323">
        <v>21665</v>
      </c>
      <c r="M97" s="199" t="s">
        <v>342</v>
      </c>
      <c r="N97" s="199" t="s">
        <v>301</v>
      </c>
    </row>
    <row r="98" spans="1:14">
      <c r="A98" s="321">
        <v>7974</v>
      </c>
      <c r="B98" s="199" t="s">
        <v>416</v>
      </c>
      <c r="C98" s="199" t="s">
        <v>214</v>
      </c>
      <c r="D98" s="199" t="s">
        <v>417</v>
      </c>
      <c r="E98" s="199" t="s">
        <v>48</v>
      </c>
      <c r="F98" s="199" t="s">
        <v>227</v>
      </c>
      <c r="G98" s="199" t="s">
        <v>50</v>
      </c>
      <c r="I98" s="199">
        <v>5671</v>
      </c>
      <c r="J98" s="199">
        <v>39</v>
      </c>
      <c r="K98" s="322">
        <v>145.41000366210938</v>
      </c>
      <c r="L98" s="323">
        <v>19846</v>
      </c>
      <c r="M98" s="199" t="s">
        <v>342</v>
      </c>
      <c r="N98" s="199" t="s">
        <v>301</v>
      </c>
    </row>
    <row r="99" spans="1:14">
      <c r="A99" s="321">
        <v>7975</v>
      </c>
      <c r="B99" s="199" t="s">
        <v>411</v>
      </c>
      <c r="C99" s="199" t="s">
        <v>412</v>
      </c>
      <c r="D99" s="199" t="s">
        <v>317</v>
      </c>
      <c r="E99" s="199" t="s">
        <v>48</v>
      </c>
      <c r="F99" s="199" t="s">
        <v>49</v>
      </c>
      <c r="I99" s="199">
        <v>2803</v>
      </c>
      <c r="J99" s="199">
        <v>15</v>
      </c>
      <c r="K99" s="322">
        <v>186.8699951171875</v>
      </c>
      <c r="L99" s="323">
        <v>22954</v>
      </c>
      <c r="M99" s="199" t="s">
        <v>342</v>
      </c>
      <c r="N99" s="199" t="s">
        <v>301</v>
      </c>
    </row>
    <row r="100" spans="1:14">
      <c r="A100" s="321">
        <v>7976</v>
      </c>
      <c r="B100" s="199" t="s">
        <v>387</v>
      </c>
      <c r="C100" s="199" t="s">
        <v>385</v>
      </c>
      <c r="D100" s="199" t="s">
        <v>229</v>
      </c>
      <c r="E100" s="199" t="s">
        <v>48</v>
      </c>
      <c r="F100" s="199" t="s">
        <v>49</v>
      </c>
      <c r="G100" s="199" t="s">
        <v>44</v>
      </c>
      <c r="I100" s="199">
        <v>4819</v>
      </c>
      <c r="J100" s="199">
        <v>30</v>
      </c>
      <c r="K100" s="322">
        <v>160.6300048828125</v>
      </c>
      <c r="L100" s="323">
        <v>23391</v>
      </c>
      <c r="M100" s="199" t="s">
        <v>342</v>
      </c>
      <c r="N100" s="199" t="s">
        <v>301</v>
      </c>
    </row>
    <row r="101" spans="1:14">
      <c r="A101" s="321">
        <v>7977</v>
      </c>
      <c r="B101" s="199" t="s">
        <v>348</v>
      </c>
      <c r="C101" s="199" t="s">
        <v>349</v>
      </c>
      <c r="D101" s="199" t="s">
        <v>350</v>
      </c>
      <c r="E101" s="199" t="s">
        <v>48</v>
      </c>
      <c r="F101" s="199" t="s">
        <v>138</v>
      </c>
      <c r="G101" s="199" t="s">
        <v>179</v>
      </c>
      <c r="I101" s="199">
        <v>5972</v>
      </c>
      <c r="J101" s="199">
        <v>33</v>
      </c>
      <c r="K101" s="322">
        <v>180.97000122070313</v>
      </c>
      <c r="L101" s="323">
        <v>24371</v>
      </c>
      <c r="M101" s="199" t="s">
        <v>342</v>
      </c>
      <c r="N101" s="199" t="s">
        <v>301</v>
      </c>
    </row>
    <row r="102" spans="1:14">
      <c r="A102" s="321">
        <v>7978</v>
      </c>
      <c r="B102" s="199">
        <v>9070269</v>
      </c>
      <c r="C102" s="199" t="s">
        <v>1494</v>
      </c>
      <c r="D102" s="199" t="s">
        <v>1495</v>
      </c>
      <c r="E102" s="199" t="s">
        <v>48</v>
      </c>
      <c r="F102" s="199" t="s">
        <v>49</v>
      </c>
      <c r="G102" s="199" t="s">
        <v>44</v>
      </c>
      <c r="I102" s="199">
        <v>4005</v>
      </c>
      <c r="J102" s="199">
        <v>24</v>
      </c>
      <c r="K102" s="322">
        <v>166.8800048828125</v>
      </c>
      <c r="L102" s="323">
        <v>23184</v>
      </c>
      <c r="M102" s="199" t="s">
        <v>1463</v>
      </c>
      <c r="N102" s="199" t="s">
        <v>1359</v>
      </c>
    </row>
    <row r="103" spans="1:14">
      <c r="A103" s="321">
        <v>10080</v>
      </c>
      <c r="B103" s="199" t="s">
        <v>1583</v>
      </c>
      <c r="C103" s="199" t="s">
        <v>1584</v>
      </c>
      <c r="D103" s="199" t="s">
        <v>831</v>
      </c>
      <c r="E103" s="199" t="s">
        <v>42</v>
      </c>
      <c r="F103" s="199" t="s">
        <v>57</v>
      </c>
      <c r="G103" s="199" t="s">
        <v>44</v>
      </c>
      <c r="I103" s="199">
        <v>10157</v>
      </c>
      <c r="J103" s="199">
        <v>58</v>
      </c>
      <c r="K103" s="322">
        <v>175.1199951171875</v>
      </c>
      <c r="L103" s="323">
        <v>20590</v>
      </c>
      <c r="M103" s="199" t="s">
        <v>1571</v>
      </c>
      <c r="N103" s="199" t="s">
        <v>1359</v>
      </c>
    </row>
    <row r="104" spans="1:14">
      <c r="A104" s="321">
        <v>10124</v>
      </c>
      <c r="B104" s="199" t="s">
        <v>1688</v>
      </c>
      <c r="C104" s="199" t="s">
        <v>334</v>
      </c>
      <c r="D104" s="199" t="s">
        <v>106</v>
      </c>
      <c r="E104" s="199" t="s">
        <v>42</v>
      </c>
      <c r="F104" s="199" t="s">
        <v>43</v>
      </c>
      <c r="I104" s="199">
        <v>2671</v>
      </c>
      <c r="J104" s="199">
        <v>13</v>
      </c>
      <c r="K104" s="322">
        <v>205.46000671386719</v>
      </c>
      <c r="L104" s="323">
        <v>33133</v>
      </c>
      <c r="M104" s="199" t="s">
        <v>342</v>
      </c>
      <c r="N104" s="199" t="s">
        <v>301</v>
      </c>
    </row>
    <row r="105" spans="1:14">
      <c r="A105" s="321">
        <v>10185</v>
      </c>
      <c r="B105" s="199" t="s">
        <v>1366</v>
      </c>
      <c r="C105" s="199" t="s">
        <v>1367</v>
      </c>
      <c r="D105" s="199" t="s">
        <v>262</v>
      </c>
      <c r="E105" s="199" t="s">
        <v>42</v>
      </c>
      <c r="F105" s="199" t="s">
        <v>51</v>
      </c>
      <c r="I105" s="199">
        <v>1524</v>
      </c>
      <c r="J105" s="199">
        <v>10</v>
      </c>
      <c r="K105" s="322">
        <v>152.39999389648438</v>
      </c>
      <c r="L105" s="323">
        <v>21709</v>
      </c>
      <c r="M105" s="199" t="s">
        <v>1358</v>
      </c>
      <c r="N105" s="199" t="s">
        <v>1359</v>
      </c>
    </row>
    <row r="106" spans="1:14">
      <c r="A106" s="321">
        <v>10678</v>
      </c>
      <c r="B106" s="199" t="s">
        <v>829</v>
      </c>
      <c r="C106" s="199" t="s">
        <v>830</v>
      </c>
      <c r="D106" s="199" t="s">
        <v>831</v>
      </c>
      <c r="E106" s="199" t="s">
        <v>42</v>
      </c>
      <c r="F106" s="199" t="s">
        <v>43</v>
      </c>
      <c r="G106" s="199" t="s">
        <v>44</v>
      </c>
      <c r="I106" s="199">
        <v>5301</v>
      </c>
      <c r="J106" s="199">
        <v>31</v>
      </c>
      <c r="K106" s="322">
        <v>171</v>
      </c>
      <c r="L106" s="323">
        <v>30628</v>
      </c>
      <c r="M106" s="199" t="s">
        <v>802</v>
      </c>
      <c r="N106" s="199" t="s">
        <v>17</v>
      </c>
    </row>
    <row r="107" spans="1:14">
      <c r="A107" s="321">
        <v>10797</v>
      </c>
      <c r="B107" s="199" t="s">
        <v>1914</v>
      </c>
      <c r="C107" s="199" t="s">
        <v>1915</v>
      </c>
      <c r="D107" s="199" t="s">
        <v>476</v>
      </c>
      <c r="E107" s="199" t="s">
        <v>42</v>
      </c>
      <c r="F107" s="199" t="s">
        <v>66</v>
      </c>
      <c r="G107" s="199" t="s">
        <v>44</v>
      </c>
      <c r="I107" s="199">
        <v>3722</v>
      </c>
      <c r="J107" s="199">
        <v>22</v>
      </c>
      <c r="K107" s="322">
        <v>169.17999267578125</v>
      </c>
      <c r="L107" s="323">
        <v>25287</v>
      </c>
      <c r="M107" s="199" t="s">
        <v>1358</v>
      </c>
      <c r="N107" s="199" t="s">
        <v>1359</v>
      </c>
    </row>
    <row r="108" spans="1:14">
      <c r="A108" s="321">
        <v>13166</v>
      </c>
      <c r="B108" s="199" t="s">
        <v>369</v>
      </c>
      <c r="C108" s="199" t="s">
        <v>370</v>
      </c>
      <c r="D108" s="199" t="s">
        <v>86</v>
      </c>
      <c r="E108" s="199" t="s">
        <v>42</v>
      </c>
      <c r="F108" s="199" t="s">
        <v>43</v>
      </c>
      <c r="I108" s="199">
        <v>1079</v>
      </c>
      <c r="J108" s="199">
        <v>6</v>
      </c>
      <c r="K108" s="322">
        <v>179.83000183105469</v>
      </c>
      <c r="L108" s="323">
        <v>27968</v>
      </c>
      <c r="M108" s="199" t="s">
        <v>342</v>
      </c>
      <c r="N108" s="199" t="s">
        <v>301</v>
      </c>
    </row>
    <row r="109" spans="1:14">
      <c r="A109" s="321">
        <v>15911</v>
      </c>
      <c r="B109" s="199" t="s">
        <v>104</v>
      </c>
      <c r="C109" s="199" t="s">
        <v>105</v>
      </c>
      <c r="D109" s="199" t="s">
        <v>106</v>
      </c>
      <c r="E109" s="199" t="s">
        <v>42</v>
      </c>
      <c r="F109" s="199" t="s">
        <v>51</v>
      </c>
      <c r="I109" s="199">
        <v>2128</v>
      </c>
      <c r="J109" s="199">
        <v>12</v>
      </c>
      <c r="K109" s="322">
        <v>177.33000183105469</v>
      </c>
      <c r="L109" s="323">
        <v>23851</v>
      </c>
      <c r="M109" s="199" t="s">
        <v>2490</v>
      </c>
      <c r="N109" s="199" t="s">
        <v>17</v>
      </c>
    </row>
    <row r="110" spans="1:14">
      <c r="A110" s="321">
        <v>16093</v>
      </c>
      <c r="B110" s="199" t="s">
        <v>268</v>
      </c>
      <c r="C110" s="199" t="s">
        <v>269</v>
      </c>
      <c r="D110" s="199" t="s">
        <v>270</v>
      </c>
      <c r="E110" s="199" t="s">
        <v>48</v>
      </c>
      <c r="F110" s="199" t="s">
        <v>78</v>
      </c>
      <c r="I110" s="199">
        <v>2441</v>
      </c>
      <c r="J110" s="199">
        <v>13</v>
      </c>
      <c r="K110" s="322">
        <v>187.77000427246094</v>
      </c>
      <c r="L110" s="323">
        <v>30389</v>
      </c>
      <c r="M110" s="199" t="s">
        <v>1593</v>
      </c>
      <c r="N110" s="199" t="s">
        <v>1359</v>
      </c>
    </row>
    <row r="111" spans="1:14">
      <c r="A111" s="321">
        <v>16184</v>
      </c>
      <c r="B111" s="199" t="s">
        <v>117</v>
      </c>
      <c r="C111" s="199" t="s">
        <v>118</v>
      </c>
      <c r="D111" s="199" t="s">
        <v>119</v>
      </c>
      <c r="E111" s="199" t="s">
        <v>42</v>
      </c>
      <c r="F111" s="199" t="s">
        <v>57</v>
      </c>
      <c r="G111" s="199" t="s">
        <v>65</v>
      </c>
      <c r="I111" s="199">
        <v>5177</v>
      </c>
      <c r="J111" s="199">
        <v>28</v>
      </c>
      <c r="K111" s="322">
        <v>184.88999938964844</v>
      </c>
      <c r="L111" s="323">
        <v>19464</v>
      </c>
      <c r="M111" s="199" t="s">
        <v>1358</v>
      </c>
      <c r="N111" s="199" t="s">
        <v>1359</v>
      </c>
    </row>
    <row r="112" spans="1:14">
      <c r="A112" s="321">
        <v>16243</v>
      </c>
      <c r="B112" s="199" t="s">
        <v>2412</v>
      </c>
      <c r="C112" s="199" t="s">
        <v>236</v>
      </c>
      <c r="D112" s="199" t="s">
        <v>237</v>
      </c>
      <c r="E112" s="199" t="s">
        <v>42</v>
      </c>
      <c r="F112" s="199" t="s">
        <v>43</v>
      </c>
      <c r="I112" s="199">
        <v>2213</v>
      </c>
      <c r="J112" s="199">
        <v>12</v>
      </c>
      <c r="K112" s="322">
        <v>184.41999816894531</v>
      </c>
      <c r="L112" s="323">
        <v>32212</v>
      </c>
      <c r="M112" s="199" t="s">
        <v>231</v>
      </c>
      <c r="N112" s="199" t="s">
        <v>203</v>
      </c>
    </row>
    <row r="113" spans="1:14">
      <c r="A113" s="321">
        <v>16245</v>
      </c>
      <c r="B113" s="199" t="s">
        <v>2410</v>
      </c>
      <c r="C113" s="199" t="s">
        <v>2411</v>
      </c>
      <c r="D113" s="199" t="s">
        <v>703</v>
      </c>
      <c r="E113" s="199" t="s">
        <v>42</v>
      </c>
      <c r="F113" s="199" t="s">
        <v>51</v>
      </c>
      <c r="G113" s="199" t="s">
        <v>65</v>
      </c>
      <c r="I113" s="199">
        <v>3549</v>
      </c>
      <c r="J113" s="199">
        <v>19</v>
      </c>
      <c r="K113" s="322">
        <v>186.78999328613281</v>
      </c>
      <c r="L113" s="323">
        <v>21829</v>
      </c>
      <c r="M113" s="199" t="s">
        <v>231</v>
      </c>
      <c r="N113" s="199" t="s">
        <v>203</v>
      </c>
    </row>
    <row r="114" spans="1:14">
      <c r="A114" s="321">
        <v>16247</v>
      </c>
      <c r="B114" s="199" t="s">
        <v>278</v>
      </c>
      <c r="C114" s="199" t="s">
        <v>279</v>
      </c>
      <c r="D114" s="199" t="s">
        <v>280</v>
      </c>
      <c r="E114" s="199" t="s">
        <v>42</v>
      </c>
      <c r="F114" s="199" t="s">
        <v>66</v>
      </c>
      <c r="I114" s="199">
        <v>1203</v>
      </c>
      <c r="J114" s="199">
        <v>7</v>
      </c>
      <c r="K114" s="322">
        <v>171.86000061035156</v>
      </c>
      <c r="L114" s="323">
        <v>25616</v>
      </c>
      <c r="M114" s="199" t="s">
        <v>633</v>
      </c>
      <c r="N114" s="199" t="s">
        <v>634</v>
      </c>
    </row>
    <row r="115" spans="1:14">
      <c r="A115" s="321">
        <v>16263</v>
      </c>
      <c r="B115" s="199" t="s">
        <v>614</v>
      </c>
      <c r="C115" s="199" t="s">
        <v>615</v>
      </c>
      <c r="D115" s="199" t="s">
        <v>616</v>
      </c>
      <c r="E115" s="199" t="s">
        <v>42</v>
      </c>
      <c r="F115" s="199" t="s">
        <v>51</v>
      </c>
      <c r="G115" s="199" t="s">
        <v>65</v>
      </c>
      <c r="I115" s="199">
        <v>4522</v>
      </c>
      <c r="J115" s="199">
        <v>25</v>
      </c>
      <c r="K115" s="322">
        <v>180.8800048828125</v>
      </c>
      <c r="L115" s="323">
        <v>21898</v>
      </c>
      <c r="M115" s="199" t="s">
        <v>342</v>
      </c>
      <c r="N115" s="199" t="s">
        <v>301</v>
      </c>
    </row>
    <row r="116" spans="1:14">
      <c r="A116" s="321">
        <v>16270</v>
      </c>
      <c r="B116" s="199" t="s">
        <v>2563</v>
      </c>
      <c r="C116" s="199" t="s">
        <v>2564</v>
      </c>
      <c r="D116" s="199" t="s">
        <v>98</v>
      </c>
      <c r="E116" s="199" t="s">
        <v>42</v>
      </c>
      <c r="F116" s="199" t="s">
        <v>51</v>
      </c>
      <c r="I116" s="199">
        <v>2058</v>
      </c>
      <c r="J116" s="199">
        <v>10</v>
      </c>
      <c r="K116" s="322">
        <v>205.80000305175781</v>
      </c>
      <c r="L116" s="323">
        <v>21951</v>
      </c>
      <c r="M116" s="199" t="s">
        <v>1463</v>
      </c>
      <c r="N116" s="199" t="s">
        <v>1359</v>
      </c>
    </row>
    <row r="117" spans="1:14">
      <c r="A117" s="321">
        <v>16292</v>
      </c>
      <c r="B117" s="199" t="s">
        <v>598</v>
      </c>
      <c r="C117" s="199" t="s">
        <v>599</v>
      </c>
      <c r="D117" s="199" t="s">
        <v>124</v>
      </c>
      <c r="E117" s="199" t="s">
        <v>42</v>
      </c>
      <c r="F117" s="199" t="s">
        <v>43</v>
      </c>
      <c r="I117" s="199">
        <v>1325</v>
      </c>
      <c r="J117" s="199">
        <v>7</v>
      </c>
      <c r="K117" s="322">
        <v>189.28999328613281</v>
      </c>
      <c r="L117" s="323">
        <v>31006</v>
      </c>
      <c r="M117" s="199" t="s">
        <v>560</v>
      </c>
      <c r="N117" s="199" t="s">
        <v>561</v>
      </c>
    </row>
    <row r="118" spans="1:14">
      <c r="A118" s="321">
        <v>16336</v>
      </c>
      <c r="B118" s="199" t="s">
        <v>94</v>
      </c>
      <c r="C118" s="199" t="s">
        <v>95</v>
      </c>
      <c r="D118" s="199" t="s">
        <v>96</v>
      </c>
      <c r="E118" s="199" t="s">
        <v>42</v>
      </c>
      <c r="F118" s="199" t="s">
        <v>66</v>
      </c>
      <c r="I118" s="199">
        <v>2164</v>
      </c>
      <c r="J118" s="199">
        <v>11</v>
      </c>
      <c r="K118" s="322">
        <v>196.72999572753906</v>
      </c>
      <c r="L118" s="323">
        <v>24895</v>
      </c>
      <c r="M118" s="199" t="s">
        <v>82</v>
      </c>
      <c r="N118" s="199" t="s">
        <v>83</v>
      </c>
    </row>
    <row r="119" spans="1:14">
      <c r="A119" s="321">
        <v>16346</v>
      </c>
      <c r="B119" s="199">
        <v>9109435</v>
      </c>
      <c r="C119" s="199" t="s">
        <v>1727</v>
      </c>
      <c r="D119" s="199" t="s">
        <v>175</v>
      </c>
      <c r="E119" s="199" t="s">
        <v>42</v>
      </c>
      <c r="F119" s="199" t="s">
        <v>57</v>
      </c>
      <c r="I119" s="199">
        <v>1132</v>
      </c>
      <c r="J119" s="199">
        <v>7</v>
      </c>
      <c r="K119" s="322">
        <v>161.71000671386719</v>
      </c>
      <c r="L119" s="323">
        <v>20046</v>
      </c>
      <c r="M119" s="199" t="s">
        <v>1704</v>
      </c>
      <c r="N119" s="199" t="s">
        <v>1705</v>
      </c>
    </row>
    <row r="120" spans="1:14">
      <c r="A120" s="321">
        <v>16348</v>
      </c>
      <c r="B120" s="199">
        <v>9111195</v>
      </c>
      <c r="C120" s="199" t="s">
        <v>1029</v>
      </c>
      <c r="D120" s="199" t="s">
        <v>639</v>
      </c>
      <c r="E120" s="199" t="s">
        <v>42</v>
      </c>
      <c r="F120" s="199" t="s">
        <v>57</v>
      </c>
      <c r="G120" s="199" t="s">
        <v>44</v>
      </c>
      <c r="I120" s="199">
        <v>3250</v>
      </c>
      <c r="J120" s="199">
        <v>19</v>
      </c>
      <c r="K120" s="322">
        <v>171.05000305175781</v>
      </c>
      <c r="L120" s="323">
        <v>20404</v>
      </c>
      <c r="M120" s="199" t="s">
        <v>1704</v>
      </c>
      <c r="N120" s="199" t="s">
        <v>1705</v>
      </c>
    </row>
    <row r="121" spans="1:14">
      <c r="A121" s="321">
        <v>16386</v>
      </c>
      <c r="B121" s="199" t="s">
        <v>2206</v>
      </c>
      <c r="C121" s="199" t="s">
        <v>1483</v>
      </c>
      <c r="D121" s="199" t="s">
        <v>98</v>
      </c>
      <c r="E121" s="199" t="s">
        <v>42</v>
      </c>
      <c r="F121" s="199" t="s">
        <v>43</v>
      </c>
      <c r="G121" s="199" t="s">
        <v>238</v>
      </c>
      <c r="I121" s="199">
        <v>10021</v>
      </c>
      <c r="J121" s="199">
        <v>47</v>
      </c>
      <c r="K121" s="322">
        <v>213.21000671386719</v>
      </c>
      <c r="L121" s="323">
        <v>31999</v>
      </c>
      <c r="M121" s="199" t="s">
        <v>1122</v>
      </c>
      <c r="N121" s="199" t="s">
        <v>1039</v>
      </c>
    </row>
    <row r="122" spans="1:14">
      <c r="A122" s="321">
        <v>16398</v>
      </c>
      <c r="B122" s="199" t="s">
        <v>1209</v>
      </c>
      <c r="C122" s="199" t="s">
        <v>1210</v>
      </c>
      <c r="D122" s="199" t="s">
        <v>1211</v>
      </c>
      <c r="E122" s="199" t="s">
        <v>42</v>
      </c>
      <c r="F122" s="199" t="s">
        <v>66</v>
      </c>
      <c r="G122" s="199" t="s">
        <v>179</v>
      </c>
      <c r="I122" s="199">
        <v>15299</v>
      </c>
      <c r="J122" s="199">
        <v>78</v>
      </c>
      <c r="K122" s="322">
        <v>196.13999938964844</v>
      </c>
      <c r="L122" s="323">
        <v>24944</v>
      </c>
      <c r="M122" s="199" t="s">
        <v>1206</v>
      </c>
      <c r="N122" s="199" t="s">
        <v>1175</v>
      </c>
    </row>
    <row r="123" spans="1:14">
      <c r="A123" s="321">
        <v>16430</v>
      </c>
      <c r="B123" s="199" t="s">
        <v>1014</v>
      </c>
      <c r="C123" s="199" t="s">
        <v>1015</v>
      </c>
      <c r="D123" s="199" t="s">
        <v>549</v>
      </c>
      <c r="E123" s="199" t="s">
        <v>42</v>
      </c>
      <c r="F123" s="199" t="s">
        <v>51</v>
      </c>
      <c r="I123" s="199">
        <v>1863</v>
      </c>
      <c r="J123" s="199">
        <v>12</v>
      </c>
      <c r="K123" s="322">
        <v>155.25</v>
      </c>
      <c r="L123" s="323">
        <v>20920</v>
      </c>
      <c r="M123" s="199" t="s">
        <v>998</v>
      </c>
      <c r="N123" s="199" t="s">
        <v>14</v>
      </c>
    </row>
    <row r="124" spans="1:14">
      <c r="A124" s="321">
        <v>16439</v>
      </c>
      <c r="B124" s="199" t="s">
        <v>1012</v>
      </c>
      <c r="C124" s="199" t="s">
        <v>1010</v>
      </c>
      <c r="D124" s="199" t="s">
        <v>1013</v>
      </c>
      <c r="E124" s="199" t="s">
        <v>42</v>
      </c>
      <c r="F124" s="199" t="s">
        <v>51</v>
      </c>
      <c r="G124" s="199" t="s">
        <v>44</v>
      </c>
      <c r="I124" s="199">
        <v>3426</v>
      </c>
      <c r="J124" s="199">
        <v>20</v>
      </c>
      <c r="K124" s="322">
        <v>171.30000305175781</v>
      </c>
      <c r="L124" s="323">
        <v>21291</v>
      </c>
      <c r="M124" s="199" t="s">
        <v>998</v>
      </c>
      <c r="N124" s="199" t="s">
        <v>14</v>
      </c>
    </row>
    <row r="125" spans="1:14">
      <c r="A125" s="321">
        <v>16443</v>
      </c>
      <c r="B125" s="199" t="s">
        <v>999</v>
      </c>
      <c r="C125" s="199" t="s">
        <v>124</v>
      </c>
      <c r="D125" s="199" t="s">
        <v>237</v>
      </c>
      <c r="E125" s="199" t="s">
        <v>42</v>
      </c>
      <c r="F125" s="199" t="s">
        <v>43</v>
      </c>
      <c r="I125" s="199">
        <v>2286</v>
      </c>
      <c r="J125" s="199">
        <v>12</v>
      </c>
      <c r="K125" s="322">
        <v>190.5</v>
      </c>
      <c r="L125" s="323">
        <v>32432</v>
      </c>
      <c r="M125" s="199" t="s">
        <v>998</v>
      </c>
      <c r="N125" s="199" t="s">
        <v>14</v>
      </c>
    </row>
    <row r="126" spans="1:14">
      <c r="A126" s="321">
        <v>16456</v>
      </c>
      <c r="B126" s="199">
        <v>9109458</v>
      </c>
      <c r="C126" s="199" t="s">
        <v>815</v>
      </c>
      <c r="D126" s="199" t="s">
        <v>182</v>
      </c>
      <c r="E126" s="199" t="s">
        <v>42</v>
      </c>
      <c r="F126" s="199" t="s">
        <v>57</v>
      </c>
      <c r="G126" s="199" t="s">
        <v>50</v>
      </c>
      <c r="I126" s="199">
        <v>3934</v>
      </c>
      <c r="J126" s="199">
        <v>24</v>
      </c>
      <c r="K126" s="322">
        <v>163.91999816894531</v>
      </c>
      <c r="L126" s="323">
        <v>18194</v>
      </c>
      <c r="M126" s="199" t="s">
        <v>802</v>
      </c>
      <c r="N126" s="199" t="s">
        <v>17</v>
      </c>
    </row>
    <row r="127" spans="1:14">
      <c r="A127" s="321">
        <v>16459</v>
      </c>
      <c r="B127" s="199" t="s">
        <v>816</v>
      </c>
      <c r="C127" s="199" t="s">
        <v>817</v>
      </c>
      <c r="D127" s="199" t="s">
        <v>60</v>
      </c>
      <c r="E127" s="199" t="s">
        <v>42</v>
      </c>
      <c r="F127" s="199" t="s">
        <v>51</v>
      </c>
      <c r="I127" s="199">
        <v>1030</v>
      </c>
      <c r="J127" s="199">
        <v>6</v>
      </c>
      <c r="K127" s="322">
        <v>171.66999816894531</v>
      </c>
      <c r="L127" s="323">
        <v>22444</v>
      </c>
      <c r="M127" s="199" t="s">
        <v>802</v>
      </c>
      <c r="N127" s="199" t="s">
        <v>17</v>
      </c>
    </row>
    <row r="128" spans="1:14">
      <c r="A128" s="321">
        <v>16462</v>
      </c>
      <c r="B128" s="199" t="s">
        <v>821</v>
      </c>
      <c r="C128" s="199" t="s">
        <v>822</v>
      </c>
      <c r="D128" s="199" t="s">
        <v>164</v>
      </c>
      <c r="E128" s="199" t="s">
        <v>42</v>
      </c>
      <c r="F128" s="199" t="s">
        <v>51</v>
      </c>
      <c r="G128" s="199" t="s">
        <v>65</v>
      </c>
      <c r="I128" s="199">
        <v>3472</v>
      </c>
      <c r="J128" s="199">
        <v>19</v>
      </c>
      <c r="K128" s="322">
        <v>182.74000549316406</v>
      </c>
      <c r="L128" s="323">
        <v>23614</v>
      </c>
      <c r="M128" s="199" t="s">
        <v>802</v>
      </c>
      <c r="N128" s="199" t="s">
        <v>17</v>
      </c>
    </row>
    <row r="129" spans="1:14">
      <c r="A129" s="321">
        <v>16469</v>
      </c>
      <c r="B129" s="199" t="s">
        <v>1961</v>
      </c>
      <c r="C129" s="199" t="s">
        <v>1962</v>
      </c>
      <c r="D129" s="199" t="s">
        <v>1963</v>
      </c>
      <c r="E129" s="199" t="s">
        <v>42</v>
      </c>
      <c r="F129" s="199" t="s">
        <v>66</v>
      </c>
      <c r="G129" s="199" t="s">
        <v>238</v>
      </c>
      <c r="I129" s="199">
        <v>12418</v>
      </c>
      <c r="J129" s="199">
        <v>62</v>
      </c>
      <c r="K129" s="322">
        <v>200.28999328613281</v>
      </c>
      <c r="L129" s="323">
        <v>25661</v>
      </c>
      <c r="M129" s="199" t="s">
        <v>342</v>
      </c>
      <c r="N129" s="199" t="s">
        <v>301</v>
      </c>
    </row>
    <row r="130" spans="1:14">
      <c r="A130" s="321">
        <v>16475</v>
      </c>
      <c r="B130" s="199" t="s">
        <v>1966</v>
      </c>
      <c r="C130" s="199" t="s">
        <v>1967</v>
      </c>
      <c r="D130" s="199" t="s">
        <v>1968</v>
      </c>
      <c r="E130" s="199" t="s">
        <v>48</v>
      </c>
      <c r="F130" s="199" t="s">
        <v>49</v>
      </c>
      <c r="G130" s="199" t="s">
        <v>44</v>
      </c>
      <c r="I130" s="199">
        <v>3874</v>
      </c>
      <c r="J130" s="199">
        <v>24</v>
      </c>
      <c r="K130" s="322">
        <v>161.41999816894531</v>
      </c>
      <c r="L130" s="323">
        <v>23796</v>
      </c>
      <c r="M130" s="199" t="s">
        <v>342</v>
      </c>
      <c r="N130" s="199" t="s">
        <v>301</v>
      </c>
    </row>
    <row r="131" spans="1:14">
      <c r="A131" s="321">
        <v>16495</v>
      </c>
      <c r="B131" s="199" t="s">
        <v>629</v>
      </c>
      <c r="C131" s="199" t="s">
        <v>630</v>
      </c>
      <c r="D131" s="199" t="s">
        <v>194</v>
      </c>
      <c r="E131" s="199" t="s">
        <v>42</v>
      </c>
      <c r="F131" s="199" t="s">
        <v>43</v>
      </c>
      <c r="I131" s="199">
        <v>1159</v>
      </c>
      <c r="J131" s="199">
        <v>6</v>
      </c>
      <c r="K131" s="322">
        <v>193.16999816894531</v>
      </c>
      <c r="L131" s="323">
        <v>29388</v>
      </c>
      <c r="M131" s="199" t="s">
        <v>1704</v>
      </c>
      <c r="N131" s="199" t="s">
        <v>1705</v>
      </c>
    </row>
    <row r="132" spans="1:14">
      <c r="A132" s="321">
        <v>16532</v>
      </c>
      <c r="B132" s="199" t="s">
        <v>640</v>
      </c>
      <c r="C132" s="199" t="s">
        <v>639</v>
      </c>
      <c r="D132" s="199" t="s">
        <v>641</v>
      </c>
      <c r="E132" s="199" t="s">
        <v>42</v>
      </c>
      <c r="F132" s="199" t="s">
        <v>66</v>
      </c>
      <c r="I132" s="199">
        <v>2295</v>
      </c>
      <c r="J132" s="199">
        <v>11</v>
      </c>
      <c r="K132" s="322">
        <v>208.63999938964844</v>
      </c>
      <c r="L132" s="323">
        <v>25888</v>
      </c>
      <c r="M132" s="199" t="s">
        <v>633</v>
      </c>
      <c r="N132" s="199" t="s">
        <v>634</v>
      </c>
    </row>
    <row r="133" spans="1:14">
      <c r="A133" s="321">
        <v>16533</v>
      </c>
      <c r="B133" s="199" t="s">
        <v>636</v>
      </c>
      <c r="C133" s="199" t="s">
        <v>637</v>
      </c>
      <c r="D133" s="199" t="s">
        <v>434</v>
      </c>
      <c r="E133" s="199" t="s">
        <v>42</v>
      </c>
      <c r="F133" s="199" t="s">
        <v>43</v>
      </c>
      <c r="I133" s="199">
        <v>972</v>
      </c>
      <c r="J133" s="199">
        <v>6</v>
      </c>
      <c r="K133" s="322">
        <v>162</v>
      </c>
      <c r="L133" s="323">
        <v>28852</v>
      </c>
      <c r="M133" s="199" t="s">
        <v>633</v>
      </c>
      <c r="N133" s="199" t="s">
        <v>634</v>
      </c>
    </row>
    <row r="134" spans="1:14">
      <c r="A134" s="321">
        <v>16534</v>
      </c>
      <c r="B134" s="199" t="s">
        <v>645</v>
      </c>
      <c r="C134" s="199" t="s">
        <v>646</v>
      </c>
      <c r="D134" s="199" t="s">
        <v>119</v>
      </c>
      <c r="E134" s="199" t="s">
        <v>42</v>
      </c>
      <c r="F134" s="199" t="s">
        <v>66</v>
      </c>
      <c r="I134" s="199">
        <v>1115</v>
      </c>
      <c r="J134" s="199">
        <v>6</v>
      </c>
      <c r="K134" s="322">
        <v>185.83000183105469</v>
      </c>
      <c r="L134" s="323">
        <v>27430</v>
      </c>
      <c r="M134" s="199" t="s">
        <v>633</v>
      </c>
      <c r="N134" s="199" t="s">
        <v>634</v>
      </c>
    </row>
    <row r="135" spans="1:14">
      <c r="A135" s="321">
        <v>16545</v>
      </c>
      <c r="B135" s="199" t="s">
        <v>638</v>
      </c>
      <c r="C135" s="199" t="s">
        <v>639</v>
      </c>
      <c r="D135" s="199" t="s">
        <v>262</v>
      </c>
      <c r="E135" s="199" t="s">
        <v>42</v>
      </c>
      <c r="F135" s="199" t="s">
        <v>57</v>
      </c>
      <c r="I135" s="199">
        <v>1260</v>
      </c>
      <c r="J135" s="199">
        <v>7</v>
      </c>
      <c r="K135" s="322">
        <v>180</v>
      </c>
      <c r="L135" s="323">
        <v>17943</v>
      </c>
      <c r="M135" s="199" t="s">
        <v>633</v>
      </c>
      <c r="N135" s="199" t="s">
        <v>634</v>
      </c>
    </row>
    <row r="136" spans="1:14">
      <c r="A136" s="321">
        <v>16559</v>
      </c>
      <c r="B136" s="199" t="s">
        <v>1731</v>
      </c>
      <c r="C136" s="199" t="s">
        <v>1732</v>
      </c>
      <c r="D136" s="199" t="s">
        <v>164</v>
      </c>
      <c r="E136" s="199" t="s">
        <v>42</v>
      </c>
      <c r="F136" s="199" t="s">
        <v>51</v>
      </c>
      <c r="G136" s="199" t="s">
        <v>65</v>
      </c>
      <c r="I136" s="199">
        <v>3887</v>
      </c>
      <c r="J136" s="199">
        <v>21</v>
      </c>
      <c r="K136" s="322">
        <v>185.10000610351563</v>
      </c>
      <c r="L136" s="323">
        <v>23876</v>
      </c>
      <c r="M136" s="199" t="s">
        <v>1704</v>
      </c>
      <c r="N136" s="199" t="s">
        <v>1705</v>
      </c>
    </row>
    <row r="137" spans="1:14">
      <c r="A137" s="321">
        <v>16565</v>
      </c>
      <c r="B137" s="199" t="s">
        <v>2248</v>
      </c>
      <c r="C137" s="199" t="s">
        <v>2249</v>
      </c>
      <c r="D137" s="199" t="s">
        <v>124</v>
      </c>
      <c r="E137" s="199" t="s">
        <v>42</v>
      </c>
      <c r="F137" s="199" t="s">
        <v>66</v>
      </c>
      <c r="I137" s="199">
        <v>1257</v>
      </c>
      <c r="J137" s="199">
        <v>7</v>
      </c>
      <c r="K137" s="322">
        <v>179.57000732421875</v>
      </c>
      <c r="L137" s="323">
        <v>26900</v>
      </c>
      <c r="M137" s="199" t="s">
        <v>1704</v>
      </c>
      <c r="N137" s="199" t="s">
        <v>1705</v>
      </c>
    </row>
    <row r="138" spans="1:14">
      <c r="A138" s="321">
        <v>16572</v>
      </c>
      <c r="B138" s="199" t="s">
        <v>1496</v>
      </c>
      <c r="C138" s="199" t="s">
        <v>191</v>
      </c>
      <c r="D138" s="199" t="s">
        <v>1072</v>
      </c>
      <c r="E138" s="199" t="s">
        <v>42</v>
      </c>
      <c r="F138" s="199" t="s">
        <v>51</v>
      </c>
      <c r="G138" s="199" t="s">
        <v>44</v>
      </c>
      <c r="I138" s="199">
        <v>4296</v>
      </c>
      <c r="J138" s="199">
        <v>24</v>
      </c>
      <c r="K138" s="322">
        <v>179</v>
      </c>
      <c r="L138" s="323">
        <v>21765</v>
      </c>
      <c r="M138" s="199" t="s">
        <v>1463</v>
      </c>
      <c r="N138" s="199" t="s">
        <v>1359</v>
      </c>
    </row>
    <row r="139" spans="1:14">
      <c r="A139" s="321">
        <v>16594</v>
      </c>
      <c r="B139" s="199" t="s">
        <v>1639</v>
      </c>
      <c r="C139" s="199" t="s">
        <v>191</v>
      </c>
      <c r="D139" s="199" t="s">
        <v>321</v>
      </c>
      <c r="E139" s="199" t="s">
        <v>48</v>
      </c>
      <c r="F139" s="199" t="s">
        <v>49</v>
      </c>
      <c r="G139" s="199" t="s">
        <v>44</v>
      </c>
      <c r="I139" s="199">
        <v>3715</v>
      </c>
      <c r="J139" s="199">
        <v>22</v>
      </c>
      <c r="K139" s="322">
        <v>168.86000061035156</v>
      </c>
      <c r="L139" s="323">
        <v>23988</v>
      </c>
      <c r="M139" s="199" t="s">
        <v>1593</v>
      </c>
      <c r="N139" s="199" t="s">
        <v>1359</v>
      </c>
    </row>
    <row r="140" spans="1:14">
      <c r="A140" s="321">
        <v>16595</v>
      </c>
      <c r="B140" s="199" t="s">
        <v>1640</v>
      </c>
      <c r="C140" s="199" t="s">
        <v>191</v>
      </c>
      <c r="D140" s="199" t="s">
        <v>506</v>
      </c>
      <c r="E140" s="199" t="s">
        <v>48</v>
      </c>
      <c r="F140" s="199" t="s">
        <v>78</v>
      </c>
      <c r="I140" s="199">
        <v>1937</v>
      </c>
      <c r="J140" s="199">
        <v>12</v>
      </c>
      <c r="K140" s="322">
        <v>161.41999816894531</v>
      </c>
      <c r="L140" s="323">
        <v>32178</v>
      </c>
      <c r="M140" s="199" t="s">
        <v>1593</v>
      </c>
      <c r="N140" s="199" t="s">
        <v>1359</v>
      </c>
    </row>
    <row r="141" spans="1:14">
      <c r="A141" s="321">
        <v>16641</v>
      </c>
      <c r="B141" s="199">
        <v>9111159</v>
      </c>
      <c r="C141" s="199" t="s">
        <v>413</v>
      </c>
      <c r="D141" s="199" t="s">
        <v>56</v>
      </c>
      <c r="E141" s="199" t="s">
        <v>42</v>
      </c>
      <c r="F141" s="199" t="s">
        <v>57</v>
      </c>
      <c r="G141" s="199" t="s">
        <v>65</v>
      </c>
      <c r="I141" s="199">
        <v>5353</v>
      </c>
      <c r="J141" s="199">
        <v>29</v>
      </c>
      <c r="K141" s="322">
        <v>184.58999633789063</v>
      </c>
      <c r="L141" s="323">
        <v>19644</v>
      </c>
      <c r="M141" s="199" t="s">
        <v>342</v>
      </c>
      <c r="N141" s="199" t="s">
        <v>301</v>
      </c>
    </row>
    <row r="142" spans="1:14">
      <c r="A142" s="321">
        <v>16679</v>
      </c>
      <c r="B142" s="199" t="s">
        <v>2577</v>
      </c>
      <c r="C142" s="199" t="s">
        <v>1533</v>
      </c>
      <c r="D142" s="199" t="s">
        <v>237</v>
      </c>
      <c r="E142" s="199" t="s">
        <v>42</v>
      </c>
      <c r="F142" s="199" t="s">
        <v>43</v>
      </c>
      <c r="G142" s="199" t="s">
        <v>179</v>
      </c>
      <c r="I142" s="199">
        <v>4783</v>
      </c>
      <c r="J142" s="199">
        <v>24</v>
      </c>
      <c r="K142" s="322">
        <v>199.28999328613281</v>
      </c>
      <c r="L142" s="323">
        <v>30198</v>
      </c>
      <c r="M142" s="199" t="s">
        <v>1593</v>
      </c>
      <c r="N142" s="199" t="s">
        <v>1359</v>
      </c>
    </row>
    <row r="143" spans="1:14">
      <c r="A143" s="321">
        <v>16710</v>
      </c>
      <c r="B143" s="199" t="s">
        <v>1509</v>
      </c>
      <c r="C143" s="199" t="s">
        <v>1510</v>
      </c>
      <c r="D143" s="199" t="s">
        <v>314</v>
      </c>
      <c r="E143" s="199" t="s">
        <v>42</v>
      </c>
      <c r="F143" s="199" t="s">
        <v>57</v>
      </c>
      <c r="I143" s="199">
        <v>1059</v>
      </c>
      <c r="J143" s="199">
        <v>6</v>
      </c>
      <c r="K143" s="322">
        <v>176.5</v>
      </c>
      <c r="L143" s="323">
        <v>19038</v>
      </c>
      <c r="M143" s="199" t="s">
        <v>1508</v>
      </c>
      <c r="N143" s="199" t="s">
        <v>1359</v>
      </c>
    </row>
    <row r="144" spans="1:14">
      <c r="A144" s="321">
        <v>16730</v>
      </c>
      <c r="B144" s="199" t="s">
        <v>757</v>
      </c>
      <c r="C144" s="199" t="s">
        <v>758</v>
      </c>
      <c r="D144" s="199" t="s">
        <v>168</v>
      </c>
      <c r="E144" s="199" t="s">
        <v>42</v>
      </c>
      <c r="F144" s="199" t="s">
        <v>51</v>
      </c>
      <c r="G144" s="199" t="s">
        <v>44</v>
      </c>
      <c r="I144" s="199">
        <v>3226</v>
      </c>
      <c r="J144" s="199">
        <v>18</v>
      </c>
      <c r="K144" s="322">
        <v>179.22000122070313</v>
      </c>
      <c r="L144" s="323">
        <v>21222</v>
      </c>
      <c r="M144" s="199" t="s">
        <v>739</v>
      </c>
      <c r="N144" s="199" t="s">
        <v>740</v>
      </c>
    </row>
    <row r="145" spans="1:14">
      <c r="A145" s="321">
        <v>16760</v>
      </c>
      <c r="B145" s="199" t="s">
        <v>112</v>
      </c>
      <c r="C145" s="199" t="s">
        <v>113</v>
      </c>
      <c r="D145" s="199" t="s">
        <v>86</v>
      </c>
      <c r="E145" s="199" t="s">
        <v>42</v>
      </c>
      <c r="F145" s="199" t="s">
        <v>66</v>
      </c>
      <c r="G145" s="199" t="s">
        <v>179</v>
      </c>
      <c r="I145" s="199">
        <v>20426</v>
      </c>
      <c r="J145" s="199">
        <v>105</v>
      </c>
      <c r="K145" s="322">
        <v>194.52999877929688</v>
      </c>
      <c r="L145" s="323">
        <v>24773</v>
      </c>
      <c r="M145" s="199" t="s">
        <v>1358</v>
      </c>
      <c r="N145" s="199" t="s">
        <v>1359</v>
      </c>
    </row>
    <row r="146" spans="1:14">
      <c r="A146" s="321">
        <v>16790</v>
      </c>
      <c r="B146" s="199" t="s">
        <v>952</v>
      </c>
      <c r="C146" s="199" t="s">
        <v>953</v>
      </c>
      <c r="D146" s="199" t="s">
        <v>60</v>
      </c>
      <c r="E146" s="199" t="s">
        <v>42</v>
      </c>
      <c r="F146" s="199" t="s">
        <v>51</v>
      </c>
      <c r="G146" s="199" t="s">
        <v>44</v>
      </c>
      <c r="I146" s="199">
        <v>3224</v>
      </c>
      <c r="J146" s="199">
        <v>18</v>
      </c>
      <c r="K146" s="322">
        <v>179.11000061035156</v>
      </c>
      <c r="L146" s="323">
        <v>23927</v>
      </c>
      <c r="M146" s="199" t="s">
        <v>911</v>
      </c>
      <c r="N146" s="199" t="s">
        <v>19</v>
      </c>
    </row>
    <row r="147" spans="1:14">
      <c r="A147" s="321">
        <v>16796</v>
      </c>
      <c r="B147" s="199" t="s">
        <v>1128</v>
      </c>
      <c r="C147" s="199" t="s">
        <v>1129</v>
      </c>
      <c r="D147" s="199" t="s">
        <v>194</v>
      </c>
      <c r="E147" s="199" t="s">
        <v>42</v>
      </c>
      <c r="F147" s="199" t="s">
        <v>43</v>
      </c>
      <c r="G147" s="199" t="s">
        <v>65</v>
      </c>
      <c r="I147" s="199">
        <v>5101</v>
      </c>
      <c r="J147" s="199">
        <v>27</v>
      </c>
      <c r="K147" s="322">
        <v>188.92999267578125</v>
      </c>
      <c r="L147" s="323">
        <v>32224</v>
      </c>
      <c r="M147" s="199" t="s">
        <v>1122</v>
      </c>
      <c r="N147" s="199" t="s">
        <v>1039</v>
      </c>
    </row>
    <row r="148" spans="1:14">
      <c r="A148" s="321">
        <v>16804</v>
      </c>
      <c r="B148" s="199" t="s">
        <v>1466</v>
      </c>
      <c r="C148" s="199" t="s">
        <v>1467</v>
      </c>
      <c r="D148" s="199" t="s">
        <v>225</v>
      </c>
      <c r="E148" s="199" t="s">
        <v>48</v>
      </c>
      <c r="F148" s="199" t="s">
        <v>49</v>
      </c>
      <c r="I148" s="199">
        <v>1698</v>
      </c>
      <c r="J148" s="199">
        <v>10</v>
      </c>
      <c r="K148" s="322">
        <v>169.80000305175781</v>
      </c>
      <c r="L148" s="323">
        <v>23026</v>
      </c>
      <c r="M148" s="199" t="s">
        <v>1463</v>
      </c>
      <c r="N148" s="199" t="s">
        <v>1359</v>
      </c>
    </row>
    <row r="149" spans="1:14">
      <c r="A149" s="321">
        <v>16809</v>
      </c>
      <c r="B149" s="199" t="s">
        <v>2193</v>
      </c>
      <c r="C149" s="199" t="s">
        <v>2194</v>
      </c>
      <c r="D149" s="199" t="s">
        <v>194</v>
      </c>
      <c r="E149" s="199" t="s">
        <v>42</v>
      </c>
      <c r="F149" s="199" t="s">
        <v>43</v>
      </c>
      <c r="I149" s="199">
        <v>2548</v>
      </c>
      <c r="J149" s="199">
        <v>14</v>
      </c>
      <c r="K149" s="322">
        <v>182</v>
      </c>
      <c r="L149" s="323">
        <v>35129</v>
      </c>
      <c r="M149" s="199" t="s">
        <v>1018</v>
      </c>
      <c r="N149" s="199" t="s">
        <v>15</v>
      </c>
    </row>
    <row r="150" spans="1:14">
      <c r="A150" s="321">
        <v>16856</v>
      </c>
      <c r="B150" s="199" t="s">
        <v>916</v>
      </c>
      <c r="C150" s="199" t="s">
        <v>914</v>
      </c>
      <c r="D150" s="199" t="s">
        <v>69</v>
      </c>
      <c r="E150" s="199" t="s">
        <v>42</v>
      </c>
      <c r="F150" s="199" t="s">
        <v>51</v>
      </c>
      <c r="G150" s="199" t="s">
        <v>65</v>
      </c>
      <c r="I150" s="199">
        <v>7467</v>
      </c>
      <c r="J150" s="199">
        <v>40</v>
      </c>
      <c r="K150" s="322">
        <v>186.67999267578125</v>
      </c>
      <c r="L150" s="323">
        <v>22022</v>
      </c>
      <c r="M150" s="199" t="s">
        <v>1593</v>
      </c>
      <c r="N150" s="199" t="s">
        <v>1359</v>
      </c>
    </row>
    <row r="151" spans="1:14">
      <c r="A151" s="321">
        <v>16860</v>
      </c>
      <c r="B151" s="199" t="s">
        <v>1706</v>
      </c>
      <c r="C151" s="199" t="s">
        <v>1282</v>
      </c>
      <c r="D151" s="199" t="s">
        <v>1707</v>
      </c>
      <c r="E151" s="199" t="s">
        <v>42</v>
      </c>
      <c r="F151" s="199" t="s">
        <v>51</v>
      </c>
      <c r="I151" s="199">
        <v>1188</v>
      </c>
      <c r="J151" s="199">
        <v>7</v>
      </c>
      <c r="K151" s="322">
        <v>169.71000671386719</v>
      </c>
      <c r="L151" s="323">
        <v>23612</v>
      </c>
      <c r="M151" s="199" t="s">
        <v>1704</v>
      </c>
      <c r="N151" s="199" t="s">
        <v>1705</v>
      </c>
    </row>
    <row r="152" spans="1:14">
      <c r="A152" s="321">
        <v>16861</v>
      </c>
      <c r="B152" s="199" t="s">
        <v>1708</v>
      </c>
      <c r="C152" s="199" t="s">
        <v>1282</v>
      </c>
      <c r="D152" s="199" t="s">
        <v>893</v>
      </c>
      <c r="E152" s="199" t="s">
        <v>42</v>
      </c>
      <c r="F152" s="199" t="s">
        <v>43</v>
      </c>
      <c r="I152" s="199">
        <v>1132</v>
      </c>
      <c r="J152" s="199">
        <v>7</v>
      </c>
      <c r="K152" s="322">
        <v>161.71000671386719</v>
      </c>
      <c r="L152" s="323">
        <v>34650</v>
      </c>
      <c r="M152" s="199" t="s">
        <v>1704</v>
      </c>
      <c r="N152" s="199" t="s">
        <v>1705</v>
      </c>
    </row>
    <row r="153" spans="1:14">
      <c r="A153" s="321">
        <v>16862</v>
      </c>
      <c r="B153" s="199" t="s">
        <v>1711</v>
      </c>
      <c r="C153" s="199" t="s">
        <v>1712</v>
      </c>
      <c r="D153" s="199" t="s">
        <v>86</v>
      </c>
      <c r="E153" s="199" t="s">
        <v>42</v>
      </c>
      <c r="F153" s="199" t="s">
        <v>43</v>
      </c>
      <c r="I153" s="199">
        <v>1258</v>
      </c>
      <c r="J153" s="199">
        <v>7</v>
      </c>
      <c r="K153" s="322">
        <v>179.71000671386719</v>
      </c>
      <c r="L153" s="323">
        <v>33626</v>
      </c>
      <c r="M153" s="199" t="s">
        <v>1704</v>
      </c>
      <c r="N153" s="199" t="s">
        <v>1705</v>
      </c>
    </row>
    <row r="154" spans="1:14">
      <c r="A154" s="321">
        <v>16873</v>
      </c>
      <c r="B154" s="199">
        <v>9019474</v>
      </c>
      <c r="C154" s="199" t="s">
        <v>1715</v>
      </c>
      <c r="D154" s="199" t="s">
        <v>1716</v>
      </c>
      <c r="E154" s="199" t="s">
        <v>42</v>
      </c>
      <c r="F154" s="199" t="s">
        <v>51</v>
      </c>
      <c r="I154" s="199">
        <v>1311</v>
      </c>
      <c r="J154" s="199">
        <v>7</v>
      </c>
      <c r="K154" s="322">
        <v>187.28999328613281</v>
      </c>
      <c r="L154" s="323">
        <v>23654</v>
      </c>
      <c r="M154" s="199" t="s">
        <v>633</v>
      </c>
      <c r="N154" s="199" t="s">
        <v>634</v>
      </c>
    </row>
    <row r="155" spans="1:14">
      <c r="A155" s="321">
        <v>16879</v>
      </c>
      <c r="B155" s="199" t="s">
        <v>913</v>
      </c>
      <c r="C155" s="199" t="s">
        <v>914</v>
      </c>
      <c r="D155" s="199" t="s">
        <v>915</v>
      </c>
      <c r="E155" s="199" t="s">
        <v>48</v>
      </c>
      <c r="F155" s="199" t="s">
        <v>49</v>
      </c>
      <c r="G155" s="199" t="s">
        <v>44</v>
      </c>
      <c r="I155" s="199">
        <v>4539</v>
      </c>
      <c r="J155" s="199">
        <v>28</v>
      </c>
      <c r="K155" s="322">
        <v>162.11000061035156</v>
      </c>
      <c r="L155" s="323">
        <v>23303</v>
      </c>
      <c r="M155" s="199" t="s">
        <v>1593</v>
      </c>
      <c r="N155" s="199" t="s">
        <v>1359</v>
      </c>
    </row>
    <row r="156" spans="1:14">
      <c r="A156" s="321">
        <v>16896</v>
      </c>
      <c r="B156" s="199" t="s">
        <v>244</v>
      </c>
      <c r="C156" s="199" t="s">
        <v>245</v>
      </c>
      <c r="D156" s="199" t="s">
        <v>98</v>
      </c>
      <c r="E156" s="199" t="s">
        <v>42</v>
      </c>
      <c r="F156" s="199" t="s">
        <v>43</v>
      </c>
      <c r="I156" s="199">
        <v>1792</v>
      </c>
      <c r="J156" s="199">
        <v>9</v>
      </c>
      <c r="K156" s="322">
        <v>199.11000061035156</v>
      </c>
      <c r="L156" s="323">
        <v>31711</v>
      </c>
      <c r="M156" s="199" t="s">
        <v>231</v>
      </c>
      <c r="N156" s="199" t="s">
        <v>203</v>
      </c>
    </row>
    <row r="157" spans="1:14">
      <c r="A157" s="321">
        <v>16900</v>
      </c>
      <c r="B157" s="199" t="s">
        <v>857</v>
      </c>
      <c r="C157" s="199" t="s">
        <v>858</v>
      </c>
      <c r="D157" s="199" t="s">
        <v>859</v>
      </c>
      <c r="E157" s="199" t="s">
        <v>48</v>
      </c>
      <c r="F157" s="199" t="s">
        <v>138</v>
      </c>
      <c r="I157" s="199">
        <v>1992</v>
      </c>
      <c r="J157" s="199">
        <v>12</v>
      </c>
      <c r="K157" s="322">
        <v>166</v>
      </c>
      <c r="L157" s="323">
        <v>25087</v>
      </c>
      <c r="M157" s="199" t="s">
        <v>847</v>
      </c>
      <c r="N157" s="199" t="s">
        <v>17</v>
      </c>
    </row>
    <row r="158" spans="1:14">
      <c r="A158" s="321">
        <v>16945</v>
      </c>
      <c r="B158" s="199" t="s">
        <v>1717</v>
      </c>
      <c r="C158" s="199" t="s">
        <v>1718</v>
      </c>
      <c r="D158" s="199" t="s">
        <v>60</v>
      </c>
      <c r="E158" s="199" t="s">
        <v>42</v>
      </c>
      <c r="F158" s="199" t="s">
        <v>43</v>
      </c>
      <c r="G158" s="199" t="s">
        <v>65</v>
      </c>
      <c r="I158" s="199">
        <v>3579</v>
      </c>
      <c r="J158" s="199">
        <v>19</v>
      </c>
      <c r="K158" s="322">
        <v>188.3699951171875</v>
      </c>
      <c r="L158" s="323">
        <v>35376</v>
      </c>
      <c r="M158" s="199" t="s">
        <v>1704</v>
      </c>
      <c r="N158" s="199" t="s">
        <v>1705</v>
      </c>
    </row>
    <row r="159" spans="1:14">
      <c r="A159" s="321">
        <v>16998</v>
      </c>
      <c r="B159" s="199" t="s">
        <v>943</v>
      </c>
      <c r="C159" s="199" t="s">
        <v>668</v>
      </c>
      <c r="D159" s="199" t="s">
        <v>944</v>
      </c>
      <c r="E159" s="199" t="s">
        <v>42</v>
      </c>
      <c r="F159" s="199" t="s">
        <v>57</v>
      </c>
      <c r="G159" s="199" t="s">
        <v>65</v>
      </c>
      <c r="I159" s="199">
        <v>6430</v>
      </c>
      <c r="J159" s="199">
        <v>34</v>
      </c>
      <c r="K159" s="322">
        <v>189.1199951171875</v>
      </c>
      <c r="L159" s="323">
        <v>20312</v>
      </c>
      <c r="M159" s="199" t="s">
        <v>1593</v>
      </c>
      <c r="N159" s="199" t="s">
        <v>1359</v>
      </c>
    </row>
    <row r="160" spans="1:14">
      <c r="A160" s="321">
        <v>18530</v>
      </c>
      <c r="B160" s="199" t="s">
        <v>1133</v>
      </c>
      <c r="C160" s="199" t="s">
        <v>1134</v>
      </c>
      <c r="D160" s="199" t="s">
        <v>526</v>
      </c>
      <c r="E160" s="199" t="s">
        <v>42</v>
      </c>
      <c r="F160" s="199" t="s">
        <v>51</v>
      </c>
      <c r="I160" s="199">
        <v>2231</v>
      </c>
      <c r="J160" s="199">
        <v>12</v>
      </c>
      <c r="K160" s="322">
        <v>185.91999816894531</v>
      </c>
      <c r="L160" s="323">
        <v>22907</v>
      </c>
      <c r="M160" s="199" t="s">
        <v>1122</v>
      </c>
      <c r="N160" s="199" t="s">
        <v>1039</v>
      </c>
    </row>
    <row r="161" spans="1:14">
      <c r="A161" s="321">
        <v>18802</v>
      </c>
      <c r="B161" s="199" t="s">
        <v>2207</v>
      </c>
      <c r="C161" s="199" t="s">
        <v>2208</v>
      </c>
      <c r="D161" s="199" t="s">
        <v>1155</v>
      </c>
      <c r="E161" s="199" t="s">
        <v>42</v>
      </c>
      <c r="F161" s="199" t="s">
        <v>66</v>
      </c>
      <c r="G161" s="199" t="s">
        <v>238</v>
      </c>
      <c r="I161" s="199">
        <v>8451</v>
      </c>
      <c r="J161" s="199">
        <v>39</v>
      </c>
      <c r="K161" s="322">
        <v>216.69000244140625</v>
      </c>
      <c r="L161" s="323">
        <v>27418</v>
      </c>
      <c r="M161" s="199" t="s">
        <v>1122</v>
      </c>
      <c r="N161" s="199" t="s">
        <v>1039</v>
      </c>
    </row>
    <row r="162" spans="1:14">
      <c r="A162" s="321">
        <v>21185</v>
      </c>
      <c r="B162" s="199" t="s">
        <v>2547</v>
      </c>
      <c r="C162" s="199" t="s">
        <v>2540</v>
      </c>
      <c r="D162" s="199" t="s">
        <v>229</v>
      </c>
      <c r="E162" s="199" t="s">
        <v>48</v>
      </c>
      <c r="F162" s="199" t="s">
        <v>49</v>
      </c>
      <c r="G162" s="199" t="s">
        <v>50</v>
      </c>
      <c r="I162" s="199">
        <v>2738</v>
      </c>
      <c r="J162" s="199">
        <v>18</v>
      </c>
      <c r="K162" s="322">
        <v>152.11000061035156</v>
      </c>
      <c r="L162" s="323">
        <v>23452</v>
      </c>
      <c r="M162" s="199" t="s">
        <v>1257</v>
      </c>
      <c r="N162" s="199" t="s">
        <v>1175</v>
      </c>
    </row>
    <row r="163" spans="1:14">
      <c r="A163" s="321">
        <v>25005</v>
      </c>
      <c r="B163" s="199" t="s">
        <v>547</v>
      </c>
      <c r="C163" s="199" t="s">
        <v>548</v>
      </c>
      <c r="D163" s="199" t="s">
        <v>549</v>
      </c>
      <c r="E163" s="199" t="s">
        <v>42</v>
      </c>
      <c r="F163" s="199" t="s">
        <v>66</v>
      </c>
      <c r="I163" s="199">
        <v>1577</v>
      </c>
      <c r="J163" s="199">
        <v>8</v>
      </c>
      <c r="K163" s="322">
        <v>197.1300048828125</v>
      </c>
      <c r="L163" s="323">
        <v>25860</v>
      </c>
      <c r="M163" s="199" t="s">
        <v>82</v>
      </c>
      <c r="N163" s="199" t="s">
        <v>83</v>
      </c>
    </row>
    <row r="164" spans="1:14">
      <c r="A164" s="321">
        <v>25055</v>
      </c>
      <c r="B164" s="199" t="s">
        <v>1182</v>
      </c>
      <c r="C164" s="199" t="s">
        <v>1183</v>
      </c>
      <c r="D164" s="199" t="s">
        <v>252</v>
      </c>
      <c r="E164" s="199" t="s">
        <v>42</v>
      </c>
      <c r="F164" s="199" t="s">
        <v>57</v>
      </c>
      <c r="I164" s="199">
        <v>2068</v>
      </c>
      <c r="J164" s="199">
        <v>12</v>
      </c>
      <c r="K164" s="322">
        <v>172.33000183105469</v>
      </c>
      <c r="L164" s="323">
        <v>19457</v>
      </c>
      <c r="M164" s="199" t="s">
        <v>1174</v>
      </c>
      <c r="N164" s="199" t="s">
        <v>1175</v>
      </c>
    </row>
    <row r="165" spans="1:14">
      <c r="A165" s="321">
        <v>25082</v>
      </c>
      <c r="B165" s="199" t="s">
        <v>1178</v>
      </c>
      <c r="C165" s="199" t="s">
        <v>344</v>
      </c>
      <c r="D165" s="199" t="s">
        <v>58</v>
      </c>
      <c r="E165" s="199" t="s">
        <v>42</v>
      </c>
      <c r="F165" s="199" t="s">
        <v>43</v>
      </c>
      <c r="I165" s="199">
        <v>2406</v>
      </c>
      <c r="J165" s="199">
        <v>13</v>
      </c>
      <c r="K165" s="322">
        <v>185.08000183105469</v>
      </c>
      <c r="L165" s="323">
        <v>35745</v>
      </c>
      <c r="M165" s="199" t="s">
        <v>847</v>
      </c>
      <c r="N165" s="199" t="s">
        <v>17</v>
      </c>
    </row>
    <row r="166" spans="1:14">
      <c r="A166" s="321">
        <v>25127</v>
      </c>
      <c r="B166" s="199" t="s">
        <v>1682</v>
      </c>
      <c r="C166" s="199" t="s">
        <v>1683</v>
      </c>
      <c r="D166" s="199" t="s">
        <v>106</v>
      </c>
      <c r="E166" s="199" t="s">
        <v>42</v>
      </c>
      <c r="F166" s="199" t="s">
        <v>51</v>
      </c>
      <c r="G166" s="199" t="s">
        <v>238</v>
      </c>
      <c r="I166" s="199">
        <v>26078</v>
      </c>
      <c r="J166" s="199">
        <v>126</v>
      </c>
      <c r="K166" s="322">
        <v>206.97000122070313</v>
      </c>
      <c r="L166" s="323">
        <v>23093</v>
      </c>
      <c r="M166" s="199" t="s">
        <v>254</v>
      </c>
      <c r="N166" s="199" t="s">
        <v>1359</v>
      </c>
    </row>
    <row r="167" spans="1:14">
      <c r="A167" s="321">
        <v>25130</v>
      </c>
      <c r="B167" s="199" t="s">
        <v>1036</v>
      </c>
      <c r="C167" s="199" t="s">
        <v>1037</v>
      </c>
      <c r="D167" s="199" t="s">
        <v>644</v>
      </c>
      <c r="E167" s="199" t="s">
        <v>42</v>
      </c>
      <c r="F167" s="199" t="s">
        <v>51</v>
      </c>
      <c r="I167" s="199">
        <v>1041</v>
      </c>
      <c r="J167" s="199">
        <v>6</v>
      </c>
      <c r="K167" s="322">
        <v>173.5</v>
      </c>
      <c r="L167" s="323">
        <v>22254</v>
      </c>
      <c r="M167" s="199" t="s">
        <v>1038</v>
      </c>
      <c r="N167" s="199" t="s">
        <v>1039</v>
      </c>
    </row>
    <row r="168" spans="1:14">
      <c r="A168" s="321">
        <v>25192</v>
      </c>
      <c r="B168" s="199" t="s">
        <v>1464</v>
      </c>
      <c r="C168" s="199" t="s">
        <v>1041</v>
      </c>
      <c r="D168" s="199" t="s">
        <v>1465</v>
      </c>
      <c r="E168" s="199" t="s">
        <v>48</v>
      </c>
      <c r="F168" s="199" t="s">
        <v>78</v>
      </c>
      <c r="I168" s="199">
        <v>958</v>
      </c>
      <c r="J168" s="199">
        <v>6</v>
      </c>
      <c r="K168" s="322">
        <v>159.66999816894531</v>
      </c>
      <c r="L168" s="323">
        <v>34412</v>
      </c>
      <c r="M168" s="199" t="s">
        <v>1463</v>
      </c>
      <c r="N168" s="199" t="s">
        <v>1359</v>
      </c>
    </row>
    <row r="169" spans="1:14">
      <c r="A169" s="321">
        <v>25203</v>
      </c>
      <c r="B169" s="199" t="s">
        <v>1654</v>
      </c>
      <c r="C169" s="199" t="s">
        <v>1655</v>
      </c>
      <c r="D169" s="199" t="s">
        <v>164</v>
      </c>
      <c r="E169" s="199" t="s">
        <v>42</v>
      </c>
      <c r="F169" s="199" t="s">
        <v>43</v>
      </c>
      <c r="G169" s="199" t="s">
        <v>65</v>
      </c>
      <c r="I169" s="199">
        <v>6009</v>
      </c>
      <c r="J169" s="199">
        <v>33</v>
      </c>
      <c r="K169" s="322">
        <v>182.08999633789063</v>
      </c>
      <c r="L169" s="323">
        <v>34256</v>
      </c>
      <c r="M169" s="199" t="s">
        <v>1593</v>
      </c>
      <c r="N169" s="199" t="s">
        <v>1359</v>
      </c>
    </row>
    <row r="170" spans="1:14">
      <c r="A170" s="321">
        <v>25204</v>
      </c>
      <c r="B170" s="199" t="s">
        <v>1656</v>
      </c>
      <c r="C170" s="199" t="s">
        <v>1655</v>
      </c>
      <c r="D170" s="199" t="s">
        <v>205</v>
      </c>
      <c r="E170" s="199" t="s">
        <v>42</v>
      </c>
      <c r="F170" s="199" t="s">
        <v>43</v>
      </c>
      <c r="I170" s="199">
        <v>886</v>
      </c>
      <c r="J170" s="199">
        <v>6</v>
      </c>
      <c r="K170" s="322">
        <v>147.66999816894531</v>
      </c>
      <c r="L170" s="323">
        <v>35954</v>
      </c>
      <c r="M170" s="199" t="s">
        <v>1593</v>
      </c>
      <c r="N170" s="199" t="s">
        <v>1359</v>
      </c>
    </row>
    <row r="171" spans="1:14">
      <c r="A171" s="321">
        <v>25205</v>
      </c>
      <c r="B171" s="199" t="s">
        <v>1657</v>
      </c>
      <c r="C171" s="199" t="s">
        <v>1655</v>
      </c>
      <c r="D171" s="199" t="s">
        <v>135</v>
      </c>
      <c r="E171" s="199" t="s">
        <v>42</v>
      </c>
      <c r="F171" s="199" t="s">
        <v>43</v>
      </c>
      <c r="G171" s="199" t="s">
        <v>179</v>
      </c>
      <c r="I171" s="199">
        <v>14335</v>
      </c>
      <c r="J171" s="199">
        <v>73</v>
      </c>
      <c r="K171" s="322">
        <v>196.3699951171875</v>
      </c>
      <c r="L171" s="323">
        <v>35193</v>
      </c>
      <c r="M171" s="199" t="s">
        <v>1593</v>
      </c>
      <c r="N171" s="199" t="s">
        <v>1359</v>
      </c>
    </row>
    <row r="172" spans="1:14">
      <c r="A172" s="321">
        <v>25213</v>
      </c>
      <c r="B172" s="199" t="s">
        <v>1618</v>
      </c>
      <c r="C172" s="199" t="s">
        <v>1619</v>
      </c>
      <c r="D172" s="199" t="s">
        <v>842</v>
      </c>
      <c r="E172" s="199" t="s">
        <v>42</v>
      </c>
      <c r="F172" s="199" t="s">
        <v>43</v>
      </c>
      <c r="G172" s="199" t="s">
        <v>238</v>
      </c>
      <c r="I172" s="199">
        <v>3664</v>
      </c>
      <c r="J172" s="199">
        <v>18</v>
      </c>
      <c r="K172" s="322">
        <v>203.55999755859375</v>
      </c>
      <c r="L172" s="323">
        <v>35769</v>
      </c>
      <c r="M172" s="199" t="s">
        <v>1593</v>
      </c>
      <c r="N172" s="199" t="s">
        <v>1359</v>
      </c>
    </row>
    <row r="173" spans="1:14">
      <c r="A173" s="321">
        <v>25266</v>
      </c>
      <c r="B173" s="199" t="s">
        <v>582</v>
      </c>
      <c r="C173" s="199" t="s">
        <v>583</v>
      </c>
      <c r="D173" s="199" t="s">
        <v>584</v>
      </c>
      <c r="E173" s="199" t="s">
        <v>42</v>
      </c>
      <c r="F173" s="199" t="s">
        <v>66</v>
      </c>
      <c r="I173" s="199">
        <v>1330</v>
      </c>
      <c r="J173" s="199">
        <v>7</v>
      </c>
      <c r="K173" s="322">
        <v>190</v>
      </c>
      <c r="L173" s="323">
        <v>25249</v>
      </c>
      <c r="M173" s="199" t="s">
        <v>560</v>
      </c>
      <c r="N173" s="199" t="s">
        <v>561</v>
      </c>
    </row>
    <row r="174" spans="1:14">
      <c r="A174" s="321">
        <v>25271</v>
      </c>
      <c r="B174" s="199" t="s">
        <v>1077</v>
      </c>
      <c r="C174" s="199" t="s">
        <v>1078</v>
      </c>
      <c r="D174" s="199" t="s">
        <v>402</v>
      </c>
      <c r="E174" s="199" t="s">
        <v>42</v>
      </c>
      <c r="F174" s="199" t="s">
        <v>66</v>
      </c>
      <c r="I174" s="199">
        <v>3306</v>
      </c>
      <c r="J174" s="199">
        <v>16</v>
      </c>
      <c r="K174" s="322">
        <v>206.6300048828125</v>
      </c>
      <c r="L174" s="323">
        <v>26887</v>
      </c>
      <c r="M174" s="199" t="s">
        <v>1069</v>
      </c>
      <c r="N174" s="199" t="s">
        <v>1039</v>
      </c>
    </row>
    <row r="175" spans="1:14">
      <c r="A175" s="321">
        <v>25325</v>
      </c>
      <c r="B175" s="199" t="s">
        <v>1247</v>
      </c>
      <c r="C175" s="199" t="s">
        <v>1248</v>
      </c>
      <c r="D175" s="199" t="s">
        <v>106</v>
      </c>
      <c r="E175" s="199" t="s">
        <v>42</v>
      </c>
      <c r="F175" s="199" t="s">
        <v>43</v>
      </c>
      <c r="G175" s="199" t="s">
        <v>65</v>
      </c>
      <c r="I175" s="199">
        <v>6650</v>
      </c>
      <c r="J175" s="199">
        <v>36</v>
      </c>
      <c r="K175" s="322">
        <v>184.72000122070313</v>
      </c>
      <c r="L175" s="323">
        <v>29608</v>
      </c>
      <c r="M175" s="199" t="s">
        <v>1206</v>
      </c>
      <c r="N175" s="199" t="s">
        <v>1175</v>
      </c>
    </row>
    <row r="176" spans="1:14">
      <c r="A176" s="321">
        <v>25347</v>
      </c>
      <c r="B176" s="199" t="s">
        <v>419</v>
      </c>
      <c r="C176" s="199" t="s">
        <v>420</v>
      </c>
      <c r="D176" s="199" t="s">
        <v>421</v>
      </c>
      <c r="E176" s="199" t="s">
        <v>48</v>
      </c>
      <c r="F176" s="199" t="s">
        <v>49</v>
      </c>
      <c r="G176" s="199" t="s">
        <v>50</v>
      </c>
      <c r="I176" s="199">
        <v>3469</v>
      </c>
      <c r="J176" s="199">
        <v>24</v>
      </c>
      <c r="K176" s="322">
        <v>144.53999328613281</v>
      </c>
      <c r="L176" s="323">
        <v>21695</v>
      </c>
      <c r="M176" s="199" t="s">
        <v>847</v>
      </c>
      <c r="N176" s="199" t="s">
        <v>17</v>
      </c>
    </row>
    <row r="177" spans="1:14">
      <c r="A177" s="321">
        <v>25350</v>
      </c>
      <c r="B177" s="199" t="s">
        <v>250</v>
      </c>
      <c r="C177" s="199" t="s">
        <v>251</v>
      </c>
      <c r="D177" s="199" t="s">
        <v>252</v>
      </c>
      <c r="E177" s="199" t="s">
        <v>42</v>
      </c>
      <c r="F177" s="199" t="s">
        <v>66</v>
      </c>
      <c r="I177" s="199">
        <v>1998</v>
      </c>
      <c r="J177" s="199">
        <v>11</v>
      </c>
      <c r="K177" s="322">
        <v>181.63999938964844</v>
      </c>
      <c r="L177" s="323">
        <v>25139</v>
      </c>
      <c r="M177" s="199" t="s">
        <v>342</v>
      </c>
      <c r="N177" s="199" t="s">
        <v>301</v>
      </c>
    </row>
    <row r="178" spans="1:14">
      <c r="A178" s="321">
        <v>25387</v>
      </c>
      <c r="B178" s="199" t="s">
        <v>681</v>
      </c>
      <c r="C178" s="199" t="s">
        <v>682</v>
      </c>
      <c r="D178" s="199" t="s">
        <v>480</v>
      </c>
      <c r="E178" s="199" t="s">
        <v>42</v>
      </c>
      <c r="F178" s="199" t="s">
        <v>66</v>
      </c>
      <c r="G178" s="199" t="s">
        <v>179</v>
      </c>
      <c r="I178" s="199">
        <v>11527</v>
      </c>
      <c r="J178" s="199">
        <v>58</v>
      </c>
      <c r="K178" s="322">
        <v>198.74000549316406</v>
      </c>
      <c r="L178" s="323">
        <v>24647</v>
      </c>
      <c r="M178" s="199" t="s">
        <v>680</v>
      </c>
      <c r="N178" s="199" t="s">
        <v>677</v>
      </c>
    </row>
    <row r="179" spans="1:14">
      <c r="A179" s="321">
        <v>25388</v>
      </c>
      <c r="B179" s="199" t="s">
        <v>2010</v>
      </c>
      <c r="C179" s="199" t="s">
        <v>2011</v>
      </c>
      <c r="D179" s="199" t="s">
        <v>183</v>
      </c>
      <c r="E179" s="199" t="s">
        <v>42</v>
      </c>
      <c r="F179" s="199" t="s">
        <v>51</v>
      </c>
      <c r="I179" s="199">
        <v>2261</v>
      </c>
      <c r="J179" s="199">
        <v>12</v>
      </c>
      <c r="K179" s="322">
        <v>188.41999816894531</v>
      </c>
      <c r="L179" s="323">
        <v>23467</v>
      </c>
      <c r="M179" s="199" t="s">
        <v>254</v>
      </c>
      <c r="N179" s="199" t="s">
        <v>1359</v>
      </c>
    </row>
    <row r="180" spans="1:14">
      <c r="A180" s="321">
        <v>25390</v>
      </c>
      <c r="B180" s="199" t="s">
        <v>2230</v>
      </c>
      <c r="C180" s="199" t="s">
        <v>956</v>
      </c>
      <c r="D180" s="199" t="s">
        <v>72</v>
      </c>
      <c r="E180" s="199" t="s">
        <v>42</v>
      </c>
      <c r="F180" s="199" t="s">
        <v>51</v>
      </c>
      <c r="G180" s="199" t="s">
        <v>50</v>
      </c>
      <c r="I180" s="199">
        <v>3590</v>
      </c>
      <c r="J180" s="199">
        <v>22</v>
      </c>
      <c r="K180" s="322">
        <v>163.17999267578125</v>
      </c>
      <c r="L180" s="323">
        <v>22551</v>
      </c>
      <c r="M180" s="199" t="s">
        <v>1463</v>
      </c>
      <c r="N180" s="199" t="s">
        <v>1359</v>
      </c>
    </row>
    <row r="181" spans="1:14">
      <c r="A181" s="321">
        <v>25397</v>
      </c>
      <c r="B181" s="199" t="s">
        <v>1995</v>
      </c>
      <c r="C181" s="199" t="s">
        <v>1277</v>
      </c>
      <c r="D181" s="199" t="s">
        <v>1278</v>
      </c>
      <c r="E181" s="199" t="s">
        <v>48</v>
      </c>
      <c r="F181" s="199" t="s">
        <v>138</v>
      </c>
      <c r="G181" s="199" t="s">
        <v>44</v>
      </c>
      <c r="I181" s="199">
        <v>3891</v>
      </c>
      <c r="J181" s="199">
        <v>24</v>
      </c>
      <c r="K181" s="322">
        <v>162.1300048828125</v>
      </c>
      <c r="L181" s="323">
        <v>27622</v>
      </c>
      <c r="M181" s="199" t="s">
        <v>1463</v>
      </c>
      <c r="N181" s="199" t="s">
        <v>1359</v>
      </c>
    </row>
    <row r="182" spans="1:14">
      <c r="A182" s="321">
        <v>25423</v>
      </c>
      <c r="B182" s="199" t="s">
        <v>849</v>
      </c>
      <c r="C182" s="199" t="s">
        <v>850</v>
      </c>
      <c r="D182" s="199" t="s">
        <v>63</v>
      </c>
      <c r="E182" s="199" t="s">
        <v>42</v>
      </c>
      <c r="F182" s="199" t="s">
        <v>43</v>
      </c>
      <c r="G182" s="199" t="s">
        <v>179</v>
      </c>
      <c r="I182" s="199">
        <v>9553</v>
      </c>
      <c r="J182" s="199">
        <v>48</v>
      </c>
      <c r="K182" s="322">
        <v>199.02000427246094</v>
      </c>
      <c r="L182" s="323">
        <v>29707</v>
      </c>
      <c r="M182" s="199" t="s">
        <v>894</v>
      </c>
      <c r="N182" s="199" t="s">
        <v>17</v>
      </c>
    </row>
    <row r="183" spans="1:14">
      <c r="A183" s="321">
        <v>25433</v>
      </c>
      <c r="B183" s="199" t="s">
        <v>872</v>
      </c>
      <c r="C183" s="199" t="s">
        <v>873</v>
      </c>
      <c r="D183" s="199" t="s">
        <v>64</v>
      </c>
      <c r="E183" s="199" t="s">
        <v>42</v>
      </c>
      <c r="F183" s="199" t="s">
        <v>66</v>
      </c>
      <c r="G183" s="199" t="s">
        <v>44</v>
      </c>
      <c r="I183" s="199">
        <v>6433</v>
      </c>
      <c r="J183" s="199">
        <v>37</v>
      </c>
      <c r="K183" s="322">
        <v>173.86000061035156</v>
      </c>
      <c r="L183" s="323">
        <v>25391</v>
      </c>
      <c r="M183" s="199" t="s">
        <v>894</v>
      </c>
      <c r="N183" s="199" t="s">
        <v>17</v>
      </c>
    </row>
    <row r="184" spans="1:14">
      <c r="A184" s="321">
        <v>25445</v>
      </c>
      <c r="B184" s="199" t="s">
        <v>75</v>
      </c>
      <c r="C184" s="199" t="s">
        <v>68</v>
      </c>
      <c r="D184" s="199" t="s">
        <v>76</v>
      </c>
      <c r="E184" s="199" t="s">
        <v>48</v>
      </c>
      <c r="F184" s="199" t="s">
        <v>227</v>
      </c>
      <c r="I184" s="199">
        <v>1659</v>
      </c>
      <c r="J184" s="199">
        <v>12</v>
      </c>
      <c r="K184" s="322">
        <v>138.25</v>
      </c>
      <c r="L184" s="323">
        <v>20159</v>
      </c>
      <c r="M184" s="199" t="s">
        <v>45</v>
      </c>
      <c r="N184" s="199" t="s">
        <v>46</v>
      </c>
    </row>
    <row r="185" spans="1:14">
      <c r="A185" s="321">
        <v>25465</v>
      </c>
      <c r="B185" s="199" t="s">
        <v>433</v>
      </c>
      <c r="C185" s="199" t="s">
        <v>432</v>
      </c>
      <c r="D185" s="199" t="s">
        <v>434</v>
      </c>
      <c r="E185" s="199" t="s">
        <v>42</v>
      </c>
      <c r="F185" s="199" t="s">
        <v>43</v>
      </c>
      <c r="I185" s="199">
        <v>2585</v>
      </c>
      <c r="J185" s="199">
        <v>13</v>
      </c>
      <c r="K185" s="322">
        <v>198.85000610351563</v>
      </c>
      <c r="L185" s="323">
        <v>31667</v>
      </c>
      <c r="M185" s="199" t="s">
        <v>342</v>
      </c>
      <c r="N185" s="199" t="s">
        <v>301</v>
      </c>
    </row>
    <row r="186" spans="1:14">
      <c r="A186" s="321">
        <v>25478</v>
      </c>
      <c r="B186" s="199">
        <v>9065825</v>
      </c>
      <c r="C186" s="199" t="s">
        <v>694</v>
      </c>
      <c r="D186" s="199" t="s">
        <v>452</v>
      </c>
      <c r="E186" s="199" t="s">
        <v>48</v>
      </c>
      <c r="F186" s="199" t="s">
        <v>138</v>
      </c>
      <c r="I186" s="199">
        <v>2269</v>
      </c>
      <c r="J186" s="199">
        <v>14</v>
      </c>
      <c r="K186" s="322">
        <v>162.07000732421875</v>
      </c>
      <c r="L186" s="323">
        <v>26506</v>
      </c>
      <c r="M186" s="199" t="s">
        <v>680</v>
      </c>
      <c r="N186" s="199" t="s">
        <v>677</v>
      </c>
    </row>
    <row r="187" spans="1:14">
      <c r="A187" s="321">
        <v>25484</v>
      </c>
      <c r="B187" s="199" t="s">
        <v>699</v>
      </c>
      <c r="C187" s="199" t="s">
        <v>696</v>
      </c>
      <c r="D187" s="199" t="s">
        <v>700</v>
      </c>
      <c r="E187" s="199" t="s">
        <v>42</v>
      </c>
      <c r="F187" s="199" t="s">
        <v>43</v>
      </c>
      <c r="G187" s="199" t="s">
        <v>65</v>
      </c>
      <c r="I187" s="199">
        <v>6460</v>
      </c>
      <c r="J187" s="199">
        <v>35</v>
      </c>
      <c r="K187" s="322">
        <v>184.57000732421875</v>
      </c>
      <c r="L187" s="323">
        <v>37114</v>
      </c>
      <c r="M187" s="199" t="s">
        <v>680</v>
      </c>
      <c r="N187" s="199" t="s">
        <v>677</v>
      </c>
    </row>
    <row r="188" spans="1:14">
      <c r="A188" s="321">
        <v>25502</v>
      </c>
      <c r="B188" s="199" t="s">
        <v>1177</v>
      </c>
      <c r="C188" s="199" t="s">
        <v>80</v>
      </c>
      <c r="D188" s="199" t="s">
        <v>116</v>
      </c>
      <c r="E188" s="199" t="s">
        <v>42</v>
      </c>
      <c r="F188" s="199" t="s">
        <v>51</v>
      </c>
      <c r="I188" s="199">
        <v>1957</v>
      </c>
      <c r="J188" s="199">
        <v>12</v>
      </c>
      <c r="K188" s="322">
        <v>163.08000183105469</v>
      </c>
      <c r="L188" s="323">
        <v>23267</v>
      </c>
      <c r="M188" s="199" t="s">
        <v>1174</v>
      </c>
      <c r="N188" s="199" t="s">
        <v>1175</v>
      </c>
    </row>
    <row r="189" spans="1:14">
      <c r="A189" s="321">
        <v>25516</v>
      </c>
      <c r="B189" s="199" t="s">
        <v>2451</v>
      </c>
      <c r="C189" s="199" t="s">
        <v>2452</v>
      </c>
      <c r="D189" s="199" t="s">
        <v>142</v>
      </c>
      <c r="E189" s="199" t="s">
        <v>42</v>
      </c>
      <c r="F189" s="199" t="s">
        <v>43</v>
      </c>
      <c r="I189" s="199">
        <v>1899</v>
      </c>
      <c r="J189" s="199">
        <v>9</v>
      </c>
      <c r="K189" s="322">
        <v>211</v>
      </c>
      <c r="L189" s="323">
        <v>29631</v>
      </c>
      <c r="M189" s="199" t="s">
        <v>633</v>
      </c>
      <c r="N189" s="199" t="s">
        <v>634</v>
      </c>
    </row>
    <row r="190" spans="1:14">
      <c r="A190" s="321">
        <v>25521</v>
      </c>
      <c r="B190" s="199" t="s">
        <v>188</v>
      </c>
      <c r="C190" s="199" t="s">
        <v>189</v>
      </c>
      <c r="D190" s="199" t="s">
        <v>190</v>
      </c>
      <c r="E190" s="199" t="s">
        <v>42</v>
      </c>
      <c r="F190" s="199" t="s">
        <v>43</v>
      </c>
      <c r="I190" s="199">
        <v>580</v>
      </c>
      <c r="J190" s="199">
        <v>3</v>
      </c>
      <c r="K190" s="322">
        <v>193.33000183105469</v>
      </c>
      <c r="L190" s="323">
        <v>35440</v>
      </c>
      <c r="M190" s="199" t="s">
        <v>176</v>
      </c>
      <c r="N190" s="199" t="s">
        <v>154</v>
      </c>
    </row>
    <row r="191" spans="1:14">
      <c r="A191" s="321">
        <v>25534</v>
      </c>
      <c r="B191" s="199" t="s">
        <v>1633</v>
      </c>
      <c r="C191" s="199" t="s">
        <v>1634</v>
      </c>
      <c r="D191" s="199" t="s">
        <v>380</v>
      </c>
      <c r="E191" s="199" t="s">
        <v>42</v>
      </c>
      <c r="F191" s="199" t="s">
        <v>43</v>
      </c>
      <c r="I191" s="199">
        <v>2417</v>
      </c>
      <c r="J191" s="199">
        <v>12</v>
      </c>
      <c r="K191" s="322">
        <v>201.41999816894531</v>
      </c>
      <c r="L191" s="323">
        <v>32957</v>
      </c>
      <c r="M191" s="199" t="s">
        <v>1593</v>
      </c>
      <c r="N191" s="199" t="s">
        <v>1359</v>
      </c>
    </row>
    <row r="192" spans="1:14">
      <c r="A192" s="321">
        <v>25541</v>
      </c>
      <c r="B192" s="199" t="s">
        <v>2101</v>
      </c>
      <c r="C192" s="199" t="s">
        <v>1736</v>
      </c>
      <c r="D192" s="199" t="s">
        <v>72</v>
      </c>
      <c r="E192" s="199" t="s">
        <v>42</v>
      </c>
      <c r="F192" s="199" t="s">
        <v>51</v>
      </c>
      <c r="I192" s="199">
        <v>1177</v>
      </c>
      <c r="J192" s="199">
        <v>7</v>
      </c>
      <c r="K192" s="322">
        <v>168.13999938964844</v>
      </c>
      <c r="L192" s="323">
        <v>21644</v>
      </c>
      <c r="M192" s="199" t="s">
        <v>1704</v>
      </c>
      <c r="N192" s="199" t="s">
        <v>1705</v>
      </c>
    </row>
    <row r="193" spans="1:14">
      <c r="A193" s="321">
        <v>25549</v>
      </c>
      <c r="B193" s="199" t="s">
        <v>1130</v>
      </c>
      <c r="C193" s="199" t="s">
        <v>905</v>
      </c>
      <c r="D193" s="199" t="s">
        <v>644</v>
      </c>
      <c r="E193" s="199" t="s">
        <v>42</v>
      </c>
      <c r="F193" s="199" t="s">
        <v>51</v>
      </c>
      <c r="G193" s="199" t="s">
        <v>179</v>
      </c>
      <c r="I193" s="199">
        <v>6655</v>
      </c>
      <c r="J193" s="199">
        <v>35</v>
      </c>
      <c r="K193" s="322">
        <v>190.13999938964844</v>
      </c>
      <c r="L193" s="323">
        <v>23433</v>
      </c>
      <c r="M193" s="199" t="s">
        <v>254</v>
      </c>
      <c r="N193" s="199" t="s">
        <v>1039</v>
      </c>
    </row>
    <row r="194" spans="1:14">
      <c r="A194" s="321">
        <v>25550</v>
      </c>
      <c r="B194" s="199" t="s">
        <v>904</v>
      </c>
      <c r="C194" s="199" t="s">
        <v>905</v>
      </c>
      <c r="D194" s="199" t="s">
        <v>253</v>
      </c>
      <c r="E194" s="199" t="s">
        <v>48</v>
      </c>
      <c r="F194" s="199" t="s">
        <v>78</v>
      </c>
      <c r="G194" s="199" t="s">
        <v>44</v>
      </c>
      <c r="I194" s="199">
        <v>4904</v>
      </c>
      <c r="J194" s="199">
        <v>30</v>
      </c>
      <c r="K194" s="322">
        <v>163.47000122070313</v>
      </c>
      <c r="L194" s="323">
        <v>28304</v>
      </c>
      <c r="M194" s="199" t="s">
        <v>1593</v>
      </c>
      <c r="N194" s="199" t="s">
        <v>1359</v>
      </c>
    </row>
    <row r="195" spans="1:14">
      <c r="A195" s="321">
        <v>25551</v>
      </c>
      <c r="B195" s="199" t="s">
        <v>431</v>
      </c>
      <c r="C195" s="199" t="s">
        <v>432</v>
      </c>
      <c r="D195" s="199" t="s">
        <v>383</v>
      </c>
      <c r="E195" s="199" t="s">
        <v>48</v>
      </c>
      <c r="F195" s="199" t="s">
        <v>78</v>
      </c>
      <c r="I195" s="199">
        <v>698</v>
      </c>
      <c r="J195" s="199">
        <v>4</v>
      </c>
      <c r="K195" s="322">
        <v>174.5</v>
      </c>
      <c r="L195" s="323">
        <v>32474</v>
      </c>
      <c r="M195" s="199" t="s">
        <v>342</v>
      </c>
      <c r="N195" s="199" t="s">
        <v>301</v>
      </c>
    </row>
    <row r="196" spans="1:14">
      <c r="A196" s="321">
        <v>25554</v>
      </c>
      <c r="B196" s="199" t="s">
        <v>1207</v>
      </c>
      <c r="C196" s="199" t="s">
        <v>1208</v>
      </c>
      <c r="D196" s="199" t="s">
        <v>747</v>
      </c>
      <c r="E196" s="199" t="s">
        <v>42</v>
      </c>
      <c r="F196" s="199" t="s">
        <v>51</v>
      </c>
      <c r="G196" s="199" t="s">
        <v>65</v>
      </c>
      <c r="I196" s="199">
        <v>17576</v>
      </c>
      <c r="J196" s="199">
        <v>95</v>
      </c>
      <c r="K196" s="322">
        <v>185.00999450683594</v>
      </c>
      <c r="L196" s="323">
        <v>23751</v>
      </c>
      <c r="M196" s="199" t="s">
        <v>1206</v>
      </c>
      <c r="N196" s="199" t="s">
        <v>1175</v>
      </c>
    </row>
    <row r="197" spans="1:14">
      <c r="A197" s="321">
        <v>25555</v>
      </c>
      <c r="B197" s="199">
        <v>9070673</v>
      </c>
      <c r="C197" s="199" t="s">
        <v>805</v>
      </c>
      <c r="D197" s="199" t="s">
        <v>806</v>
      </c>
      <c r="E197" s="199" t="s">
        <v>42</v>
      </c>
      <c r="F197" s="199" t="s">
        <v>43</v>
      </c>
      <c r="I197" s="199">
        <v>1018</v>
      </c>
      <c r="J197" s="199">
        <v>6</v>
      </c>
      <c r="K197" s="322">
        <v>169.66999816894531</v>
      </c>
      <c r="L197" s="323">
        <v>31325</v>
      </c>
      <c r="M197" s="199" t="s">
        <v>802</v>
      </c>
      <c r="N197" s="199" t="s">
        <v>17</v>
      </c>
    </row>
    <row r="198" spans="1:14">
      <c r="A198" s="321">
        <v>25557</v>
      </c>
      <c r="B198" s="199" t="s">
        <v>1658</v>
      </c>
      <c r="C198" s="199" t="s">
        <v>1655</v>
      </c>
      <c r="D198" s="199" t="s">
        <v>703</v>
      </c>
      <c r="E198" s="199" t="s">
        <v>42</v>
      </c>
      <c r="F198" s="199" t="s">
        <v>43</v>
      </c>
      <c r="G198" s="199" t="s">
        <v>238</v>
      </c>
      <c r="I198" s="199">
        <v>13749</v>
      </c>
      <c r="J198" s="199">
        <v>66</v>
      </c>
      <c r="K198" s="322">
        <v>208.32000732421875</v>
      </c>
      <c r="L198" s="323">
        <v>36922</v>
      </c>
      <c r="M198" s="199" t="s">
        <v>1593</v>
      </c>
      <c r="N198" s="199" t="s">
        <v>1359</v>
      </c>
    </row>
    <row r="199" spans="1:14">
      <c r="A199" s="321">
        <v>25629</v>
      </c>
      <c r="B199" s="199">
        <v>9079768</v>
      </c>
      <c r="C199" s="199" t="s">
        <v>1687</v>
      </c>
      <c r="D199" s="199" t="s">
        <v>267</v>
      </c>
      <c r="E199" s="199" t="s">
        <v>42</v>
      </c>
      <c r="F199" s="199" t="s">
        <v>43</v>
      </c>
      <c r="I199" s="199">
        <v>1991</v>
      </c>
      <c r="J199" s="199">
        <v>10</v>
      </c>
      <c r="K199" s="322">
        <v>199.10000610351563</v>
      </c>
      <c r="L199" s="323">
        <v>28935</v>
      </c>
      <c r="M199" s="199" t="s">
        <v>1678</v>
      </c>
      <c r="N199" s="199" t="s">
        <v>1359</v>
      </c>
    </row>
    <row r="200" spans="1:14">
      <c r="A200" s="321">
        <v>25692</v>
      </c>
      <c r="B200" s="199" t="s">
        <v>799</v>
      </c>
      <c r="C200" s="199" t="s">
        <v>800</v>
      </c>
      <c r="D200" s="199" t="s">
        <v>801</v>
      </c>
      <c r="E200" s="199" t="s">
        <v>42</v>
      </c>
      <c r="F200" s="199" t="s">
        <v>66</v>
      </c>
      <c r="G200" s="199" t="s">
        <v>65</v>
      </c>
      <c r="I200" s="199">
        <v>6145</v>
      </c>
      <c r="J200" s="199">
        <v>34</v>
      </c>
      <c r="K200" s="322">
        <v>180.74000549316406</v>
      </c>
      <c r="L200" s="323">
        <v>26307</v>
      </c>
      <c r="M200" s="199" t="s">
        <v>894</v>
      </c>
      <c r="N200" s="199" t="s">
        <v>17</v>
      </c>
    </row>
    <row r="201" spans="1:14">
      <c r="A201" s="321">
        <v>25727</v>
      </c>
      <c r="B201" s="199" t="s">
        <v>2019</v>
      </c>
      <c r="C201" s="199" t="s">
        <v>574</v>
      </c>
      <c r="D201" s="199" t="s">
        <v>1023</v>
      </c>
      <c r="E201" s="199" t="s">
        <v>42</v>
      </c>
      <c r="F201" s="199" t="s">
        <v>51</v>
      </c>
      <c r="I201" s="199">
        <v>764</v>
      </c>
      <c r="J201" s="199">
        <v>4</v>
      </c>
      <c r="K201" s="322">
        <v>191</v>
      </c>
      <c r="L201" s="323">
        <v>24135</v>
      </c>
      <c r="M201" s="199" t="s">
        <v>1018</v>
      </c>
      <c r="N201" s="199" t="s">
        <v>15</v>
      </c>
    </row>
    <row r="202" spans="1:14">
      <c r="A202" s="321">
        <v>25751</v>
      </c>
      <c r="B202" s="199" t="s">
        <v>1094</v>
      </c>
      <c r="C202" s="199" t="s">
        <v>249</v>
      </c>
      <c r="D202" s="199" t="s">
        <v>1095</v>
      </c>
      <c r="E202" s="199" t="s">
        <v>48</v>
      </c>
      <c r="F202" s="199" t="s">
        <v>78</v>
      </c>
      <c r="G202" s="199" t="s">
        <v>179</v>
      </c>
      <c r="I202" s="199">
        <v>6884</v>
      </c>
      <c r="J202" s="199">
        <v>37</v>
      </c>
      <c r="K202" s="322">
        <v>186.05000305175781</v>
      </c>
      <c r="L202" s="323">
        <v>36507</v>
      </c>
      <c r="M202" s="199" t="s">
        <v>1093</v>
      </c>
      <c r="N202" s="199" t="s">
        <v>1039</v>
      </c>
    </row>
    <row r="203" spans="1:14">
      <c r="A203" s="321">
        <v>25753</v>
      </c>
      <c r="B203" s="199" t="s">
        <v>405</v>
      </c>
      <c r="C203" s="199" t="s">
        <v>404</v>
      </c>
      <c r="D203" s="199" t="s">
        <v>194</v>
      </c>
      <c r="E203" s="199" t="s">
        <v>42</v>
      </c>
      <c r="F203" s="199" t="s">
        <v>43</v>
      </c>
      <c r="I203" s="199">
        <v>1905</v>
      </c>
      <c r="J203" s="199">
        <v>12</v>
      </c>
      <c r="K203" s="322">
        <v>158.75</v>
      </c>
      <c r="L203" s="323">
        <v>35600</v>
      </c>
      <c r="M203" s="199" t="s">
        <v>342</v>
      </c>
      <c r="N203" s="199" t="s">
        <v>301</v>
      </c>
    </row>
    <row r="204" spans="1:14">
      <c r="A204" s="321">
        <v>25760</v>
      </c>
      <c r="B204" s="199">
        <v>9099239</v>
      </c>
      <c r="C204" s="199" t="s">
        <v>167</v>
      </c>
      <c r="D204" s="199" t="s">
        <v>168</v>
      </c>
      <c r="E204" s="199" t="s">
        <v>42</v>
      </c>
      <c r="F204" s="199" t="s">
        <v>43</v>
      </c>
      <c r="I204" s="199">
        <v>2058</v>
      </c>
      <c r="J204" s="199">
        <v>12</v>
      </c>
      <c r="K204" s="322">
        <v>171.5</v>
      </c>
      <c r="L204" s="323">
        <v>29476</v>
      </c>
      <c r="M204" s="199" t="s">
        <v>153</v>
      </c>
      <c r="N204" s="199" t="s">
        <v>154</v>
      </c>
    </row>
    <row r="205" spans="1:14">
      <c r="A205" s="321">
        <v>25764</v>
      </c>
      <c r="B205" s="199" t="s">
        <v>1076</v>
      </c>
      <c r="C205" s="199" t="s">
        <v>1021</v>
      </c>
      <c r="D205" s="199" t="s">
        <v>182</v>
      </c>
      <c r="E205" s="199" t="s">
        <v>42</v>
      </c>
      <c r="F205" s="199" t="s">
        <v>51</v>
      </c>
      <c r="I205" s="199">
        <v>1302</v>
      </c>
      <c r="J205" s="199">
        <v>8</v>
      </c>
      <c r="K205" s="322">
        <v>162.75</v>
      </c>
      <c r="L205" s="323">
        <v>22439</v>
      </c>
      <c r="M205" s="199" t="s">
        <v>1069</v>
      </c>
      <c r="N205" s="199" t="s">
        <v>1039</v>
      </c>
    </row>
    <row r="206" spans="1:14">
      <c r="A206" s="321">
        <v>25778</v>
      </c>
      <c r="B206" s="199" t="s">
        <v>2537</v>
      </c>
      <c r="C206" s="199" t="s">
        <v>1692</v>
      </c>
      <c r="D206" s="199" t="s">
        <v>106</v>
      </c>
      <c r="E206" s="199" t="s">
        <v>42</v>
      </c>
      <c r="F206" s="199" t="s">
        <v>66</v>
      </c>
      <c r="G206" s="199" t="s">
        <v>65</v>
      </c>
      <c r="I206" s="199">
        <v>6045</v>
      </c>
      <c r="J206" s="199">
        <v>33</v>
      </c>
      <c r="K206" s="322">
        <v>183.17999267578125</v>
      </c>
      <c r="L206" s="323">
        <v>27088</v>
      </c>
      <c r="M206" s="199" t="s">
        <v>1206</v>
      </c>
      <c r="N206" s="199" t="s">
        <v>1175</v>
      </c>
    </row>
    <row r="207" spans="1:14">
      <c r="A207" s="321">
        <v>25798</v>
      </c>
      <c r="B207" s="199" t="s">
        <v>927</v>
      </c>
      <c r="C207" s="199" t="s">
        <v>928</v>
      </c>
      <c r="D207" s="199" t="s">
        <v>929</v>
      </c>
      <c r="E207" s="199" t="s">
        <v>48</v>
      </c>
      <c r="F207" s="199" t="s">
        <v>138</v>
      </c>
      <c r="G207" s="199" t="s">
        <v>65</v>
      </c>
      <c r="I207" s="199">
        <v>5510</v>
      </c>
      <c r="J207" s="199">
        <v>32</v>
      </c>
      <c r="K207" s="322">
        <v>172.19000244140625</v>
      </c>
      <c r="L207" s="323">
        <v>26332</v>
      </c>
      <c r="M207" s="199" t="s">
        <v>1093</v>
      </c>
      <c r="N207" s="199" t="s">
        <v>1039</v>
      </c>
    </row>
    <row r="208" spans="1:14">
      <c r="A208" s="321">
        <v>25808</v>
      </c>
      <c r="B208" s="199" t="s">
        <v>2569</v>
      </c>
      <c r="C208" s="199" t="s">
        <v>219</v>
      </c>
      <c r="D208" s="199" t="s">
        <v>452</v>
      </c>
      <c r="E208" s="199" t="s">
        <v>48</v>
      </c>
      <c r="F208" s="199" t="s">
        <v>49</v>
      </c>
      <c r="G208" s="199" t="s">
        <v>44</v>
      </c>
      <c r="I208" s="199">
        <v>3488</v>
      </c>
      <c r="J208" s="199">
        <v>22</v>
      </c>
      <c r="K208" s="322">
        <v>158.55000305175781</v>
      </c>
      <c r="L208" s="323">
        <v>22305</v>
      </c>
      <c r="M208" s="199" t="s">
        <v>1571</v>
      </c>
      <c r="N208" s="199" t="s">
        <v>1359</v>
      </c>
    </row>
    <row r="209" spans="1:14">
      <c r="A209" s="321">
        <v>25821</v>
      </c>
      <c r="B209" s="199" t="s">
        <v>2318</v>
      </c>
      <c r="C209" s="199" t="s">
        <v>309</v>
      </c>
      <c r="D209" s="199" t="s">
        <v>183</v>
      </c>
      <c r="E209" s="199" t="s">
        <v>42</v>
      </c>
      <c r="F209" s="199" t="s">
        <v>51</v>
      </c>
      <c r="I209" s="199">
        <v>1848</v>
      </c>
      <c r="J209" s="199">
        <v>10</v>
      </c>
      <c r="K209" s="322">
        <v>184.80000305175781</v>
      </c>
      <c r="L209" s="323">
        <v>23502</v>
      </c>
      <c r="M209" s="199" t="s">
        <v>1445</v>
      </c>
      <c r="N209" s="199" t="s">
        <v>1359</v>
      </c>
    </row>
    <row r="210" spans="1:14">
      <c r="A210" s="321">
        <v>25830</v>
      </c>
      <c r="B210" s="199" t="s">
        <v>2335</v>
      </c>
      <c r="C210" s="199" t="s">
        <v>1655</v>
      </c>
      <c r="D210" s="199" t="s">
        <v>996</v>
      </c>
      <c r="E210" s="199" t="s">
        <v>42</v>
      </c>
      <c r="F210" s="199" t="s">
        <v>93</v>
      </c>
      <c r="G210" s="199" t="s">
        <v>238</v>
      </c>
      <c r="I210" s="199">
        <v>15501</v>
      </c>
      <c r="J210" s="199">
        <v>75</v>
      </c>
      <c r="K210" s="322">
        <v>206.67999267578125</v>
      </c>
      <c r="L210" s="323">
        <v>37798</v>
      </c>
      <c r="M210" s="199" t="s">
        <v>1593</v>
      </c>
      <c r="N210" s="199" t="s">
        <v>1359</v>
      </c>
    </row>
    <row r="211" spans="1:14">
      <c r="A211" s="321">
        <v>25857</v>
      </c>
      <c r="B211" s="199" t="s">
        <v>1421</v>
      </c>
      <c r="C211" s="199" t="s">
        <v>1215</v>
      </c>
      <c r="D211" s="199" t="s">
        <v>1422</v>
      </c>
      <c r="E211" s="199" t="s">
        <v>48</v>
      </c>
      <c r="F211" s="199" t="s">
        <v>339</v>
      </c>
      <c r="G211" s="199" t="s">
        <v>65</v>
      </c>
      <c r="I211" s="199">
        <v>7820</v>
      </c>
      <c r="J211" s="199">
        <v>45</v>
      </c>
      <c r="K211" s="322">
        <v>173.77999877929688</v>
      </c>
      <c r="L211" s="323">
        <v>37884</v>
      </c>
      <c r="M211" s="199" t="s">
        <v>254</v>
      </c>
      <c r="N211" s="199" t="s">
        <v>1359</v>
      </c>
    </row>
    <row r="212" spans="1:14">
      <c r="A212" s="321">
        <v>25884</v>
      </c>
      <c r="B212" s="199">
        <v>9111431</v>
      </c>
      <c r="C212" s="199" t="s">
        <v>1365</v>
      </c>
      <c r="D212" s="199" t="s">
        <v>205</v>
      </c>
      <c r="E212" s="199" t="s">
        <v>42</v>
      </c>
      <c r="F212" s="199" t="s">
        <v>51</v>
      </c>
      <c r="I212" s="199">
        <v>1693</v>
      </c>
      <c r="J212" s="199">
        <v>10</v>
      </c>
      <c r="K212" s="322">
        <v>169.30000305175781</v>
      </c>
      <c r="L212" s="323">
        <v>22339</v>
      </c>
      <c r="M212" s="199" t="s">
        <v>1358</v>
      </c>
      <c r="N212" s="199" t="s">
        <v>1359</v>
      </c>
    </row>
    <row r="213" spans="1:14">
      <c r="A213" s="321">
        <v>25885</v>
      </c>
      <c r="B213" s="199">
        <v>9111424</v>
      </c>
      <c r="C213" s="199" t="s">
        <v>1365</v>
      </c>
      <c r="D213" s="199" t="s">
        <v>1276</v>
      </c>
      <c r="E213" s="199" t="s">
        <v>48</v>
      </c>
      <c r="F213" s="199" t="s">
        <v>49</v>
      </c>
      <c r="I213" s="199">
        <v>1595</v>
      </c>
      <c r="J213" s="199">
        <v>10</v>
      </c>
      <c r="K213" s="322">
        <v>159.5</v>
      </c>
      <c r="L213" s="323">
        <v>22960</v>
      </c>
      <c r="M213" s="199" t="s">
        <v>1358</v>
      </c>
      <c r="N213" s="199" t="s">
        <v>1359</v>
      </c>
    </row>
    <row r="214" spans="1:14">
      <c r="A214" s="321">
        <v>25906</v>
      </c>
      <c r="B214" s="199" t="s">
        <v>1331</v>
      </c>
      <c r="C214" s="199" t="s">
        <v>1332</v>
      </c>
      <c r="D214" s="199" t="s">
        <v>63</v>
      </c>
      <c r="E214" s="199" t="s">
        <v>42</v>
      </c>
      <c r="F214" s="199" t="s">
        <v>66</v>
      </c>
      <c r="G214" s="199" t="s">
        <v>44</v>
      </c>
      <c r="I214" s="199">
        <v>3161</v>
      </c>
      <c r="J214" s="199">
        <v>18</v>
      </c>
      <c r="K214" s="322">
        <v>175.61000061035156</v>
      </c>
      <c r="L214" s="323">
        <v>27730</v>
      </c>
      <c r="M214" s="199" t="s">
        <v>1463</v>
      </c>
      <c r="N214" s="199" t="s">
        <v>1359</v>
      </c>
    </row>
    <row r="215" spans="1:14">
      <c r="A215" s="321">
        <v>25919</v>
      </c>
      <c r="B215" s="199">
        <v>9111363</v>
      </c>
      <c r="C215" s="199" t="s">
        <v>896</v>
      </c>
      <c r="D215" s="199" t="s">
        <v>897</v>
      </c>
      <c r="E215" s="199" t="s">
        <v>42</v>
      </c>
      <c r="F215" s="199" t="s">
        <v>66</v>
      </c>
      <c r="G215" s="199" t="s">
        <v>44</v>
      </c>
      <c r="I215" s="199">
        <v>6271</v>
      </c>
      <c r="J215" s="199">
        <v>37</v>
      </c>
      <c r="K215" s="322">
        <v>169.49000549316406</v>
      </c>
      <c r="L215" s="323">
        <v>27685</v>
      </c>
      <c r="M215" s="199" t="s">
        <v>894</v>
      </c>
      <c r="N215" s="199" t="s">
        <v>17</v>
      </c>
    </row>
    <row r="216" spans="1:14">
      <c r="A216" s="321">
        <v>25923</v>
      </c>
      <c r="B216" s="199">
        <v>9111365</v>
      </c>
      <c r="C216" s="199" t="s">
        <v>895</v>
      </c>
      <c r="D216" s="199" t="s">
        <v>124</v>
      </c>
      <c r="E216" s="199" t="s">
        <v>42</v>
      </c>
      <c r="F216" s="199" t="s">
        <v>43</v>
      </c>
      <c r="I216" s="199">
        <v>517</v>
      </c>
      <c r="J216" s="199">
        <v>3</v>
      </c>
      <c r="K216" s="322">
        <v>172.33000183105469</v>
      </c>
      <c r="L216" s="323">
        <v>31611</v>
      </c>
      <c r="M216" s="199" t="s">
        <v>894</v>
      </c>
      <c r="N216" s="199" t="s">
        <v>17</v>
      </c>
    </row>
    <row r="217" spans="1:14">
      <c r="A217" s="321">
        <v>25948</v>
      </c>
      <c r="B217" s="199">
        <v>9111781</v>
      </c>
      <c r="C217" s="199" t="s">
        <v>813</v>
      </c>
      <c r="D217" s="199" t="s">
        <v>178</v>
      </c>
      <c r="E217" s="199" t="s">
        <v>42</v>
      </c>
      <c r="F217" s="199" t="s">
        <v>43</v>
      </c>
      <c r="I217" s="199">
        <v>1072</v>
      </c>
      <c r="J217" s="199">
        <v>6</v>
      </c>
      <c r="K217" s="322">
        <v>178.66999816894531</v>
      </c>
      <c r="L217" s="323">
        <v>28553</v>
      </c>
      <c r="M217" s="199" t="s">
        <v>802</v>
      </c>
      <c r="N217" s="199" t="s">
        <v>17</v>
      </c>
    </row>
    <row r="218" spans="1:14">
      <c r="A218" s="321">
        <v>25992</v>
      </c>
      <c r="B218" s="199" t="s">
        <v>1368</v>
      </c>
      <c r="C218" s="199" t="s">
        <v>1369</v>
      </c>
      <c r="D218" s="199" t="s">
        <v>1370</v>
      </c>
      <c r="E218" s="199" t="s">
        <v>48</v>
      </c>
      <c r="F218" s="199" t="s">
        <v>49</v>
      </c>
      <c r="I218" s="199">
        <v>2241</v>
      </c>
      <c r="J218" s="199">
        <v>14</v>
      </c>
      <c r="K218" s="322">
        <v>160.07000732421875</v>
      </c>
      <c r="L218" s="323">
        <v>21950</v>
      </c>
      <c r="M218" s="199" t="s">
        <v>1358</v>
      </c>
      <c r="N218" s="199" t="s">
        <v>1359</v>
      </c>
    </row>
    <row r="219" spans="1:14">
      <c r="A219" s="321">
        <v>25993</v>
      </c>
      <c r="B219" s="199" t="s">
        <v>1371</v>
      </c>
      <c r="C219" s="199" t="s">
        <v>1369</v>
      </c>
      <c r="D219" s="199" t="s">
        <v>116</v>
      </c>
      <c r="E219" s="199" t="s">
        <v>42</v>
      </c>
      <c r="F219" s="199" t="s">
        <v>51</v>
      </c>
      <c r="G219" s="199" t="s">
        <v>65</v>
      </c>
      <c r="I219" s="199">
        <v>4139</v>
      </c>
      <c r="J219" s="199">
        <v>22</v>
      </c>
      <c r="K219" s="322">
        <v>188.13999938964844</v>
      </c>
      <c r="L219" s="323">
        <v>21560</v>
      </c>
      <c r="M219" s="199" t="s">
        <v>1358</v>
      </c>
      <c r="N219" s="199" t="s">
        <v>1359</v>
      </c>
    </row>
    <row r="220" spans="1:14">
      <c r="A220" s="321">
        <v>26157</v>
      </c>
      <c r="B220" s="199" t="s">
        <v>1929</v>
      </c>
      <c r="C220" s="199" t="s">
        <v>1930</v>
      </c>
      <c r="D220" s="199" t="s">
        <v>837</v>
      </c>
      <c r="E220" s="199" t="s">
        <v>42</v>
      </c>
      <c r="F220" s="199" t="s">
        <v>43</v>
      </c>
      <c r="I220" s="199">
        <v>2527</v>
      </c>
      <c r="J220" s="199">
        <v>12</v>
      </c>
      <c r="K220" s="322">
        <v>210.58000183105469</v>
      </c>
      <c r="L220" s="323">
        <v>32361</v>
      </c>
      <c r="M220" s="199" t="s">
        <v>1593</v>
      </c>
      <c r="N220" s="199" t="s">
        <v>1359</v>
      </c>
    </row>
    <row r="221" spans="1:14">
      <c r="A221" s="321">
        <v>29170</v>
      </c>
      <c r="B221" s="199" t="s">
        <v>2393</v>
      </c>
      <c r="C221" s="199" t="s">
        <v>73</v>
      </c>
      <c r="D221" s="199" t="s">
        <v>74</v>
      </c>
      <c r="E221" s="199" t="s">
        <v>42</v>
      </c>
      <c r="F221" s="199" t="s">
        <v>51</v>
      </c>
      <c r="I221" s="199">
        <v>1861</v>
      </c>
      <c r="J221" s="199">
        <v>12</v>
      </c>
      <c r="K221" s="322">
        <v>155.08000183105469</v>
      </c>
      <c r="L221" s="323">
        <v>23048</v>
      </c>
      <c r="M221" s="199" t="s">
        <v>45</v>
      </c>
      <c r="N221" s="199" t="s">
        <v>46</v>
      </c>
    </row>
    <row r="222" spans="1:14">
      <c r="A222" s="321">
        <v>34468</v>
      </c>
      <c r="B222" s="199" t="s">
        <v>1534</v>
      </c>
      <c r="C222" s="199" t="s">
        <v>1535</v>
      </c>
      <c r="D222" s="199" t="s">
        <v>270</v>
      </c>
      <c r="E222" s="199" t="s">
        <v>48</v>
      </c>
      <c r="F222" s="199" t="s">
        <v>78</v>
      </c>
      <c r="I222" s="199">
        <v>1676</v>
      </c>
      <c r="J222" s="199">
        <v>12</v>
      </c>
      <c r="K222" s="322">
        <v>139.66999816894531</v>
      </c>
      <c r="L222" s="323">
        <v>30796</v>
      </c>
      <c r="M222" s="199" t="s">
        <v>1525</v>
      </c>
      <c r="N222" s="199" t="s">
        <v>1912</v>
      </c>
    </row>
    <row r="223" spans="1:14">
      <c r="A223" s="321">
        <v>35141</v>
      </c>
      <c r="B223" s="199" t="s">
        <v>1909</v>
      </c>
      <c r="C223" s="199" t="s">
        <v>1910</v>
      </c>
      <c r="D223" s="199" t="s">
        <v>1911</v>
      </c>
      <c r="E223" s="199" t="s">
        <v>42</v>
      </c>
      <c r="F223" s="199" t="s">
        <v>43</v>
      </c>
      <c r="G223" s="199" t="s">
        <v>238</v>
      </c>
      <c r="I223" s="199">
        <v>8088</v>
      </c>
      <c r="J223" s="199">
        <v>37</v>
      </c>
      <c r="K223" s="322">
        <v>218.58999633789063</v>
      </c>
      <c r="L223" s="323">
        <v>37084</v>
      </c>
      <c r="M223" s="199" t="s">
        <v>1122</v>
      </c>
      <c r="N223" s="199" t="s">
        <v>1039</v>
      </c>
    </row>
    <row r="224" spans="1:14">
      <c r="A224" s="321">
        <v>36237</v>
      </c>
      <c r="B224" s="199" t="s">
        <v>373</v>
      </c>
      <c r="C224" s="199" t="s">
        <v>374</v>
      </c>
      <c r="D224" s="199" t="s">
        <v>375</v>
      </c>
      <c r="E224" s="199" t="s">
        <v>42</v>
      </c>
      <c r="F224" s="199" t="s">
        <v>57</v>
      </c>
      <c r="G224" s="199" t="s">
        <v>50</v>
      </c>
      <c r="I224" s="199">
        <v>2921</v>
      </c>
      <c r="J224" s="199">
        <v>18</v>
      </c>
      <c r="K224" s="322">
        <v>162.27999877929688</v>
      </c>
      <c r="L224" s="323">
        <v>17808</v>
      </c>
      <c r="M224" s="199" t="s">
        <v>342</v>
      </c>
      <c r="N224" s="199" t="s">
        <v>301</v>
      </c>
    </row>
    <row r="225" spans="1:14">
      <c r="A225" s="321">
        <v>36696</v>
      </c>
      <c r="B225" s="199" t="s">
        <v>2203</v>
      </c>
      <c r="C225" s="199" t="s">
        <v>2204</v>
      </c>
      <c r="D225" s="199" t="s">
        <v>2205</v>
      </c>
      <c r="E225" s="199" t="s">
        <v>48</v>
      </c>
      <c r="F225" s="199" t="s">
        <v>78</v>
      </c>
      <c r="I225" s="199">
        <v>994</v>
      </c>
      <c r="J225" s="199">
        <v>6</v>
      </c>
      <c r="K225" s="322">
        <v>165.66999816894531</v>
      </c>
      <c r="L225" s="323">
        <v>35425</v>
      </c>
      <c r="M225" s="199" t="s">
        <v>342</v>
      </c>
      <c r="N225" s="199" t="s">
        <v>301</v>
      </c>
    </row>
    <row r="226" spans="1:14">
      <c r="A226" s="321">
        <v>38005</v>
      </c>
      <c r="B226" s="199" t="s">
        <v>1728</v>
      </c>
      <c r="C226" s="199" t="s">
        <v>1729</v>
      </c>
      <c r="D226" s="199" t="s">
        <v>1730</v>
      </c>
      <c r="E226" s="199" t="s">
        <v>42</v>
      </c>
      <c r="F226" s="199" t="s">
        <v>51</v>
      </c>
      <c r="G226" s="199" t="s">
        <v>44</v>
      </c>
      <c r="I226" s="199">
        <v>3280</v>
      </c>
      <c r="J226" s="199">
        <v>19</v>
      </c>
      <c r="K226" s="322">
        <v>172.6300048828125</v>
      </c>
      <c r="L226" s="323">
        <v>20916</v>
      </c>
      <c r="M226" s="199" t="s">
        <v>1704</v>
      </c>
      <c r="N226" s="199" t="s">
        <v>1705</v>
      </c>
    </row>
    <row r="227" spans="1:14">
      <c r="A227" s="321">
        <v>38033</v>
      </c>
      <c r="B227" s="199" t="s">
        <v>275</v>
      </c>
      <c r="C227" s="199" t="s">
        <v>276</v>
      </c>
      <c r="D227" s="199" t="s">
        <v>98</v>
      </c>
      <c r="E227" s="199" t="s">
        <v>42</v>
      </c>
      <c r="F227" s="199" t="s">
        <v>43</v>
      </c>
      <c r="I227" s="199">
        <v>2818</v>
      </c>
      <c r="J227" s="199">
        <v>15</v>
      </c>
      <c r="K227" s="322">
        <v>187.8699951171875</v>
      </c>
      <c r="L227" s="323">
        <v>35244</v>
      </c>
      <c r="M227" s="199" t="s">
        <v>272</v>
      </c>
      <c r="N227" s="199" t="s">
        <v>273</v>
      </c>
    </row>
    <row r="228" spans="1:14">
      <c r="A228" s="321">
        <v>38034</v>
      </c>
      <c r="B228" s="199" t="s">
        <v>277</v>
      </c>
      <c r="C228" s="199" t="s">
        <v>276</v>
      </c>
      <c r="D228" s="199" t="s">
        <v>63</v>
      </c>
      <c r="E228" s="199" t="s">
        <v>42</v>
      </c>
      <c r="F228" s="199" t="s">
        <v>43</v>
      </c>
      <c r="G228" s="199" t="s">
        <v>179</v>
      </c>
      <c r="I228" s="199">
        <v>4180</v>
      </c>
      <c r="J228" s="199">
        <v>22</v>
      </c>
      <c r="K228" s="322">
        <v>190</v>
      </c>
      <c r="L228" s="323">
        <v>35244</v>
      </c>
      <c r="M228" s="199" t="s">
        <v>272</v>
      </c>
      <c r="N228" s="199" t="s">
        <v>273</v>
      </c>
    </row>
    <row r="229" spans="1:14">
      <c r="A229" s="321">
        <v>38038</v>
      </c>
      <c r="B229" s="199" t="s">
        <v>1057</v>
      </c>
      <c r="C229" s="199" t="s">
        <v>1058</v>
      </c>
      <c r="D229" s="199" t="s">
        <v>116</v>
      </c>
      <c r="E229" s="199" t="s">
        <v>42</v>
      </c>
      <c r="F229" s="199" t="s">
        <v>51</v>
      </c>
      <c r="I229" s="199">
        <v>2285</v>
      </c>
      <c r="J229" s="199">
        <v>12</v>
      </c>
      <c r="K229" s="322">
        <v>190.41999816894531</v>
      </c>
      <c r="L229" s="323">
        <v>23402</v>
      </c>
      <c r="M229" s="199" t="s">
        <v>1038</v>
      </c>
      <c r="N229" s="199" t="s">
        <v>1039</v>
      </c>
    </row>
    <row r="230" spans="1:14">
      <c r="A230" s="321">
        <v>38041</v>
      </c>
      <c r="B230" s="199">
        <v>9019458</v>
      </c>
      <c r="C230" s="199" t="s">
        <v>626</v>
      </c>
      <c r="D230" s="199" t="s">
        <v>252</v>
      </c>
      <c r="E230" s="199" t="s">
        <v>42</v>
      </c>
      <c r="F230" s="199" t="s">
        <v>43</v>
      </c>
      <c r="I230" s="199">
        <v>573</v>
      </c>
      <c r="J230" s="199">
        <v>3</v>
      </c>
      <c r="K230" s="322">
        <v>191</v>
      </c>
      <c r="L230" s="323">
        <v>33836</v>
      </c>
      <c r="M230" s="199" t="s">
        <v>633</v>
      </c>
      <c r="N230" s="199" t="s">
        <v>634</v>
      </c>
    </row>
    <row r="231" spans="1:14">
      <c r="A231" s="321">
        <v>38043</v>
      </c>
      <c r="B231" s="199" t="s">
        <v>606</v>
      </c>
      <c r="C231" s="199" t="s">
        <v>607</v>
      </c>
      <c r="D231" s="199" t="s">
        <v>237</v>
      </c>
      <c r="E231" s="199" t="s">
        <v>42</v>
      </c>
      <c r="F231" s="199" t="s">
        <v>43</v>
      </c>
      <c r="I231" s="199">
        <v>1377</v>
      </c>
      <c r="J231" s="199">
        <v>7</v>
      </c>
      <c r="K231" s="322">
        <v>196.71000671386719</v>
      </c>
      <c r="L231" s="323">
        <v>32877</v>
      </c>
      <c r="M231" s="199" t="s">
        <v>633</v>
      </c>
      <c r="N231" s="199" t="s">
        <v>634</v>
      </c>
    </row>
    <row r="232" spans="1:14">
      <c r="A232" s="321">
        <v>38044</v>
      </c>
      <c r="B232" s="199" t="s">
        <v>853</v>
      </c>
      <c r="C232" s="199" t="s">
        <v>854</v>
      </c>
      <c r="D232" s="199" t="s">
        <v>142</v>
      </c>
      <c r="E232" s="199" t="s">
        <v>42</v>
      </c>
      <c r="F232" s="199" t="s">
        <v>66</v>
      </c>
      <c r="G232" s="199" t="s">
        <v>44</v>
      </c>
      <c r="I232" s="199">
        <v>7318</v>
      </c>
      <c r="J232" s="199">
        <v>43</v>
      </c>
      <c r="K232" s="322">
        <v>170.19000244140625</v>
      </c>
      <c r="L232" s="323">
        <v>25457</v>
      </c>
      <c r="M232" s="199" t="s">
        <v>847</v>
      </c>
      <c r="N232" s="199" t="s">
        <v>17</v>
      </c>
    </row>
    <row r="233" spans="1:14">
      <c r="A233" s="321">
        <v>38045</v>
      </c>
      <c r="B233" s="199" t="s">
        <v>333</v>
      </c>
      <c r="C233" s="199" t="s">
        <v>334</v>
      </c>
      <c r="D233" s="199" t="s">
        <v>335</v>
      </c>
      <c r="E233" s="199" t="s">
        <v>48</v>
      </c>
      <c r="F233" s="199" t="s">
        <v>78</v>
      </c>
      <c r="I233" s="199">
        <v>856</v>
      </c>
      <c r="J233" s="199">
        <v>4</v>
      </c>
      <c r="K233" s="322">
        <v>214</v>
      </c>
      <c r="L233" s="323">
        <v>33704</v>
      </c>
      <c r="M233" s="199" t="s">
        <v>254</v>
      </c>
      <c r="N233" s="199" t="s">
        <v>301</v>
      </c>
    </row>
    <row r="234" spans="1:14">
      <c r="A234" s="321">
        <v>38049</v>
      </c>
      <c r="B234" s="199" t="s">
        <v>1105</v>
      </c>
      <c r="C234" s="199" t="s">
        <v>1106</v>
      </c>
      <c r="D234" s="199" t="s">
        <v>1107</v>
      </c>
      <c r="E234" s="199" t="s">
        <v>48</v>
      </c>
      <c r="F234" s="199" t="s">
        <v>78</v>
      </c>
      <c r="G234" s="199" t="s">
        <v>238</v>
      </c>
      <c r="I234" s="199">
        <v>3839</v>
      </c>
      <c r="J234" s="199">
        <v>19</v>
      </c>
      <c r="K234" s="322">
        <v>202.05000305175781</v>
      </c>
      <c r="L234" s="323">
        <v>37125</v>
      </c>
      <c r="M234" s="199" t="s">
        <v>1108</v>
      </c>
      <c r="N234" s="199" t="s">
        <v>1039</v>
      </c>
    </row>
    <row r="235" spans="1:14">
      <c r="A235" s="321">
        <v>38113</v>
      </c>
      <c r="B235" s="199" t="s">
        <v>1491</v>
      </c>
      <c r="C235" s="199" t="s">
        <v>1492</v>
      </c>
      <c r="D235" s="199" t="s">
        <v>1493</v>
      </c>
      <c r="E235" s="199" t="s">
        <v>42</v>
      </c>
      <c r="F235" s="199" t="s">
        <v>66</v>
      </c>
      <c r="I235" s="199">
        <v>1920</v>
      </c>
      <c r="J235" s="199">
        <v>10</v>
      </c>
      <c r="K235" s="322">
        <v>192</v>
      </c>
      <c r="L235" s="323">
        <v>25679</v>
      </c>
      <c r="M235" s="199" t="s">
        <v>1463</v>
      </c>
      <c r="N235" s="199" t="s">
        <v>1359</v>
      </c>
    </row>
    <row r="236" spans="1:14">
      <c r="A236" s="321">
        <v>38173</v>
      </c>
      <c r="B236" s="199" t="s">
        <v>291</v>
      </c>
      <c r="C236" s="199" t="s">
        <v>292</v>
      </c>
      <c r="D236" s="199" t="s">
        <v>293</v>
      </c>
      <c r="E236" s="199" t="s">
        <v>48</v>
      </c>
      <c r="F236" s="199" t="s">
        <v>78</v>
      </c>
      <c r="G236" s="199" t="s">
        <v>65</v>
      </c>
      <c r="I236" s="199">
        <v>3161</v>
      </c>
      <c r="J236" s="199">
        <v>18</v>
      </c>
      <c r="K236" s="322">
        <v>175.61000061035156</v>
      </c>
      <c r="L236" s="323">
        <v>35019</v>
      </c>
      <c r="M236" s="199" t="s">
        <v>272</v>
      </c>
      <c r="N236" s="199" t="s">
        <v>273</v>
      </c>
    </row>
    <row r="237" spans="1:14">
      <c r="A237" s="321">
        <v>38184</v>
      </c>
      <c r="B237" s="199" t="s">
        <v>354</v>
      </c>
      <c r="C237" s="199" t="s">
        <v>355</v>
      </c>
      <c r="D237" s="199" t="s">
        <v>356</v>
      </c>
      <c r="E237" s="199" t="s">
        <v>42</v>
      </c>
      <c r="F237" s="199" t="s">
        <v>57</v>
      </c>
      <c r="G237" s="199" t="s">
        <v>179</v>
      </c>
      <c r="I237" s="199">
        <v>6304</v>
      </c>
      <c r="J237" s="199">
        <v>33</v>
      </c>
      <c r="K237" s="322">
        <v>191.02999877929688</v>
      </c>
      <c r="L237" s="323">
        <v>19894</v>
      </c>
      <c r="M237" s="199" t="s">
        <v>342</v>
      </c>
      <c r="N237" s="199" t="s">
        <v>301</v>
      </c>
    </row>
    <row r="238" spans="1:14">
      <c r="A238" s="321">
        <v>38186</v>
      </c>
      <c r="B238" s="199" t="s">
        <v>1519</v>
      </c>
      <c r="C238" s="199" t="s">
        <v>1520</v>
      </c>
      <c r="D238" s="199" t="s">
        <v>1521</v>
      </c>
      <c r="E238" s="199" t="s">
        <v>42</v>
      </c>
      <c r="F238" s="199" t="s">
        <v>66</v>
      </c>
      <c r="G238" s="199" t="s">
        <v>44</v>
      </c>
      <c r="I238" s="199">
        <v>2984</v>
      </c>
      <c r="J238" s="199">
        <v>18</v>
      </c>
      <c r="K238" s="322">
        <v>165.77999877929688</v>
      </c>
      <c r="L238" s="323">
        <v>26491</v>
      </c>
      <c r="M238" s="199" t="s">
        <v>1508</v>
      </c>
      <c r="N238" s="199" t="s">
        <v>1359</v>
      </c>
    </row>
    <row r="239" spans="1:14">
      <c r="A239" s="321">
        <v>38188</v>
      </c>
      <c r="B239" s="199" t="s">
        <v>898</v>
      </c>
      <c r="C239" s="199" t="s">
        <v>899</v>
      </c>
      <c r="D239" s="199" t="s">
        <v>900</v>
      </c>
      <c r="E239" s="199" t="s">
        <v>42</v>
      </c>
      <c r="F239" s="199" t="s">
        <v>66</v>
      </c>
      <c r="G239" s="199" t="s">
        <v>65</v>
      </c>
      <c r="I239" s="199">
        <v>7563</v>
      </c>
      <c r="J239" s="199">
        <v>42</v>
      </c>
      <c r="K239" s="322">
        <v>180.07000732421875</v>
      </c>
      <c r="L239" s="323">
        <v>26049</v>
      </c>
      <c r="M239" s="199" t="s">
        <v>894</v>
      </c>
      <c r="N239" s="199" t="s">
        <v>17</v>
      </c>
    </row>
    <row r="240" spans="1:14">
      <c r="A240" s="321">
        <v>38210</v>
      </c>
      <c r="B240" s="199" t="s">
        <v>617</v>
      </c>
      <c r="C240" s="199" t="s">
        <v>618</v>
      </c>
      <c r="D240" s="199" t="s">
        <v>338</v>
      </c>
      <c r="E240" s="199" t="s">
        <v>48</v>
      </c>
      <c r="F240" s="199" t="s">
        <v>78</v>
      </c>
      <c r="I240" s="199">
        <v>1181</v>
      </c>
      <c r="J240" s="199">
        <v>7</v>
      </c>
      <c r="K240" s="322">
        <v>168.71000671386719</v>
      </c>
      <c r="L240" s="323">
        <v>32620</v>
      </c>
      <c r="M240" s="199" t="s">
        <v>847</v>
      </c>
      <c r="N240" s="199" t="s">
        <v>17</v>
      </c>
    </row>
    <row r="241" spans="1:14">
      <c r="A241" s="321">
        <v>38230</v>
      </c>
      <c r="B241" s="199" t="s">
        <v>1434</v>
      </c>
      <c r="C241" s="199" t="s">
        <v>1435</v>
      </c>
      <c r="D241" s="199" t="s">
        <v>1408</v>
      </c>
      <c r="E241" s="199" t="s">
        <v>42</v>
      </c>
      <c r="F241" s="199" t="s">
        <v>93</v>
      </c>
      <c r="G241" s="199" t="s">
        <v>238</v>
      </c>
      <c r="I241" s="199">
        <v>8427</v>
      </c>
      <c r="J241" s="199">
        <v>41</v>
      </c>
      <c r="K241" s="322">
        <v>205.53999328613281</v>
      </c>
      <c r="L241" s="323">
        <v>38276</v>
      </c>
      <c r="M241" s="199" t="s">
        <v>1122</v>
      </c>
      <c r="N241" s="199" t="s">
        <v>1039</v>
      </c>
    </row>
    <row r="242" spans="1:14">
      <c r="A242" s="321">
        <v>38237</v>
      </c>
      <c r="B242" s="199" t="s">
        <v>282</v>
      </c>
      <c r="C242" s="199" t="s">
        <v>130</v>
      </c>
      <c r="D242" s="199" t="s">
        <v>63</v>
      </c>
      <c r="E242" s="199" t="s">
        <v>42</v>
      </c>
      <c r="F242" s="199" t="s">
        <v>43</v>
      </c>
      <c r="I242" s="199">
        <v>2593</v>
      </c>
      <c r="J242" s="199">
        <v>14</v>
      </c>
      <c r="K242" s="322">
        <v>185.21000671386719</v>
      </c>
      <c r="L242" s="323">
        <v>35467</v>
      </c>
      <c r="M242" s="199" t="s">
        <v>272</v>
      </c>
      <c r="N242" s="199" t="s">
        <v>273</v>
      </c>
    </row>
    <row r="243" spans="1:14">
      <c r="A243" s="321">
        <v>38240</v>
      </c>
      <c r="B243" s="199" t="s">
        <v>564</v>
      </c>
      <c r="C243" s="199" t="s">
        <v>565</v>
      </c>
      <c r="D243" s="199" t="s">
        <v>402</v>
      </c>
      <c r="E243" s="199" t="s">
        <v>42</v>
      </c>
      <c r="F243" s="199" t="s">
        <v>43</v>
      </c>
      <c r="I243" s="199">
        <v>2504</v>
      </c>
      <c r="J243" s="199">
        <v>13</v>
      </c>
      <c r="K243" s="322">
        <v>192.6199951171875</v>
      </c>
      <c r="L243" s="323">
        <v>32331</v>
      </c>
      <c r="M243" s="199" t="s">
        <v>560</v>
      </c>
      <c r="N243" s="199" t="s">
        <v>561</v>
      </c>
    </row>
    <row r="244" spans="1:14">
      <c r="A244" s="321">
        <v>38249</v>
      </c>
      <c r="B244" s="199" t="s">
        <v>610</v>
      </c>
      <c r="C244" s="199" t="s">
        <v>611</v>
      </c>
      <c r="D244" s="199" t="s">
        <v>60</v>
      </c>
      <c r="E244" s="199" t="s">
        <v>42</v>
      </c>
      <c r="F244" s="199" t="s">
        <v>43</v>
      </c>
      <c r="I244" s="199">
        <v>1297</v>
      </c>
      <c r="J244" s="199">
        <v>6</v>
      </c>
      <c r="K244" s="322">
        <v>216.16999816894531</v>
      </c>
      <c r="L244" s="323">
        <v>32814</v>
      </c>
      <c r="M244" s="199" t="s">
        <v>633</v>
      </c>
      <c r="N244" s="199" t="s">
        <v>634</v>
      </c>
    </row>
    <row r="245" spans="1:14">
      <c r="A245" s="321">
        <v>38257</v>
      </c>
      <c r="B245" s="199" t="s">
        <v>351</v>
      </c>
      <c r="C245" s="199" t="s">
        <v>352</v>
      </c>
      <c r="D245" s="199" t="s">
        <v>353</v>
      </c>
      <c r="E245" s="199" t="s">
        <v>42</v>
      </c>
      <c r="F245" s="199" t="s">
        <v>66</v>
      </c>
      <c r="G245" s="199" t="s">
        <v>44</v>
      </c>
      <c r="I245" s="199">
        <v>7994</v>
      </c>
      <c r="J245" s="199">
        <v>46</v>
      </c>
      <c r="K245" s="322">
        <v>173.77999877929688</v>
      </c>
      <c r="L245" s="323">
        <v>24544</v>
      </c>
      <c r="M245" s="199" t="s">
        <v>894</v>
      </c>
      <c r="N245" s="199" t="s">
        <v>17</v>
      </c>
    </row>
    <row r="246" spans="1:14">
      <c r="A246" s="321">
        <v>38258</v>
      </c>
      <c r="B246" s="199" t="s">
        <v>1092</v>
      </c>
      <c r="C246" s="199" t="s">
        <v>352</v>
      </c>
      <c r="D246" s="199" t="s">
        <v>689</v>
      </c>
      <c r="E246" s="199" t="s">
        <v>48</v>
      </c>
      <c r="F246" s="199" t="s">
        <v>138</v>
      </c>
      <c r="G246" s="199" t="s">
        <v>44</v>
      </c>
      <c r="I246" s="199">
        <v>9079</v>
      </c>
      <c r="J246" s="199">
        <v>55</v>
      </c>
      <c r="K246" s="322">
        <v>165.07000732421875</v>
      </c>
      <c r="L246" s="323">
        <v>24735</v>
      </c>
      <c r="M246" s="199" t="s">
        <v>1093</v>
      </c>
      <c r="N246" s="199" t="s">
        <v>1039</v>
      </c>
    </row>
    <row r="247" spans="1:14">
      <c r="A247" s="321">
        <v>38270</v>
      </c>
      <c r="B247" s="199" t="s">
        <v>608</v>
      </c>
      <c r="C247" s="199" t="s">
        <v>609</v>
      </c>
      <c r="D247" s="199" t="s">
        <v>131</v>
      </c>
      <c r="E247" s="199" t="s">
        <v>42</v>
      </c>
      <c r="F247" s="199" t="s">
        <v>43</v>
      </c>
      <c r="I247" s="199">
        <v>1260</v>
      </c>
      <c r="J247" s="199">
        <v>7</v>
      </c>
      <c r="K247" s="322">
        <v>180</v>
      </c>
      <c r="L247" s="323">
        <v>35648</v>
      </c>
      <c r="M247" s="199" t="s">
        <v>272</v>
      </c>
      <c r="N247" s="199" t="s">
        <v>273</v>
      </c>
    </row>
    <row r="248" spans="1:14">
      <c r="A248" s="321">
        <v>38299</v>
      </c>
      <c r="B248" s="199" t="s">
        <v>889</v>
      </c>
      <c r="C248" s="199" t="s">
        <v>890</v>
      </c>
      <c r="D248" s="199" t="s">
        <v>689</v>
      </c>
      <c r="E248" s="199" t="s">
        <v>48</v>
      </c>
      <c r="F248" s="199" t="s">
        <v>78</v>
      </c>
      <c r="G248" s="199" t="s">
        <v>238</v>
      </c>
      <c r="I248" s="199">
        <v>4301</v>
      </c>
      <c r="J248" s="199">
        <v>22</v>
      </c>
      <c r="K248" s="322">
        <v>195.5</v>
      </c>
      <c r="L248" s="323">
        <v>32037</v>
      </c>
      <c r="M248" s="199" t="s">
        <v>894</v>
      </c>
      <c r="N248" s="199" t="s">
        <v>17</v>
      </c>
    </row>
    <row r="249" spans="1:14">
      <c r="A249" s="321">
        <v>38305</v>
      </c>
      <c r="B249" s="199" t="s">
        <v>979</v>
      </c>
      <c r="C249" s="199" t="s">
        <v>980</v>
      </c>
      <c r="D249" s="199" t="s">
        <v>98</v>
      </c>
      <c r="E249" s="199" t="s">
        <v>42</v>
      </c>
      <c r="F249" s="199" t="s">
        <v>43</v>
      </c>
      <c r="G249" s="199" t="s">
        <v>44</v>
      </c>
      <c r="I249" s="199">
        <v>7052</v>
      </c>
      <c r="J249" s="199">
        <v>40</v>
      </c>
      <c r="K249" s="322">
        <v>176.30000305175781</v>
      </c>
      <c r="L249" s="323">
        <v>37341</v>
      </c>
      <c r="M249" s="199" t="s">
        <v>967</v>
      </c>
      <c r="N249" s="199" t="s">
        <v>968</v>
      </c>
    </row>
    <row r="250" spans="1:14">
      <c r="A250" s="321">
        <v>38327</v>
      </c>
      <c r="B250" s="199" t="s">
        <v>1616</v>
      </c>
      <c r="C250" s="199" t="s">
        <v>1333</v>
      </c>
      <c r="D250" s="199" t="s">
        <v>996</v>
      </c>
      <c r="E250" s="199" t="s">
        <v>42</v>
      </c>
      <c r="F250" s="199" t="s">
        <v>359</v>
      </c>
      <c r="G250" s="199" t="s">
        <v>238</v>
      </c>
      <c r="I250" s="199">
        <v>5260</v>
      </c>
      <c r="J250" s="199">
        <v>26</v>
      </c>
      <c r="K250" s="322">
        <v>202.30999755859375</v>
      </c>
      <c r="L250" s="323">
        <v>39643</v>
      </c>
      <c r="M250" s="199" t="s">
        <v>1593</v>
      </c>
      <c r="N250" s="199" t="s">
        <v>1359</v>
      </c>
    </row>
    <row r="251" spans="1:14">
      <c r="A251" s="321">
        <v>38334</v>
      </c>
      <c r="B251" s="199" t="s">
        <v>1622</v>
      </c>
      <c r="C251" s="199" t="s">
        <v>1623</v>
      </c>
      <c r="D251" s="199" t="s">
        <v>87</v>
      </c>
      <c r="E251" s="199" t="s">
        <v>42</v>
      </c>
      <c r="F251" s="199" t="s">
        <v>359</v>
      </c>
      <c r="G251" s="199" t="s">
        <v>44</v>
      </c>
      <c r="I251" s="199">
        <v>3909</v>
      </c>
      <c r="J251" s="199">
        <v>22</v>
      </c>
      <c r="K251" s="322">
        <v>177.67999267578125</v>
      </c>
      <c r="L251" s="323">
        <v>40070</v>
      </c>
      <c r="M251" s="199" t="s">
        <v>1593</v>
      </c>
      <c r="N251" s="199" t="s">
        <v>1359</v>
      </c>
    </row>
    <row r="252" spans="1:14">
      <c r="A252" s="321">
        <v>38349</v>
      </c>
      <c r="B252" s="199" t="s">
        <v>1627</v>
      </c>
      <c r="C252" s="199" t="s">
        <v>1628</v>
      </c>
      <c r="D252" s="199" t="s">
        <v>1629</v>
      </c>
      <c r="E252" s="199" t="s">
        <v>42</v>
      </c>
      <c r="F252" s="199" t="s">
        <v>359</v>
      </c>
      <c r="G252" s="199" t="s">
        <v>179</v>
      </c>
      <c r="I252" s="199">
        <v>7357</v>
      </c>
      <c r="J252" s="199">
        <v>38</v>
      </c>
      <c r="K252" s="322">
        <v>193.61000061035156</v>
      </c>
      <c r="L252" s="323">
        <v>39911</v>
      </c>
      <c r="M252" s="199" t="s">
        <v>1206</v>
      </c>
      <c r="N252" s="199" t="s">
        <v>1175</v>
      </c>
    </row>
    <row r="253" spans="1:14">
      <c r="A253" s="321">
        <v>38350</v>
      </c>
      <c r="B253" s="199" t="s">
        <v>1641</v>
      </c>
      <c r="C253" s="199" t="s">
        <v>1642</v>
      </c>
      <c r="D253" s="199" t="s">
        <v>430</v>
      </c>
      <c r="E253" s="199" t="s">
        <v>48</v>
      </c>
      <c r="F253" s="199" t="s">
        <v>339</v>
      </c>
      <c r="I253" s="199">
        <v>2700</v>
      </c>
      <c r="J253" s="199">
        <v>16</v>
      </c>
      <c r="K253" s="322">
        <v>168.75</v>
      </c>
      <c r="L253" s="323">
        <v>38766</v>
      </c>
      <c r="M253" s="199" t="s">
        <v>1593</v>
      </c>
      <c r="N253" s="199" t="s">
        <v>1359</v>
      </c>
    </row>
    <row r="254" spans="1:14">
      <c r="A254" s="321">
        <v>38365</v>
      </c>
      <c r="B254" s="199" t="s">
        <v>863</v>
      </c>
      <c r="C254" s="199" t="s">
        <v>864</v>
      </c>
      <c r="D254" s="199" t="s">
        <v>632</v>
      </c>
      <c r="E254" s="199" t="s">
        <v>42</v>
      </c>
      <c r="F254" s="199" t="s">
        <v>66</v>
      </c>
      <c r="G254" s="199" t="s">
        <v>65</v>
      </c>
      <c r="I254" s="199">
        <v>9153</v>
      </c>
      <c r="J254" s="199">
        <v>49</v>
      </c>
      <c r="K254" s="322">
        <v>186.80000305175781</v>
      </c>
      <c r="L254" s="323">
        <v>25201</v>
      </c>
      <c r="M254" s="199" t="s">
        <v>847</v>
      </c>
      <c r="N254" s="199" t="s">
        <v>17</v>
      </c>
    </row>
    <row r="255" spans="1:14">
      <c r="A255" s="321">
        <v>38377</v>
      </c>
      <c r="B255" s="199" t="s">
        <v>403</v>
      </c>
      <c r="C255" s="199" t="s">
        <v>404</v>
      </c>
      <c r="D255" s="199" t="s">
        <v>253</v>
      </c>
      <c r="E255" s="199" t="s">
        <v>48</v>
      </c>
      <c r="F255" s="199" t="s">
        <v>49</v>
      </c>
      <c r="G255" s="199" t="s">
        <v>50</v>
      </c>
      <c r="I255" s="199">
        <v>3982</v>
      </c>
      <c r="J255" s="199">
        <v>27</v>
      </c>
      <c r="K255" s="322">
        <v>147.47999572753906</v>
      </c>
      <c r="L255" s="323">
        <v>24112</v>
      </c>
      <c r="M255" s="199" t="s">
        <v>342</v>
      </c>
      <c r="N255" s="199" t="s">
        <v>301</v>
      </c>
    </row>
    <row r="256" spans="1:14">
      <c r="A256" s="321">
        <v>38395</v>
      </c>
      <c r="B256" s="199" t="s">
        <v>1240</v>
      </c>
      <c r="C256" s="199" t="s">
        <v>1241</v>
      </c>
      <c r="D256" s="199" t="s">
        <v>252</v>
      </c>
      <c r="E256" s="199" t="s">
        <v>42</v>
      </c>
      <c r="F256" s="199" t="s">
        <v>51</v>
      </c>
      <c r="I256" s="199">
        <v>2013</v>
      </c>
      <c r="J256" s="199">
        <v>12</v>
      </c>
      <c r="K256" s="322">
        <v>167.75</v>
      </c>
      <c r="L256" s="323">
        <v>23132</v>
      </c>
      <c r="M256" s="199" t="s">
        <v>1525</v>
      </c>
      <c r="N256" s="199" t="s">
        <v>1912</v>
      </c>
    </row>
    <row r="257" spans="1:14">
      <c r="A257" s="321">
        <v>38396</v>
      </c>
      <c r="B257" s="199" t="s">
        <v>1722</v>
      </c>
      <c r="C257" s="199" t="s">
        <v>1029</v>
      </c>
      <c r="D257" s="199" t="s">
        <v>667</v>
      </c>
      <c r="E257" s="199" t="s">
        <v>42</v>
      </c>
      <c r="F257" s="199" t="s">
        <v>359</v>
      </c>
      <c r="G257" s="199" t="s">
        <v>65</v>
      </c>
      <c r="I257" s="199">
        <v>8352</v>
      </c>
      <c r="J257" s="199">
        <v>45</v>
      </c>
      <c r="K257" s="322">
        <v>185.60000610351563</v>
      </c>
      <c r="L257" s="323">
        <v>40030</v>
      </c>
      <c r="M257" s="199" t="s">
        <v>1704</v>
      </c>
      <c r="N257" s="199" t="s">
        <v>1705</v>
      </c>
    </row>
    <row r="258" spans="1:14">
      <c r="A258" s="321">
        <v>38417</v>
      </c>
      <c r="B258" s="199" t="s">
        <v>1377</v>
      </c>
      <c r="C258" s="199" t="s">
        <v>1378</v>
      </c>
      <c r="D258" s="199" t="s">
        <v>1379</v>
      </c>
      <c r="E258" s="199" t="s">
        <v>42</v>
      </c>
      <c r="F258" s="199" t="s">
        <v>51</v>
      </c>
      <c r="I258" s="199">
        <v>1577</v>
      </c>
      <c r="J258" s="199">
        <v>10</v>
      </c>
      <c r="K258" s="322">
        <v>157.69999694824219</v>
      </c>
      <c r="L258" s="323">
        <v>23418</v>
      </c>
      <c r="M258" s="199" t="s">
        <v>1358</v>
      </c>
      <c r="N258" s="199" t="s">
        <v>1359</v>
      </c>
    </row>
    <row r="259" spans="1:14">
      <c r="A259" s="321">
        <v>38418</v>
      </c>
      <c r="B259" s="199" t="s">
        <v>1084</v>
      </c>
      <c r="C259" s="199" t="s">
        <v>1085</v>
      </c>
      <c r="D259" s="199" t="s">
        <v>1086</v>
      </c>
      <c r="E259" s="199" t="s">
        <v>42</v>
      </c>
      <c r="F259" s="199" t="s">
        <v>51</v>
      </c>
      <c r="I259" s="199">
        <v>1122</v>
      </c>
      <c r="J259" s="199">
        <v>6</v>
      </c>
      <c r="K259" s="322">
        <v>187</v>
      </c>
      <c r="L259" s="323">
        <v>22703</v>
      </c>
      <c r="M259" s="199" t="s">
        <v>1069</v>
      </c>
      <c r="N259" s="199" t="s">
        <v>1039</v>
      </c>
    </row>
    <row r="260" spans="1:14">
      <c r="A260" s="321">
        <v>38438</v>
      </c>
      <c r="B260" s="199" t="s">
        <v>1607</v>
      </c>
      <c r="C260" s="199" t="s">
        <v>1608</v>
      </c>
      <c r="D260" s="199" t="s">
        <v>1609</v>
      </c>
      <c r="E260" s="199" t="s">
        <v>48</v>
      </c>
      <c r="F260" s="199" t="s">
        <v>1121</v>
      </c>
      <c r="G260" s="199" t="s">
        <v>238</v>
      </c>
      <c r="I260" s="199">
        <v>5008</v>
      </c>
      <c r="J260" s="199">
        <v>26</v>
      </c>
      <c r="K260" s="322">
        <v>192.6199951171875</v>
      </c>
      <c r="L260" s="323">
        <v>39330</v>
      </c>
      <c r="M260" s="199" t="s">
        <v>1593</v>
      </c>
      <c r="N260" s="199" t="s">
        <v>1359</v>
      </c>
    </row>
    <row r="261" spans="1:14">
      <c r="A261" s="321">
        <v>38459</v>
      </c>
      <c r="B261" s="199" t="s">
        <v>1570</v>
      </c>
      <c r="C261" s="199" t="s">
        <v>743</v>
      </c>
      <c r="D261" s="199" t="s">
        <v>178</v>
      </c>
      <c r="E261" s="199" t="s">
        <v>42</v>
      </c>
      <c r="F261" s="199" t="s">
        <v>66</v>
      </c>
      <c r="G261" s="199" t="s">
        <v>238</v>
      </c>
      <c r="I261" s="199">
        <v>11255</v>
      </c>
      <c r="J261" s="199">
        <v>55</v>
      </c>
      <c r="K261" s="322">
        <v>204.63999938964844</v>
      </c>
      <c r="L261" s="323">
        <v>24587</v>
      </c>
      <c r="M261" s="199" t="s">
        <v>1571</v>
      </c>
      <c r="N261" s="199" t="s">
        <v>1359</v>
      </c>
    </row>
    <row r="262" spans="1:14">
      <c r="A262" s="321">
        <v>38467</v>
      </c>
      <c r="B262" s="199" t="s">
        <v>602</v>
      </c>
      <c r="C262" s="199" t="s">
        <v>198</v>
      </c>
      <c r="D262" s="199" t="s">
        <v>603</v>
      </c>
      <c r="E262" s="199" t="s">
        <v>42</v>
      </c>
      <c r="F262" s="199" t="s">
        <v>43</v>
      </c>
      <c r="I262" s="199">
        <v>1328</v>
      </c>
      <c r="J262" s="199">
        <v>7</v>
      </c>
      <c r="K262" s="322">
        <v>189.71000671386719</v>
      </c>
      <c r="L262" s="323">
        <v>35977</v>
      </c>
      <c r="M262" s="199" t="s">
        <v>560</v>
      </c>
      <c r="N262" s="199" t="s">
        <v>561</v>
      </c>
    </row>
    <row r="263" spans="1:14">
      <c r="A263" s="321">
        <v>38509</v>
      </c>
      <c r="B263" s="199" t="s">
        <v>733</v>
      </c>
      <c r="C263" s="199" t="s">
        <v>734</v>
      </c>
      <c r="D263" s="199" t="s">
        <v>735</v>
      </c>
      <c r="E263" s="199" t="s">
        <v>42</v>
      </c>
      <c r="F263" s="199" t="s">
        <v>66</v>
      </c>
      <c r="I263" s="199">
        <v>1842</v>
      </c>
      <c r="J263" s="199">
        <v>12</v>
      </c>
      <c r="K263" s="322">
        <v>153.5</v>
      </c>
      <c r="L263" s="323">
        <v>27231</v>
      </c>
      <c r="M263" s="199" t="s">
        <v>701</v>
      </c>
      <c r="N263" s="199" t="s">
        <v>677</v>
      </c>
    </row>
    <row r="264" spans="1:14">
      <c r="A264" s="321">
        <v>38513</v>
      </c>
      <c r="B264" s="199" t="s">
        <v>428</v>
      </c>
      <c r="C264" s="199" t="s">
        <v>429</v>
      </c>
      <c r="D264" s="199" t="s">
        <v>430</v>
      </c>
      <c r="E264" s="199" t="s">
        <v>48</v>
      </c>
      <c r="F264" s="199" t="s">
        <v>78</v>
      </c>
      <c r="I264" s="199">
        <v>1128</v>
      </c>
      <c r="J264" s="199">
        <v>7</v>
      </c>
      <c r="K264" s="322">
        <v>161.13999938964844</v>
      </c>
      <c r="L264" s="323">
        <v>32023</v>
      </c>
      <c r="M264" s="199" t="s">
        <v>342</v>
      </c>
      <c r="N264" s="199" t="s">
        <v>301</v>
      </c>
    </row>
    <row r="265" spans="1:14">
      <c r="A265" s="321">
        <v>38516</v>
      </c>
      <c r="B265" s="199" t="s">
        <v>1381</v>
      </c>
      <c r="C265" s="199" t="s">
        <v>1382</v>
      </c>
      <c r="D265" s="199" t="s">
        <v>314</v>
      </c>
      <c r="E265" s="199" t="s">
        <v>42</v>
      </c>
      <c r="F265" s="199" t="s">
        <v>51</v>
      </c>
      <c r="I265" s="199">
        <v>1660</v>
      </c>
      <c r="J265" s="199">
        <v>10</v>
      </c>
      <c r="K265" s="322">
        <v>166</v>
      </c>
      <c r="L265" s="323">
        <v>23598</v>
      </c>
      <c r="M265" s="199" t="s">
        <v>1358</v>
      </c>
      <c r="N265" s="199" t="s">
        <v>1359</v>
      </c>
    </row>
    <row r="266" spans="1:14">
      <c r="A266" s="321">
        <v>38538</v>
      </c>
      <c r="B266" s="199" t="s">
        <v>1650</v>
      </c>
      <c r="C266" s="199" t="s">
        <v>198</v>
      </c>
      <c r="D266" s="199" t="s">
        <v>1422</v>
      </c>
      <c r="E266" s="199" t="s">
        <v>48</v>
      </c>
      <c r="F266" s="199" t="s">
        <v>78</v>
      </c>
      <c r="I266" s="199">
        <v>2261</v>
      </c>
      <c r="J266" s="199">
        <v>13</v>
      </c>
      <c r="K266" s="322">
        <v>173.91999816894531</v>
      </c>
      <c r="L266" s="323">
        <v>28798</v>
      </c>
      <c r="M266" s="199" t="s">
        <v>254</v>
      </c>
      <c r="N266" s="199" t="s">
        <v>1359</v>
      </c>
    </row>
    <row r="267" spans="1:14">
      <c r="A267" s="321">
        <v>38541</v>
      </c>
      <c r="B267" s="199" t="s">
        <v>970</v>
      </c>
      <c r="C267" s="199" t="s">
        <v>971</v>
      </c>
      <c r="D267" s="199" t="s">
        <v>124</v>
      </c>
      <c r="E267" s="199" t="s">
        <v>42</v>
      </c>
      <c r="F267" s="199" t="s">
        <v>93</v>
      </c>
      <c r="I267" s="199">
        <v>3038</v>
      </c>
      <c r="J267" s="199">
        <v>16</v>
      </c>
      <c r="K267" s="322">
        <v>189.8800048828125</v>
      </c>
      <c r="L267" s="323">
        <v>38940</v>
      </c>
      <c r="M267" s="199" t="s">
        <v>967</v>
      </c>
      <c r="N267" s="199" t="s">
        <v>968</v>
      </c>
    </row>
    <row r="268" spans="1:14">
      <c r="A268" s="321">
        <v>38544</v>
      </c>
      <c r="B268" s="199" t="s">
        <v>376</v>
      </c>
      <c r="C268" s="199" t="s">
        <v>377</v>
      </c>
      <c r="D268" s="199" t="s">
        <v>378</v>
      </c>
      <c r="E268" s="199" t="s">
        <v>42</v>
      </c>
      <c r="F268" s="199" t="s">
        <v>359</v>
      </c>
      <c r="G268" s="199" t="s">
        <v>44</v>
      </c>
      <c r="I268" s="199">
        <v>4922</v>
      </c>
      <c r="J268" s="199">
        <v>29</v>
      </c>
      <c r="K268" s="322">
        <v>169.72000122070313</v>
      </c>
      <c r="L268" s="323">
        <v>40724</v>
      </c>
      <c r="M268" s="199" t="s">
        <v>1704</v>
      </c>
      <c r="N268" s="199" t="s">
        <v>1705</v>
      </c>
    </row>
    <row r="269" spans="1:14">
      <c r="A269" s="321">
        <v>38545</v>
      </c>
      <c r="B269" s="199" t="s">
        <v>671</v>
      </c>
      <c r="C269" s="199" t="s">
        <v>170</v>
      </c>
      <c r="D269" s="199" t="s">
        <v>190</v>
      </c>
      <c r="E269" s="199" t="s">
        <v>42</v>
      </c>
      <c r="F269" s="199" t="s">
        <v>359</v>
      </c>
      <c r="G269" s="199" t="s">
        <v>44</v>
      </c>
      <c r="I269" s="199">
        <v>6809</v>
      </c>
      <c r="J269" s="199">
        <v>39</v>
      </c>
      <c r="K269" s="322">
        <v>174.58999633789063</v>
      </c>
      <c r="L269" s="323">
        <v>40008</v>
      </c>
      <c r="M269" s="199" t="s">
        <v>1704</v>
      </c>
      <c r="N269" s="199" t="s">
        <v>1705</v>
      </c>
    </row>
    <row r="270" spans="1:14">
      <c r="A270" s="321">
        <v>38549</v>
      </c>
      <c r="B270" s="199" t="s">
        <v>845</v>
      </c>
      <c r="C270" s="199" t="s">
        <v>846</v>
      </c>
      <c r="D270" s="199" t="s">
        <v>96</v>
      </c>
      <c r="E270" s="199" t="s">
        <v>42</v>
      </c>
      <c r="F270" s="199" t="s">
        <v>51</v>
      </c>
      <c r="G270" s="199" t="s">
        <v>65</v>
      </c>
      <c r="I270" s="199">
        <v>11390</v>
      </c>
      <c r="J270" s="199">
        <v>61</v>
      </c>
      <c r="K270" s="322">
        <v>186.72000122070313</v>
      </c>
      <c r="L270" s="323">
        <v>22786</v>
      </c>
      <c r="M270" s="199" t="s">
        <v>2490</v>
      </c>
      <c r="N270" s="199" t="s">
        <v>17</v>
      </c>
    </row>
    <row r="271" spans="1:14">
      <c r="A271" s="321">
        <v>38553</v>
      </c>
      <c r="B271" s="199" t="s">
        <v>1617</v>
      </c>
      <c r="C271" s="199" t="s">
        <v>1335</v>
      </c>
      <c r="D271" s="199" t="s">
        <v>1113</v>
      </c>
      <c r="E271" s="199" t="s">
        <v>48</v>
      </c>
      <c r="F271" s="199" t="s">
        <v>1121</v>
      </c>
      <c r="G271" s="199" t="s">
        <v>179</v>
      </c>
      <c r="I271" s="199">
        <v>9006</v>
      </c>
      <c r="J271" s="199">
        <v>48</v>
      </c>
      <c r="K271" s="322">
        <v>187.6300048828125</v>
      </c>
      <c r="L271" s="323">
        <v>39617</v>
      </c>
      <c r="M271" s="199" t="s">
        <v>1593</v>
      </c>
      <c r="N271" s="199" t="s">
        <v>1359</v>
      </c>
    </row>
    <row r="272" spans="1:14">
      <c r="A272" s="321">
        <v>38554</v>
      </c>
      <c r="B272" s="199" t="s">
        <v>882</v>
      </c>
      <c r="C272" s="199" t="s">
        <v>883</v>
      </c>
      <c r="D272" s="199" t="s">
        <v>86</v>
      </c>
      <c r="E272" s="199" t="s">
        <v>42</v>
      </c>
      <c r="F272" s="199" t="s">
        <v>51</v>
      </c>
      <c r="G272" s="199" t="s">
        <v>65</v>
      </c>
      <c r="I272" s="199">
        <v>3418</v>
      </c>
      <c r="J272" s="199">
        <v>18</v>
      </c>
      <c r="K272" s="322">
        <v>189.88999938964844</v>
      </c>
      <c r="L272" s="323">
        <v>24101</v>
      </c>
      <c r="M272" s="199" t="s">
        <v>847</v>
      </c>
      <c r="N272" s="199" t="s">
        <v>17</v>
      </c>
    </row>
    <row r="273" spans="1:14">
      <c r="A273" s="321">
        <v>38560</v>
      </c>
      <c r="B273" s="199" t="s">
        <v>906</v>
      </c>
      <c r="C273" s="199" t="s">
        <v>907</v>
      </c>
      <c r="D273" s="199" t="s">
        <v>908</v>
      </c>
      <c r="E273" s="199" t="s">
        <v>48</v>
      </c>
      <c r="F273" s="199" t="s">
        <v>78</v>
      </c>
      <c r="G273" s="199" t="s">
        <v>65</v>
      </c>
      <c r="I273" s="199">
        <v>9537</v>
      </c>
      <c r="J273" s="199">
        <v>55</v>
      </c>
      <c r="K273" s="322">
        <v>173.39999389648438</v>
      </c>
      <c r="L273" s="323">
        <v>32140</v>
      </c>
      <c r="M273" s="199" t="s">
        <v>217</v>
      </c>
      <c r="N273" s="199" t="s">
        <v>203</v>
      </c>
    </row>
    <row r="274" spans="1:14">
      <c r="A274" s="321">
        <v>38575</v>
      </c>
      <c r="B274" s="199" t="s">
        <v>736</v>
      </c>
      <c r="C274" s="199" t="s">
        <v>737</v>
      </c>
      <c r="D274" s="199" t="s">
        <v>738</v>
      </c>
      <c r="E274" s="199" t="s">
        <v>42</v>
      </c>
      <c r="F274" s="199" t="s">
        <v>43</v>
      </c>
      <c r="I274" s="199">
        <v>876</v>
      </c>
      <c r="J274" s="199">
        <v>6</v>
      </c>
      <c r="K274" s="322">
        <v>146</v>
      </c>
      <c r="L274" s="323">
        <v>28997</v>
      </c>
      <c r="M274" s="199" t="s">
        <v>739</v>
      </c>
      <c r="N274" s="199" t="s">
        <v>740</v>
      </c>
    </row>
    <row r="275" spans="1:14">
      <c r="A275" s="321">
        <v>38616</v>
      </c>
      <c r="B275" s="199" t="s">
        <v>384</v>
      </c>
      <c r="C275" s="199" t="s">
        <v>385</v>
      </c>
      <c r="D275" s="199" t="s">
        <v>386</v>
      </c>
      <c r="E275" s="199" t="s">
        <v>42</v>
      </c>
      <c r="F275" s="199" t="s">
        <v>51</v>
      </c>
      <c r="G275" s="199" t="s">
        <v>179</v>
      </c>
      <c r="I275" s="199">
        <v>6955</v>
      </c>
      <c r="J275" s="199">
        <v>36</v>
      </c>
      <c r="K275" s="322">
        <v>193.19000244140625</v>
      </c>
      <c r="L275" s="323">
        <v>22181</v>
      </c>
      <c r="M275" s="199" t="s">
        <v>342</v>
      </c>
      <c r="N275" s="199" t="s">
        <v>301</v>
      </c>
    </row>
    <row r="276" spans="1:14">
      <c r="A276" s="321">
        <v>38626</v>
      </c>
      <c r="B276" s="199" t="s">
        <v>1676</v>
      </c>
      <c r="C276" s="199" t="s">
        <v>1677</v>
      </c>
      <c r="D276" s="199" t="s">
        <v>124</v>
      </c>
      <c r="E276" s="199" t="s">
        <v>42</v>
      </c>
      <c r="F276" s="199" t="s">
        <v>359</v>
      </c>
      <c r="G276" s="199" t="s">
        <v>179</v>
      </c>
      <c r="I276" s="199">
        <v>3860</v>
      </c>
      <c r="J276" s="199">
        <v>20</v>
      </c>
      <c r="K276" s="322">
        <v>193</v>
      </c>
      <c r="L276" s="323">
        <v>39956</v>
      </c>
      <c r="M276" s="199" t="s">
        <v>1593</v>
      </c>
      <c r="N276" s="199" t="s">
        <v>1359</v>
      </c>
    </row>
    <row r="277" spans="1:14">
      <c r="A277" s="321">
        <v>38640</v>
      </c>
      <c r="B277" s="199" t="s">
        <v>880</v>
      </c>
      <c r="C277" s="199" t="s">
        <v>881</v>
      </c>
      <c r="D277" s="199" t="s">
        <v>56</v>
      </c>
      <c r="E277" s="199" t="s">
        <v>42</v>
      </c>
      <c r="F277" s="199" t="s">
        <v>51</v>
      </c>
      <c r="G277" s="199" t="s">
        <v>44</v>
      </c>
      <c r="I277" s="199">
        <v>4052</v>
      </c>
      <c r="J277" s="199">
        <v>24</v>
      </c>
      <c r="K277" s="322">
        <v>168.83000183105469</v>
      </c>
      <c r="L277" s="323">
        <v>21994</v>
      </c>
      <c r="M277" s="199" t="s">
        <v>847</v>
      </c>
      <c r="N277" s="199" t="s">
        <v>17</v>
      </c>
    </row>
    <row r="278" spans="1:14">
      <c r="A278" s="321">
        <v>38650</v>
      </c>
      <c r="B278" s="199" t="s">
        <v>1574</v>
      </c>
      <c r="C278" s="199" t="s">
        <v>1575</v>
      </c>
      <c r="D278" s="199" t="s">
        <v>142</v>
      </c>
      <c r="E278" s="199" t="s">
        <v>42</v>
      </c>
      <c r="F278" s="199" t="s">
        <v>66</v>
      </c>
      <c r="G278" s="199" t="s">
        <v>44</v>
      </c>
      <c r="I278" s="199">
        <v>3786</v>
      </c>
      <c r="J278" s="199">
        <v>22</v>
      </c>
      <c r="K278" s="322">
        <v>172.08999633789063</v>
      </c>
      <c r="L278" s="323">
        <v>26486</v>
      </c>
      <c r="M278" s="199" t="s">
        <v>1571</v>
      </c>
      <c r="N278" s="199" t="s">
        <v>1359</v>
      </c>
    </row>
    <row r="279" spans="1:14">
      <c r="A279" s="321">
        <v>38655</v>
      </c>
      <c r="B279" s="199" t="s">
        <v>1651</v>
      </c>
      <c r="C279" s="199" t="s">
        <v>1652</v>
      </c>
      <c r="D279" s="199" t="s">
        <v>1653</v>
      </c>
      <c r="E279" s="199" t="s">
        <v>42</v>
      </c>
      <c r="F279" s="199" t="s">
        <v>359</v>
      </c>
      <c r="G279" s="199" t="s">
        <v>179</v>
      </c>
      <c r="I279" s="199">
        <v>8004</v>
      </c>
      <c r="J279" s="199">
        <v>42</v>
      </c>
      <c r="K279" s="322">
        <v>190.57000732421875</v>
      </c>
      <c r="L279" s="323">
        <v>40353</v>
      </c>
      <c r="M279" s="199" t="s">
        <v>1593</v>
      </c>
      <c r="N279" s="199" t="s">
        <v>1359</v>
      </c>
    </row>
    <row r="280" spans="1:14">
      <c r="A280" s="321">
        <v>38659</v>
      </c>
      <c r="B280" s="199" t="s">
        <v>1668</v>
      </c>
      <c r="C280" s="199" t="s">
        <v>1669</v>
      </c>
      <c r="D280" s="199" t="s">
        <v>539</v>
      </c>
      <c r="E280" s="199" t="s">
        <v>42</v>
      </c>
      <c r="F280" s="199" t="s">
        <v>359</v>
      </c>
      <c r="G280" s="199" t="s">
        <v>238</v>
      </c>
      <c r="I280" s="199">
        <v>7068</v>
      </c>
      <c r="J280" s="199">
        <v>34</v>
      </c>
      <c r="K280" s="322">
        <v>207.8800048828125</v>
      </c>
      <c r="L280" s="323">
        <v>39369</v>
      </c>
      <c r="M280" s="199" t="s">
        <v>1206</v>
      </c>
      <c r="N280" s="199" t="s">
        <v>1175</v>
      </c>
    </row>
    <row r="281" spans="1:14">
      <c r="A281" s="321">
        <v>38660</v>
      </c>
      <c r="B281" s="199" t="s">
        <v>1670</v>
      </c>
      <c r="C281" s="199" t="s">
        <v>1669</v>
      </c>
      <c r="D281" s="199" t="s">
        <v>1671</v>
      </c>
      <c r="E281" s="199" t="s">
        <v>42</v>
      </c>
      <c r="F281" s="199" t="s">
        <v>359</v>
      </c>
      <c r="G281" s="199" t="s">
        <v>179</v>
      </c>
      <c r="I281" s="199">
        <v>6745</v>
      </c>
      <c r="J281" s="199">
        <v>34</v>
      </c>
      <c r="K281" s="322">
        <v>198.3800048828125</v>
      </c>
      <c r="L281" s="323">
        <v>39369</v>
      </c>
      <c r="M281" s="199" t="s">
        <v>1206</v>
      </c>
      <c r="N281" s="199" t="s">
        <v>1175</v>
      </c>
    </row>
    <row r="282" spans="1:14">
      <c r="A282" s="321">
        <v>38663</v>
      </c>
      <c r="B282" s="199" t="s">
        <v>1342</v>
      </c>
      <c r="C282" s="199" t="s">
        <v>1343</v>
      </c>
      <c r="D282" s="199" t="s">
        <v>1344</v>
      </c>
      <c r="E282" s="199" t="s">
        <v>48</v>
      </c>
      <c r="F282" s="199" t="s">
        <v>339</v>
      </c>
      <c r="I282" s="199">
        <v>1058</v>
      </c>
      <c r="J282" s="199">
        <v>8</v>
      </c>
      <c r="K282" s="322">
        <v>132.25</v>
      </c>
      <c r="L282" s="323">
        <v>38937</v>
      </c>
      <c r="M282" s="199" t="s">
        <v>1327</v>
      </c>
      <c r="N282" s="199" t="s">
        <v>1328</v>
      </c>
    </row>
    <row r="283" spans="1:14">
      <c r="A283" s="321">
        <v>38664</v>
      </c>
      <c r="B283" s="199" t="s">
        <v>826</v>
      </c>
      <c r="C283" s="199" t="s">
        <v>827</v>
      </c>
      <c r="D283" s="199" t="s">
        <v>828</v>
      </c>
      <c r="E283" s="199" t="s">
        <v>42</v>
      </c>
      <c r="F283" s="199" t="s">
        <v>43</v>
      </c>
      <c r="I283" s="199">
        <v>906</v>
      </c>
      <c r="J283" s="199">
        <v>7</v>
      </c>
      <c r="K283" s="322">
        <v>129.42999267578125</v>
      </c>
      <c r="L283" s="323">
        <v>32497</v>
      </c>
      <c r="M283" s="199" t="s">
        <v>802</v>
      </c>
      <c r="N283" s="199" t="s">
        <v>17</v>
      </c>
    </row>
    <row r="284" spans="1:14">
      <c r="A284" s="321">
        <v>38672</v>
      </c>
      <c r="B284" s="199" t="s">
        <v>1661</v>
      </c>
      <c r="C284" s="199" t="s">
        <v>1662</v>
      </c>
      <c r="D284" s="199" t="s">
        <v>490</v>
      </c>
      <c r="E284" s="199" t="s">
        <v>42</v>
      </c>
      <c r="F284" s="199" t="s">
        <v>93</v>
      </c>
      <c r="I284" s="199">
        <v>3092</v>
      </c>
      <c r="J284" s="199">
        <v>16</v>
      </c>
      <c r="K284" s="322">
        <v>193.25</v>
      </c>
      <c r="L284" s="323">
        <v>39173</v>
      </c>
      <c r="M284" s="199" t="s">
        <v>254</v>
      </c>
      <c r="N284" s="199" t="s">
        <v>1359</v>
      </c>
    </row>
    <row r="285" spans="1:14">
      <c r="A285" s="321">
        <v>38673</v>
      </c>
      <c r="B285" s="199" t="s">
        <v>1663</v>
      </c>
      <c r="C285" s="199" t="s">
        <v>1213</v>
      </c>
      <c r="D285" s="199" t="s">
        <v>1664</v>
      </c>
      <c r="E285" s="199" t="s">
        <v>42</v>
      </c>
      <c r="F285" s="199" t="s">
        <v>93</v>
      </c>
      <c r="I285" s="199">
        <v>2178</v>
      </c>
      <c r="J285" s="199">
        <v>12</v>
      </c>
      <c r="K285" s="322">
        <v>181.5</v>
      </c>
      <c r="L285" s="323">
        <v>38385</v>
      </c>
      <c r="M285" s="199" t="s">
        <v>1206</v>
      </c>
      <c r="N285" s="199" t="s">
        <v>1175</v>
      </c>
    </row>
    <row r="286" spans="1:14">
      <c r="A286" s="321">
        <v>38677</v>
      </c>
      <c r="B286" s="199" t="s">
        <v>2227</v>
      </c>
      <c r="C286" s="199" t="s">
        <v>2228</v>
      </c>
      <c r="D286" s="199" t="s">
        <v>2229</v>
      </c>
      <c r="E286" s="199" t="s">
        <v>48</v>
      </c>
      <c r="F286" s="199" t="s">
        <v>138</v>
      </c>
      <c r="I286" s="199">
        <v>1454</v>
      </c>
      <c r="J286" s="199">
        <v>10</v>
      </c>
      <c r="K286" s="322">
        <v>145.39999389648438</v>
      </c>
      <c r="L286" s="323">
        <v>26338</v>
      </c>
      <c r="M286" s="199" t="s">
        <v>1445</v>
      </c>
      <c r="N286" s="199" t="s">
        <v>1359</v>
      </c>
    </row>
    <row r="287" spans="1:14">
      <c r="A287" s="321">
        <v>38680</v>
      </c>
      <c r="B287" s="199" t="s">
        <v>631</v>
      </c>
      <c r="C287" s="199" t="s">
        <v>73</v>
      </c>
      <c r="D287" s="199" t="s">
        <v>194</v>
      </c>
      <c r="E287" s="199" t="s">
        <v>42</v>
      </c>
      <c r="F287" s="199" t="s">
        <v>43</v>
      </c>
      <c r="I287" s="199">
        <v>1036</v>
      </c>
      <c r="J287" s="199">
        <v>6</v>
      </c>
      <c r="K287" s="322">
        <v>172.66999816894531</v>
      </c>
      <c r="L287" s="323">
        <v>32197</v>
      </c>
      <c r="M287" s="199" t="s">
        <v>633</v>
      </c>
      <c r="N287" s="199" t="s">
        <v>634</v>
      </c>
    </row>
    <row r="288" spans="1:14">
      <c r="A288" s="321">
        <v>38708</v>
      </c>
      <c r="B288" s="199" t="s">
        <v>1881</v>
      </c>
      <c r="C288" s="199" t="s">
        <v>1882</v>
      </c>
      <c r="D288" s="199" t="s">
        <v>124</v>
      </c>
      <c r="E288" s="199" t="s">
        <v>42</v>
      </c>
      <c r="F288" s="199" t="s">
        <v>359</v>
      </c>
      <c r="G288" s="199" t="s">
        <v>238</v>
      </c>
      <c r="I288" s="199">
        <v>4568</v>
      </c>
      <c r="J288" s="199">
        <v>22</v>
      </c>
      <c r="K288" s="322">
        <v>207.63999938964844</v>
      </c>
      <c r="L288" s="323">
        <v>40591</v>
      </c>
      <c r="M288" s="199" t="s">
        <v>1593</v>
      </c>
      <c r="N288" s="199" t="s">
        <v>1359</v>
      </c>
    </row>
    <row r="289" spans="1:14">
      <c r="A289" s="321">
        <v>38711</v>
      </c>
      <c r="B289" s="199" t="s">
        <v>818</v>
      </c>
      <c r="C289" s="199" t="s">
        <v>819</v>
      </c>
      <c r="D289" s="199" t="s">
        <v>820</v>
      </c>
      <c r="E289" s="199" t="s">
        <v>42</v>
      </c>
      <c r="F289" s="199" t="s">
        <v>43</v>
      </c>
      <c r="I289" s="199">
        <v>1082</v>
      </c>
      <c r="J289" s="199">
        <v>6</v>
      </c>
      <c r="K289" s="322">
        <v>180.33000183105469</v>
      </c>
      <c r="L289" s="323">
        <v>31233</v>
      </c>
      <c r="M289" s="199" t="s">
        <v>802</v>
      </c>
      <c r="N289" s="199" t="s">
        <v>17</v>
      </c>
    </row>
    <row r="290" spans="1:14">
      <c r="A290" s="321">
        <v>38714</v>
      </c>
      <c r="B290" s="199" t="s">
        <v>1903</v>
      </c>
      <c r="C290" s="199" t="s">
        <v>1904</v>
      </c>
      <c r="D290" s="199" t="s">
        <v>991</v>
      </c>
      <c r="E290" s="199" t="s">
        <v>42</v>
      </c>
      <c r="F290" s="199" t="s">
        <v>359</v>
      </c>
      <c r="I290" s="199">
        <v>2060</v>
      </c>
      <c r="J290" s="199">
        <v>12</v>
      </c>
      <c r="K290" s="322">
        <v>171.66999816894531</v>
      </c>
      <c r="L290" s="323">
        <v>40161</v>
      </c>
      <c r="M290" s="199" t="s">
        <v>967</v>
      </c>
      <c r="N290" s="199" t="s">
        <v>968</v>
      </c>
    </row>
    <row r="291" spans="1:14">
      <c r="A291" s="321">
        <v>38740</v>
      </c>
      <c r="B291" s="199" t="s">
        <v>1964</v>
      </c>
      <c r="C291" s="199" t="s">
        <v>1962</v>
      </c>
      <c r="D291" s="199" t="s">
        <v>1965</v>
      </c>
      <c r="E291" s="199" t="s">
        <v>42</v>
      </c>
      <c r="F291" s="199" t="s">
        <v>43</v>
      </c>
      <c r="I291" s="199">
        <v>2979</v>
      </c>
      <c r="J291" s="199">
        <v>14</v>
      </c>
      <c r="K291" s="322">
        <v>212.78999328613281</v>
      </c>
      <c r="L291" s="323">
        <v>37135</v>
      </c>
      <c r="M291" s="199" t="s">
        <v>1122</v>
      </c>
      <c r="N291" s="199" t="s">
        <v>1039</v>
      </c>
    </row>
    <row r="292" spans="1:14">
      <c r="A292" s="321">
        <v>38745</v>
      </c>
      <c r="B292" s="199" t="s">
        <v>1986</v>
      </c>
      <c r="C292" s="199" t="s">
        <v>1987</v>
      </c>
      <c r="D292" s="199" t="s">
        <v>178</v>
      </c>
      <c r="E292" s="199" t="s">
        <v>42</v>
      </c>
      <c r="F292" s="199" t="s">
        <v>43</v>
      </c>
      <c r="I292" s="199">
        <v>2602</v>
      </c>
      <c r="J292" s="199">
        <v>13</v>
      </c>
      <c r="K292" s="322">
        <v>200.14999389648438</v>
      </c>
      <c r="L292" s="323">
        <v>32093</v>
      </c>
      <c r="M292" s="199" t="s">
        <v>2490</v>
      </c>
      <c r="N292" s="199" t="s">
        <v>17</v>
      </c>
    </row>
    <row r="293" spans="1:14">
      <c r="A293" s="321">
        <v>38748</v>
      </c>
      <c r="B293" s="199" t="s">
        <v>2007</v>
      </c>
      <c r="C293" s="199" t="s">
        <v>2008</v>
      </c>
      <c r="D293" s="199" t="s">
        <v>2009</v>
      </c>
      <c r="E293" s="199" t="s">
        <v>48</v>
      </c>
      <c r="F293" s="199" t="s">
        <v>78</v>
      </c>
      <c r="G293" s="199" t="s">
        <v>179</v>
      </c>
      <c r="I293" s="199">
        <v>7218</v>
      </c>
      <c r="J293" s="199">
        <v>39</v>
      </c>
      <c r="K293" s="322">
        <v>185.08000183105469</v>
      </c>
      <c r="L293" s="323">
        <v>30415</v>
      </c>
      <c r="M293" s="199" t="s">
        <v>1593</v>
      </c>
      <c r="N293" s="199" t="s">
        <v>1359</v>
      </c>
    </row>
    <row r="294" spans="1:14">
      <c r="A294" s="321">
        <v>38759</v>
      </c>
      <c r="B294" s="199" t="s">
        <v>1978</v>
      </c>
      <c r="C294" s="199" t="s">
        <v>1979</v>
      </c>
      <c r="D294" s="199" t="s">
        <v>1980</v>
      </c>
      <c r="E294" s="199" t="s">
        <v>48</v>
      </c>
      <c r="F294" s="199" t="s">
        <v>774</v>
      </c>
      <c r="G294" s="199" t="s">
        <v>50</v>
      </c>
      <c r="I294" s="199">
        <v>4513</v>
      </c>
      <c r="J294" s="199">
        <v>30</v>
      </c>
      <c r="K294" s="322">
        <v>150.42999267578125</v>
      </c>
      <c r="L294" s="323">
        <v>41094</v>
      </c>
      <c r="M294" s="199" t="s">
        <v>739</v>
      </c>
      <c r="N294" s="199" t="s">
        <v>740</v>
      </c>
    </row>
    <row r="295" spans="1:14">
      <c r="A295" s="321">
        <v>38760</v>
      </c>
      <c r="B295" s="199" t="s">
        <v>1969</v>
      </c>
      <c r="C295" s="199" t="s">
        <v>1970</v>
      </c>
      <c r="D295" s="199" t="s">
        <v>1971</v>
      </c>
      <c r="E295" s="199" t="s">
        <v>48</v>
      </c>
      <c r="F295" s="199" t="s">
        <v>774</v>
      </c>
      <c r="G295" s="199" t="s">
        <v>50</v>
      </c>
      <c r="I295" s="199">
        <v>3365</v>
      </c>
      <c r="J295" s="199">
        <v>22</v>
      </c>
      <c r="K295" s="322">
        <v>152.94999694824219</v>
      </c>
      <c r="L295" s="323">
        <v>41439</v>
      </c>
      <c r="M295" s="199" t="s">
        <v>739</v>
      </c>
      <c r="N295" s="199" t="s">
        <v>740</v>
      </c>
    </row>
    <row r="296" spans="1:14">
      <c r="A296" s="321">
        <v>38773</v>
      </c>
      <c r="B296" s="199" t="s">
        <v>2037</v>
      </c>
      <c r="C296" s="199" t="s">
        <v>2038</v>
      </c>
      <c r="D296" s="199" t="s">
        <v>2039</v>
      </c>
      <c r="E296" s="199" t="s">
        <v>48</v>
      </c>
      <c r="F296" s="199" t="s">
        <v>774</v>
      </c>
      <c r="G296" s="199" t="s">
        <v>50</v>
      </c>
      <c r="I296" s="199">
        <v>2604</v>
      </c>
      <c r="J296" s="199">
        <v>18</v>
      </c>
      <c r="K296" s="322">
        <v>144.66999816894531</v>
      </c>
      <c r="L296" s="323">
        <v>41092</v>
      </c>
      <c r="M296" s="199" t="s">
        <v>739</v>
      </c>
      <c r="N296" s="199" t="s">
        <v>740</v>
      </c>
    </row>
    <row r="297" spans="1:14">
      <c r="A297" s="321">
        <v>38774</v>
      </c>
      <c r="B297" s="199" t="s">
        <v>2040</v>
      </c>
      <c r="C297" s="199" t="s">
        <v>2041</v>
      </c>
      <c r="D297" s="199" t="s">
        <v>52</v>
      </c>
      <c r="E297" s="199" t="s">
        <v>42</v>
      </c>
      <c r="F297" s="199" t="s">
        <v>43</v>
      </c>
      <c r="G297" s="199" t="s">
        <v>179</v>
      </c>
      <c r="I297" s="199">
        <v>5434</v>
      </c>
      <c r="J297" s="199">
        <v>28</v>
      </c>
      <c r="K297" s="322">
        <v>194.07000732421875</v>
      </c>
      <c r="L297" s="323">
        <v>32911</v>
      </c>
      <c r="M297" s="199" t="s">
        <v>894</v>
      </c>
      <c r="N297" s="199" t="s">
        <v>17</v>
      </c>
    </row>
    <row r="298" spans="1:14">
      <c r="A298" s="321">
        <v>38784</v>
      </c>
      <c r="B298" s="199" t="s">
        <v>2095</v>
      </c>
      <c r="C298" s="199" t="s">
        <v>2096</v>
      </c>
      <c r="D298" s="199" t="s">
        <v>632</v>
      </c>
      <c r="E298" s="199" t="s">
        <v>42</v>
      </c>
      <c r="F298" s="199" t="s">
        <v>359</v>
      </c>
      <c r="I298" s="199">
        <v>1361</v>
      </c>
      <c r="J298" s="199">
        <v>12</v>
      </c>
      <c r="K298" s="322">
        <v>113.41999816894531</v>
      </c>
      <c r="L298" s="323">
        <v>40211</v>
      </c>
      <c r="M298" s="199" t="s">
        <v>967</v>
      </c>
      <c r="N298" s="199" t="s">
        <v>968</v>
      </c>
    </row>
    <row r="299" spans="1:14">
      <c r="A299" s="321">
        <v>38791</v>
      </c>
      <c r="B299" s="199" t="s">
        <v>2188</v>
      </c>
      <c r="C299" s="199" t="s">
        <v>2189</v>
      </c>
      <c r="D299" s="199" t="s">
        <v>106</v>
      </c>
      <c r="E299" s="199" t="s">
        <v>42</v>
      </c>
      <c r="F299" s="199" t="s">
        <v>66</v>
      </c>
      <c r="I299" s="199">
        <v>1761</v>
      </c>
      <c r="J299" s="199">
        <v>12</v>
      </c>
      <c r="K299" s="322">
        <v>146.75</v>
      </c>
      <c r="L299" s="323">
        <v>25347</v>
      </c>
      <c r="M299" s="199" t="s">
        <v>998</v>
      </c>
      <c r="N299" s="199" t="s">
        <v>14</v>
      </c>
    </row>
    <row r="300" spans="1:14">
      <c r="A300" s="321">
        <v>38806</v>
      </c>
      <c r="B300" s="199" t="s">
        <v>2237</v>
      </c>
      <c r="C300" s="199" t="s">
        <v>1623</v>
      </c>
      <c r="D300" s="199" t="s">
        <v>1883</v>
      </c>
      <c r="E300" s="199" t="s">
        <v>42</v>
      </c>
      <c r="F300" s="199" t="s">
        <v>88</v>
      </c>
      <c r="I300" s="199">
        <v>1200</v>
      </c>
      <c r="J300" s="199">
        <v>12</v>
      </c>
      <c r="K300" s="322">
        <v>100</v>
      </c>
      <c r="L300" s="323">
        <v>42168</v>
      </c>
      <c r="M300" s="199" t="s">
        <v>254</v>
      </c>
      <c r="N300" s="199" t="s">
        <v>1359</v>
      </c>
    </row>
    <row r="301" spans="1:14">
      <c r="A301" s="321">
        <v>38817</v>
      </c>
      <c r="B301" s="199" t="s">
        <v>2183</v>
      </c>
      <c r="C301" s="199" t="s">
        <v>2182</v>
      </c>
      <c r="D301" s="199" t="s">
        <v>2184</v>
      </c>
      <c r="E301" s="199" t="s">
        <v>48</v>
      </c>
      <c r="F301" s="199" t="s">
        <v>774</v>
      </c>
      <c r="I301" s="199">
        <v>591</v>
      </c>
      <c r="J301" s="199">
        <v>6</v>
      </c>
      <c r="K301" s="322">
        <v>98.5</v>
      </c>
      <c r="L301" s="323">
        <v>40751</v>
      </c>
      <c r="M301" s="199" t="s">
        <v>967</v>
      </c>
      <c r="N301" s="199" t="s">
        <v>968</v>
      </c>
    </row>
    <row r="302" spans="1:14">
      <c r="A302" s="321">
        <v>38824</v>
      </c>
      <c r="B302" s="199" t="s">
        <v>2119</v>
      </c>
      <c r="C302" s="199" t="s">
        <v>2120</v>
      </c>
      <c r="D302" s="199" t="s">
        <v>124</v>
      </c>
      <c r="E302" s="199" t="s">
        <v>42</v>
      </c>
      <c r="F302" s="199" t="s">
        <v>43</v>
      </c>
      <c r="I302" s="199">
        <v>1701</v>
      </c>
      <c r="J302" s="199">
        <v>11</v>
      </c>
      <c r="K302" s="322">
        <v>154.63999938964844</v>
      </c>
      <c r="L302" s="323">
        <v>35509</v>
      </c>
      <c r="M302" s="199" t="s">
        <v>342</v>
      </c>
      <c r="N302" s="199" t="s">
        <v>301</v>
      </c>
    </row>
    <row r="303" spans="1:14">
      <c r="A303" s="321">
        <v>38825</v>
      </c>
      <c r="B303" s="199" t="s">
        <v>2116</v>
      </c>
      <c r="C303" s="199" t="s">
        <v>2117</v>
      </c>
      <c r="D303" s="199" t="s">
        <v>2118</v>
      </c>
      <c r="E303" s="199" t="s">
        <v>48</v>
      </c>
      <c r="F303" s="199" t="s">
        <v>227</v>
      </c>
      <c r="I303" s="199">
        <v>1706</v>
      </c>
      <c r="J303" s="199">
        <v>11</v>
      </c>
      <c r="K303" s="322">
        <v>155.08999633789063</v>
      </c>
      <c r="L303" s="323">
        <v>19751</v>
      </c>
      <c r="M303" s="199" t="s">
        <v>318</v>
      </c>
      <c r="N303" s="199" t="s">
        <v>301</v>
      </c>
    </row>
    <row r="304" spans="1:14">
      <c r="A304" s="321">
        <v>38846</v>
      </c>
      <c r="B304" s="199" t="s">
        <v>2218</v>
      </c>
      <c r="C304" s="199" t="s">
        <v>2219</v>
      </c>
      <c r="D304" s="199" t="s">
        <v>1450</v>
      </c>
      <c r="E304" s="199" t="s">
        <v>42</v>
      </c>
      <c r="F304" s="199" t="s">
        <v>359</v>
      </c>
      <c r="I304" s="199">
        <v>1703</v>
      </c>
      <c r="J304" s="199">
        <v>12</v>
      </c>
      <c r="K304" s="322">
        <v>141.91999816894531</v>
      </c>
      <c r="L304" s="323">
        <v>40724</v>
      </c>
      <c r="M304" s="199" t="s">
        <v>1206</v>
      </c>
      <c r="N304" s="199" t="s">
        <v>1175</v>
      </c>
    </row>
    <row r="305" spans="1:14">
      <c r="A305" s="321">
        <v>38848</v>
      </c>
      <c r="B305" s="199" t="s">
        <v>2305</v>
      </c>
      <c r="C305" s="199" t="s">
        <v>2304</v>
      </c>
      <c r="D305" s="199" t="s">
        <v>689</v>
      </c>
      <c r="E305" s="199" t="s">
        <v>48</v>
      </c>
      <c r="F305" s="199" t="s">
        <v>774</v>
      </c>
      <c r="I305" s="199">
        <v>1652</v>
      </c>
      <c r="J305" s="199">
        <v>14</v>
      </c>
      <c r="K305" s="322">
        <v>118</v>
      </c>
      <c r="L305" s="323">
        <v>41710</v>
      </c>
      <c r="M305" s="199" t="s">
        <v>739</v>
      </c>
      <c r="N305" s="199" t="s">
        <v>740</v>
      </c>
    </row>
    <row r="306" spans="1:14">
      <c r="A306" s="321">
        <v>38849</v>
      </c>
      <c r="B306" s="199" t="s">
        <v>2303</v>
      </c>
      <c r="C306" s="199" t="s">
        <v>2304</v>
      </c>
      <c r="D306" s="199" t="s">
        <v>2109</v>
      </c>
      <c r="E306" s="199" t="s">
        <v>48</v>
      </c>
      <c r="F306" s="199" t="s">
        <v>774</v>
      </c>
      <c r="I306" s="199">
        <v>1613</v>
      </c>
      <c r="J306" s="199">
        <v>14</v>
      </c>
      <c r="K306" s="322">
        <v>115.20999908447266</v>
      </c>
      <c r="L306" s="323">
        <v>40935</v>
      </c>
      <c r="M306" s="199" t="s">
        <v>739</v>
      </c>
      <c r="N306" s="199" t="s">
        <v>740</v>
      </c>
    </row>
    <row r="307" spans="1:14">
      <c r="A307" s="321">
        <v>38865</v>
      </c>
      <c r="B307" s="199" t="s">
        <v>2314</v>
      </c>
      <c r="C307" s="199" t="s">
        <v>2315</v>
      </c>
      <c r="D307" s="199" t="s">
        <v>378</v>
      </c>
      <c r="E307" s="199" t="s">
        <v>42</v>
      </c>
      <c r="F307" s="199" t="s">
        <v>88</v>
      </c>
      <c r="I307" s="199">
        <v>1347</v>
      </c>
      <c r="J307" s="199">
        <v>12</v>
      </c>
      <c r="K307" s="322">
        <v>112.25</v>
      </c>
      <c r="L307" s="323">
        <v>41586</v>
      </c>
      <c r="M307" s="199" t="s">
        <v>967</v>
      </c>
      <c r="N307" s="199" t="s">
        <v>968</v>
      </c>
    </row>
    <row r="308" spans="1:14">
      <c r="A308" s="321">
        <v>38868</v>
      </c>
      <c r="B308" s="199" t="s">
        <v>2337</v>
      </c>
      <c r="C308" s="199" t="s">
        <v>1192</v>
      </c>
      <c r="D308" s="199" t="s">
        <v>2205</v>
      </c>
      <c r="E308" s="199" t="s">
        <v>48</v>
      </c>
      <c r="F308" s="199" t="s">
        <v>339</v>
      </c>
      <c r="I308" s="199">
        <v>2122</v>
      </c>
      <c r="J308" s="199">
        <v>16</v>
      </c>
      <c r="K308" s="322">
        <v>132.6300048828125</v>
      </c>
      <c r="L308" s="323">
        <v>38771</v>
      </c>
      <c r="M308" s="199" t="s">
        <v>1206</v>
      </c>
      <c r="N308" s="199" t="s">
        <v>1175</v>
      </c>
    </row>
    <row r="309" spans="1:14">
      <c r="A309" s="321">
        <v>38869</v>
      </c>
      <c r="B309" s="199" t="s">
        <v>2509</v>
      </c>
      <c r="C309" s="199" t="s">
        <v>893</v>
      </c>
      <c r="D309" s="199" t="s">
        <v>1278</v>
      </c>
      <c r="E309" s="199" t="s">
        <v>48</v>
      </c>
      <c r="F309" s="199" t="s">
        <v>138</v>
      </c>
      <c r="I309" s="199">
        <v>457</v>
      </c>
      <c r="J309" s="199">
        <v>3</v>
      </c>
      <c r="K309" s="322">
        <v>152.33000183105469</v>
      </c>
      <c r="L309" s="323">
        <v>26963</v>
      </c>
      <c r="M309" s="199" t="s">
        <v>1038</v>
      </c>
      <c r="N309" s="199" t="s">
        <v>1039</v>
      </c>
    </row>
    <row r="310" spans="1:14">
      <c r="A310" s="321">
        <v>38870</v>
      </c>
      <c r="B310" s="199" t="s">
        <v>2508</v>
      </c>
      <c r="C310" s="199" t="s">
        <v>121</v>
      </c>
      <c r="D310" s="199" t="s">
        <v>493</v>
      </c>
      <c r="E310" s="199" t="s">
        <v>42</v>
      </c>
      <c r="F310" s="199" t="s">
        <v>43</v>
      </c>
      <c r="I310" s="199">
        <v>977</v>
      </c>
      <c r="J310" s="199">
        <v>6</v>
      </c>
      <c r="K310" s="322">
        <v>162.83000183105469</v>
      </c>
      <c r="L310" s="323">
        <v>37038</v>
      </c>
      <c r="M310" s="199" t="s">
        <v>1038</v>
      </c>
      <c r="N310" s="199" t="s">
        <v>1039</v>
      </c>
    </row>
    <row r="311" spans="1:14">
      <c r="A311" s="321">
        <v>38880</v>
      </c>
      <c r="B311" s="199" t="s">
        <v>2432</v>
      </c>
      <c r="C311" s="199" t="s">
        <v>2117</v>
      </c>
      <c r="D311" s="199" t="s">
        <v>98</v>
      </c>
      <c r="E311" s="199" t="s">
        <v>42</v>
      </c>
      <c r="F311" s="199" t="s">
        <v>66</v>
      </c>
      <c r="I311" s="199">
        <v>1012</v>
      </c>
      <c r="J311" s="199">
        <v>7</v>
      </c>
      <c r="K311" s="322">
        <v>144.57000732421875</v>
      </c>
      <c r="L311" s="323">
        <v>27334</v>
      </c>
      <c r="M311" s="199" t="s">
        <v>318</v>
      </c>
      <c r="N311" s="199" t="s">
        <v>301</v>
      </c>
    </row>
    <row r="312" spans="1:14">
      <c r="A312" s="321">
        <v>38884</v>
      </c>
      <c r="B312" s="199" t="s">
        <v>2494</v>
      </c>
      <c r="C312" s="199" t="s">
        <v>2495</v>
      </c>
      <c r="D312" s="199" t="s">
        <v>2496</v>
      </c>
      <c r="E312" s="199" t="s">
        <v>42</v>
      </c>
      <c r="F312" s="199" t="s">
        <v>43</v>
      </c>
      <c r="I312" s="199">
        <v>2141</v>
      </c>
      <c r="J312" s="199">
        <v>13</v>
      </c>
      <c r="K312" s="322">
        <v>164.69000244140625</v>
      </c>
      <c r="L312" s="323">
        <v>31736</v>
      </c>
      <c r="M312" s="199" t="s">
        <v>894</v>
      </c>
      <c r="N312" s="199" t="s">
        <v>17</v>
      </c>
    </row>
    <row r="313" spans="1:14">
      <c r="A313" s="321">
        <v>38885</v>
      </c>
      <c r="B313" s="199" t="s">
        <v>2406</v>
      </c>
      <c r="C313" s="199" t="s">
        <v>2407</v>
      </c>
      <c r="D313" s="199" t="s">
        <v>131</v>
      </c>
      <c r="E313" s="199" t="s">
        <v>42</v>
      </c>
      <c r="F313" s="199" t="s">
        <v>43</v>
      </c>
      <c r="I313" s="199">
        <v>881</v>
      </c>
      <c r="J313" s="199">
        <v>6</v>
      </c>
      <c r="K313" s="322">
        <v>146.83000183105469</v>
      </c>
      <c r="L313" s="323">
        <v>34865</v>
      </c>
      <c r="M313" s="199" t="s">
        <v>176</v>
      </c>
      <c r="N313" s="199" t="s">
        <v>154</v>
      </c>
    </row>
    <row r="314" spans="1:14">
      <c r="A314" s="321">
        <v>38886</v>
      </c>
      <c r="B314" s="199" t="s">
        <v>2336</v>
      </c>
      <c r="C314" s="199" t="s">
        <v>152</v>
      </c>
      <c r="D314" s="199" t="s">
        <v>149</v>
      </c>
      <c r="E314" s="199" t="s">
        <v>42</v>
      </c>
      <c r="F314" s="199" t="s">
        <v>93</v>
      </c>
      <c r="I314" s="199">
        <v>1002</v>
      </c>
      <c r="J314" s="199">
        <v>6</v>
      </c>
      <c r="K314" s="322">
        <v>167</v>
      </c>
      <c r="L314" s="323">
        <v>37469</v>
      </c>
      <c r="M314" s="199" t="s">
        <v>176</v>
      </c>
      <c r="N314" s="199" t="s">
        <v>154</v>
      </c>
    </row>
    <row r="315" spans="1:14">
      <c r="A315" s="321">
        <v>38906</v>
      </c>
      <c r="B315" s="199" t="s">
        <v>2413</v>
      </c>
      <c r="C315" s="199" t="s">
        <v>2414</v>
      </c>
      <c r="D315" s="199" t="s">
        <v>544</v>
      </c>
      <c r="E315" s="199" t="s">
        <v>48</v>
      </c>
      <c r="F315" s="199" t="s">
        <v>78</v>
      </c>
      <c r="G315" s="199" t="s">
        <v>103</v>
      </c>
      <c r="I315" s="199">
        <v>3876</v>
      </c>
      <c r="J315" s="199">
        <v>35</v>
      </c>
      <c r="K315" s="322">
        <v>110.73999786376953</v>
      </c>
      <c r="L315" s="323">
        <v>31800</v>
      </c>
      <c r="M315" s="199" t="s">
        <v>254</v>
      </c>
      <c r="N315" s="199" t="s">
        <v>203</v>
      </c>
    </row>
    <row r="316" spans="1:14">
      <c r="A316" s="321">
        <v>38931</v>
      </c>
      <c r="B316" s="199" t="s">
        <v>2415</v>
      </c>
      <c r="C316" s="199" t="s">
        <v>628</v>
      </c>
      <c r="D316" s="199" t="s">
        <v>2416</v>
      </c>
      <c r="E316" s="199" t="s">
        <v>48</v>
      </c>
      <c r="F316" s="199" t="s">
        <v>78</v>
      </c>
      <c r="I316" s="199">
        <v>1602</v>
      </c>
      <c r="J316" s="199">
        <v>12</v>
      </c>
      <c r="K316" s="322">
        <v>133.5</v>
      </c>
      <c r="L316" s="323">
        <v>28560</v>
      </c>
      <c r="M316" s="199" t="s">
        <v>254</v>
      </c>
      <c r="N316" s="199" t="s">
        <v>203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0000"/>
  </sheetPr>
  <dimension ref="A1:Q64"/>
  <sheetViews>
    <sheetView workbookViewId="0">
      <selection sqref="A1:N1"/>
    </sheetView>
  </sheetViews>
  <sheetFormatPr baseColWidth="10" defaultColWidth="5.21875" defaultRowHeight="14.4"/>
  <cols>
    <col min="1" max="1" width="6.21875" style="245" bestFit="1" customWidth="1"/>
    <col min="2" max="2" width="8.6640625" style="245" bestFit="1" customWidth="1"/>
    <col min="3" max="3" width="10.6640625" style="245" bestFit="1" customWidth="1"/>
    <col min="4" max="4" width="16.33203125" style="245" bestFit="1" customWidth="1"/>
    <col min="5" max="5" width="3.6640625" style="245" bestFit="1" customWidth="1"/>
    <col min="6" max="6" width="2.6640625" style="245" bestFit="1" customWidth="1"/>
    <col min="7" max="7" width="9.6640625" style="245" bestFit="1" customWidth="1"/>
    <col min="8" max="8" width="2.33203125" style="245" bestFit="1" customWidth="1"/>
    <col min="9" max="10" width="6.21875" style="245" bestFit="1" customWidth="1"/>
    <col min="11" max="11" width="6.6640625" style="245" bestFit="1" customWidth="1"/>
    <col min="12" max="12" width="10.21875" style="245" bestFit="1" customWidth="1"/>
    <col min="13" max="13" width="21.44140625" style="245" bestFit="1" customWidth="1"/>
    <col min="14" max="14" width="24.21875" style="245" bestFit="1" customWidth="1"/>
    <col min="15" max="255" width="10.6640625" style="248" customWidth="1"/>
    <col min="256" max="16384" width="5.21875" style="248"/>
  </cols>
  <sheetData>
    <row r="1" spans="1:17">
      <c r="A1" s="252" t="s">
        <v>1815</v>
      </c>
      <c r="B1" s="245" t="s">
        <v>2606</v>
      </c>
      <c r="C1" s="245" t="s">
        <v>1798</v>
      </c>
      <c r="D1" s="245" t="s">
        <v>32</v>
      </c>
      <c r="E1" s="245" t="s">
        <v>2607</v>
      </c>
      <c r="F1" s="245" t="s">
        <v>2602</v>
      </c>
      <c r="I1" s="245" t="s">
        <v>2608</v>
      </c>
      <c r="J1" s="245" t="s">
        <v>1819</v>
      </c>
      <c r="K1" s="253" t="s">
        <v>1806</v>
      </c>
      <c r="L1" s="254" t="s">
        <v>2609</v>
      </c>
      <c r="M1" s="245" t="s">
        <v>2610</v>
      </c>
      <c r="N1" s="245" t="s">
        <v>38</v>
      </c>
    </row>
    <row r="2" spans="1:17">
      <c r="A2" s="327">
        <v>38708</v>
      </c>
      <c r="B2" s="327" t="s">
        <v>1881</v>
      </c>
      <c r="C2" s="327" t="s">
        <v>1882</v>
      </c>
      <c r="D2" s="327" t="s">
        <v>124</v>
      </c>
      <c r="E2" s="327" t="s">
        <v>42</v>
      </c>
      <c r="F2" s="327" t="s">
        <v>88</v>
      </c>
      <c r="G2" s="327"/>
      <c r="H2" s="328"/>
      <c r="I2" s="329">
        <v>12233</v>
      </c>
      <c r="J2" s="329">
        <v>59</v>
      </c>
      <c r="K2" s="330">
        <v>207.34</v>
      </c>
      <c r="L2" s="330"/>
      <c r="M2" s="327" t="s">
        <v>1593</v>
      </c>
      <c r="N2" s="328" t="s">
        <v>1359</v>
      </c>
      <c r="Q2" s="251" t="s">
        <v>2338</v>
      </c>
    </row>
    <row r="3" spans="1:17">
      <c r="A3" s="327">
        <v>38659</v>
      </c>
      <c r="B3" s="327" t="s">
        <v>1668</v>
      </c>
      <c r="C3" s="327" t="s">
        <v>1669</v>
      </c>
      <c r="D3" s="327" t="s">
        <v>539</v>
      </c>
      <c r="E3" s="327" t="s">
        <v>42</v>
      </c>
      <c r="F3" s="327" t="s">
        <v>359</v>
      </c>
      <c r="G3" s="327"/>
      <c r="H3" s="328"/>
      <c r="I3" s="331">
        <v>13848</v>
      </c>
      <c r="J3" s="331">
        <v>69</v>
      </c>
      <c r="K3" s="331">
        <v>200.7</v>
      </c>
      <c r="L3" s="331"/>
      <c r="M3" s="327" t="s">
        <v>1206</v>
      </c>
      <c r="N3" s="328" t="s">
        <v>1175</v>
      </c>
    </row>
    <row r="4" spans="1:17">
      <c r="A4" s="327">
        <v>38541</v>
      </c>
      <c r="B4" s="327" t="s">
        <v>970</v>
      </c>
      <c r="C4" s="327" t="s">
        <v>971</v>
      </c>
      <c r="D4" s="327" t="s">
        <v>124</v>
      </c>
      <c r="E4" s="327" t="s">
        <v>42</v>
      </c>
      <c r="F4" s="327" t="s">
        <v>359</v>
      </c>
      <c r="G4" s="327"/>
      <c r="H4" s="328"/>
      <c r="I4" s="329">
        <v>12202</v>
      </c>
      <c r="J4" s="329">
        <v>61</v>
      </c>
      <c r="K4" s="330">
        <v>200.03</v>
      </c>
      <c r="L4" s="330"/>
      <c r="M4" s="327" t="s">
        <v>967</v>
      </c>
      <c r="N4" s="328" t="s">
        <v>968</v>
      </c>
    </row>
    <row r="5" spans="1:17">
      <c r="A5" s="327">
        <v>38655</v>
      </c>
      <c r="B5" s="327" t="s">
        <v>1651</v>
      </c>
      <c r="C5" s="327" t="s">
        <v>1652</v>
      </c>
      <c r="D5" s="327" t="s">
        <v>1653</v>
      </c>
      <c r="E5" s="327" t="s">
        <v>42</v>
      </c>
      <c r="F5" s="327" t="s">
        <v>359</v>
      </c>
      <c r="G5" s="327"/>
      <c r="H5" s="328"/>
      <c r="I5" s="331">
        <v>18882</v>
      </c>
      <c r="J5" s="331">
        <v>95</v>
      </c>
      <c r="K5" s="331">
        <v>198.76</v>
      </c>
      <c r="L5" s="331"/>
      <c r="M5" s="327" t="s">
        <v>1593</v>
      </c>
      <c r="N5" s="328" t="s">
        <v>1359</v>
      </c>
    </row>
    <row r="6" spans="1:17">
      <c r="A6" s="327">
        <v>38327</v>
      </c>
      <c r="B6" s="327" t="s">
        <v>1616</v>
      </c>
      <c r="C6" s="327" t="s">
        <v>1333</v>
      </c>
      <c r="D6" s="327" t="s">
        <v>996</v>
      </c>
      <c r="E6" s="327" t="s">
        <v>42</v>
      </c>
      <c r="F6" s="327" t="s">
        <v>359</v>
      </c>
      <c r="G6" s="327"/>
      <c r="H6" s="328"/>
      <c r="I6" s="331">
        <v>11784</v>
      </c>
      <c r="J6" s="331">
        <v>60</v>
      </c>
      <c r="K6" s="331">
        <v>196.4</v>
      </c>
      <c r="L6" s="331"/>
      <c r="M6" s="327" t="s">
        <v>1593</v>
      </c>
      <c r="N6" s="328" t="s">
        <v>1359</v>
      </c>
    </row>
    <row r="7" spans="1:17">
      <c r="A7" s="327">
        <v>38660</v>
      </c>
      <c r="B7" s="327" t="s">
        <v>1670</v>
      </c>
      <c r="C7" s="327" t="s">
        <v>1669</v>
      </c>
      <c r="D7" s="327" t="s">
        <v>1671</v>
      </c>
      <c r="E7" s="327" t="s">
        <v>42</v>
      </c>
      <c r="F7" s="327" t="s">
        <v>359</v>
      </c>
      <c r="G7" s="327"/>
      <c r="H7" s="328"/>
      <c r="I7" s="329">
        <v>16152</v>
      </c>
      <c r="J7" s="329">
        <v>83</v>
      </c>
      <c r="K7" s="330">
        <v>194.6</v>
      </c>
      <c r="L7" s="330"/>
      <c r="M7" s="327" t="s">
        <v>1206</v>
      </c>
      <c r="N7" s="328" t="s">
        <v>1175</v>
      </c>
    </row>
    <row r="8" spans="1:17">
      <c r="A8" s="327">
        <v>38672</v>
      </c>
      <c r="B8" s="327" t="s">
        <v>1661</v>
      </c>
      <c r="C8" s="327" t="s">
        <v>1662</v>
      </c>
      <c r="D8" s="327" t="s">
        <v>490</v>
      </c>
      <c r="E8" s="327" t="s">
        <v>42</v>
      </c>
      <c r="F8" s="327" t="s">
        <v>359</v>
      </c>
      <c r="G8" s="327"/>
      <c r="H8" s="328"/>
      <c r="I8" s="331">
        <v>7685</v>
      </c>
      <c r="J8" s="331">
        <v>40</v>
      </c>
      <c r="K8" s="331">
        <v>192.13</v>
      </c>
      <c r="L8" s="331"/>
      <c r="M8" s="327" t="s">
        <v>254</v>
      </c>
      <c r="N8" s="328" t="s">
        <v>1359</v>
      </c>
    </row>
    <row r="9" spans="1:17">
      <c r="A9" s="327">
        <v>38626</v>
      </c>
      <c r="B9" s="327" t="s">
        <v>1676</v>
      </c>
      <c r="C9" s="327" t="s">
        <v>1677</v>
      </c>
      <c r="D9" s="327" t="s">
        <v>124</v>
      </c>
      <c r="E9" s="327" t="s">
        <v>42</v>
      </c>
      <c r="F9" s="327" t="s">
        <v>359</v>
      </c>
      <c r="G9" s="327"/>
      <c r="H9" s="328"/>
      <c r="I9" s="331">
        <v>10152</v>
      </c>
      <c r="J9" s="331">
        <v>53</v>
      </c>
      <c r="K9" s="331">
        <v>191.55</v>
      </c>
      <c r="L9" s="331"/>
      <c r="M9" s="327" t="s">
        <v>1593</v>
      </c>
      <c r="N9" s="328" t="s">
        <v>1359</v>
      </c>
    </row>
    <row r="10" spans="1:17">
      <c r="A10" s="327">
        <v>38545</v>
      </c>
      <c r="B10" s="327" t="s">
        <v>671</v>
      </c>
      <c r="C10" s="327" t="s">
        <v>170</v>
      </c>
      <c r="D10" s="327" t="s">
        <v>190</v>
      </c>
      <c r="E10" s="327" t="s">
        <v>42</v>
      </c>
      <c r="F10" s="327" t="s">
        <v>359</v>
      </c>
      <c r="G10" s="327"/>
      <c r="H10" s="328"/>
      <c r="I10" s="329">
        <v>15454</v>
      </c>
      <c r="J10" s="329">
        <v>82</v>
      </c>
      <c r="K10" s="330">
        <v>188.46</v>
      </c>
      <c r="L10" s="330"/>
      <c r="M10" s="327" t="s">
        <v>1704</v>
      </c>
      <c r="N10" s="328" t="s">
        <v>1705</v>
      </c>
    </row>
    <row r="11" spans="1:17">
      <c r="A11" s="327">
        <v>38396</v>
      </c>
      <c r="B11" s="327" t="s">
        <v>1722</v>
      </c>
      <c r="C11" s="327" t="s">
        <v>1029</v>
      </c>
      <c r="D11" s="327" t="s">
        <v>667</v>
      </c>
      <c r="E11" s="327" t="s">
        <v>42</v>
      </c>
      <c r="F11" s="327" t="s">
        <v>359</v>
      </c>
      <c r="G11" s="327"/>
      <c r="H11" s="328"/>
      <c r="I11" s="329">
        <v>18572</v>
      </c>
      <c r="J11" s="329">
        <v>99</v>
      </c>
      <c r="K11" s="330">
        <v>187.6</v>
      </c>
      <c r="L11" s="330"/>
      <c r="M11" s="327" t="s">
        <v>1704</v>
      </c>
      <c r="N11" s="328" t="s">
        <v>1705</v>
      </c>
    </row>
    <row r="12" spans="1:17">
      <c r="A12" s="327">
        <v>38349</v>
      </c>
      <c r="B12" s="327" t="s">
        <v>1627</v>
      </c>
      <c r="C12" s="327" t="s">
        <v>1628</v>
      </c>
      <c r="D12" s="327" t="s">
        <v>1629</v>
      </c>
      <c r="E12" s="327" t="s">
        <v>42</v>
      </c>
      <c r="F12" s="327" t="s">
        <v>359</v>
      </c>
      <c r="G12" s="327"/>
      <c r="H12" s="328"/>
      <c r="I12" s="329">
        <v>13570</v>
      </c>
      <c r="J12" s="329">
        <v>73</v>
      </c>
      <c r="K12" s="330">
        <v>185.89</v>
      </c>
      <c r="L12" s="330"/>
      <c r="M12" s="327" t="s">
        <v>1206</v>
      </c>
      <c r="N12" s="328" t="s">
        <v>1175</v>
      </c>
    </row>
    <row r="13" spans="1:17">
      <c r="A13" s="327">
        <v>38334</v>
      </c>
      <c r="B13" s="327" t="s">
        <v>1622</v>
      </c>
      <c r="C13" s="327" t="s">
        <v>1623</v>
      </c>
      <c r="D13" s="327" t="s">
        <v>87</v>
      </c>
      <c r="E13" s="327" t="s">
        <v>42</v>
      </c>
      <c r="F13" s="327" t="s">
        <v>359</v>
      </c>
      <c r="G13" s="327"/>
      <c r="H13" s="328"/>
      <c r="I13" s="329">
        <v>9807</v>
      </c>
      <c r="J13" s="329">
        <v>53</v>
      </c>
      <c r="K13" s="330">
        <v>185.04</v>
      </c>
      <c r="L13" s="330"/>
      <c r="M13" s="327" t="s">
        <v>1593</v>
      </c>
      <c r="N13" s="328" t="s">
        <v>1359</v>
      </c>
    </row>
    <row r="14" spans="1:17">
      <c r="A14" s="327">
        <v>38950</v>
      </c>
      <c r="B14" s="327" t="s">
        <v>2603</v>
      </c>
      <c r="C14" s="327" t="s">
        <v>2529</v>
      </c>
      <c r="D14" s="327" t="s">
        <v>1883</v>
      </c>
      <c r="E14" s="327" t="s">
        <v>2604</v>
      </c>
      <c r="F14" s="327" t="s">
        <v>88</v>
      </c>
      <c r="G14" s="327"/>
      <c r="H14" s="328"/>
      <c r="I14" s="331">
        <v>2379</v>
      </c>
      <c r="J14" s="331">
        <v>13</v>
      </c>
      <c r="K14" s="331">
        <v>183</v>
      </c>
      <c r="L14" s="331"/>
      <c r="M14" s="327" t="s">
        <v>1175</v>
      </c>
      <c r="N14" s="328" t="s">
        <v>1206</v>
      </c>
    </row>
    <row r="15" spans="1:17">
      <c r="A15" s="327">
        <v>38844</v>
      </c>
      <c r="B15" s="327" t="s">
        <v>2110</v>
      </c>
      <c r="C15" s="327" t="s">
        <v>2111</v>
      </c>
      <c r="D15" s="327" t="s">
        <v>667</v>
      </c>
      <c r="E15" s="327" t="s">
        <v>42</v>
      </c>
      <c r="F15" s="327" t="s">
        <v>359</v>
      </c>
      <c r="G15" s="327"/>
      <c r="H15" s="328"/>
      <c r="I15" s="329">
        <v>4651</v>
      </c>
      <c r="J15" s="329">
        <v>26</v>
      </c>
      <c r="K15" s="330">
        <v>178.88</v>
      </c>
      <c r="L15" s="330"/>
      <c r="M15" s="327" t="s">
        <v>82</v>
      </c>
      <c r="N15" s="328" t="s">
        <v>83</v>
      </c>
    </row>
    <row r="16" spans="1:17">
      <c r="A16" s="327">
        <v>38734</v>
      </c>
      <c r="B16" s="327" t="s">
        <v>1875</v>
      </c>
      <c r="C16" s="327" t="s">
        <v>599</v>
      </c>
      <c r="D16" s="327" t="s">
        <v>1376</v>
      </c>
      <c r="E16" s="327" t="s">
        <v>42</v>
      </c>
      <c r="F16" s="327" t="s">
        <v>359</v>
      </c>
      <c r="G16" s="327"/>
      <c r="H16" s="328"/>
      <c r="I16" s="329">
        <v>3893</v>
      </c>
      <c r="J16" s="329">
        <v>22</v>
      </c>
      <c r="K16" s="330">
        <v>176.95</v>
      </c>
      <c r="L16" s="330"/>
      <c r="M16" s="327" t="s">
        <v>560</v>
      </c>
      <c r="N16" s="328" t="s">
        <v>561</v>
      </c>
    </row>
    <row r="17" spans="1:14">
      <c r="A17" s="327">
        <v>38544</v>
      </c>
      <c r="B17" s="327" t="s">
        <v>376</v>
      </c>
      <c r="C17" s="327" t="s">
        <v>377</v>
      </c>
      <c r="D17" s="327" t="s">
        <v>378</v>
      </c>
      <c r="E17" s="327" t="s">
        <v>42</v>
      </c>
      <c r="F17" s="327" t="s">
        <v>88</v>
      </c>
      <c r="G17" s="327"/>
      <c r="H17" s="328"/>
      <c r="I17" s="331">
        <v>11858</v>
      </c>
      <c r="J17" s="331">
        <v>68</v>
      </c>
      <c r="K17" s="331">
        <v>174.38</v>
      </c>
      <c r="L17" s="331"/>
      <c r="M17" s="327" t="s">
        <v>1704</v>
      </c>
      <c r="N17" s="328" t="s">
        <v>1705</v>
      </c>
    </row>
    <row r="18" spans="1:14">
      <c r="A18" s="327">
        <v>38846</v>
      </c>
      <c r="B18" s="327" t="s">
        <v>2218</v>
      </c>
      <c r="C18" s="327" t="s">
        <v>2219</v>
      </c>
      <c r="D18" s="327" t="s">
        <v>1450</v>
      </c>
      <c r="E18" s="327" t="s">
        <v>42</v>
      </c>
      <c r="F18" s="327" t="s">
        <v>88</v>
      </c>
      <c r="G18" s="327"/>
      <c r="H18" s="328"/>
      <c r="I18" s="331">
        <v>9589</v>
      </c>
      <c r="J18" s="331">
        <v>55</v>
      </c>
      <c r="K18" s="331">
        <v>174.35</v>
      </c>
      <c r="L18" s="331"/>
      <c r="M18" s="327" t="s">
        <v>1206</v>
      </c>
      <c r="N18" s="328" t="s">
        <v>1175</v>
      </c>
    </row>
    <row r="19" spans="1:14">
      <c r="A19" s="327">
        <v>38867</v>
      </c>
      <c r="B19" s="327" t="s">
        <v>2331</v>
      </c>
      <c r="C19" s="327" t="s">
        <v>2332</v>
      </c>
      <c r="D19" s="327" t="s">
        <v>2333</v>
      </c>
      <c r="E19" s="327" t="s">
        <v>42</v>
      </c>
      <c r="F19" s="327" t="s">
        <v>88</v>
      </c>
      <c r="G19" s="327"/>
      <c r="H19" s="328"/>
      <c r="I19" s="331">
        <v>2571</v>
      </c>
      <c r="J19" s="331">
        <v>15</v>
      </c>
      <c r="K19" s="331">
        <v>171.4</v>
      </c>
      <c r="L19" s="331"/>
      <c r="M19" s="327" t="s">
        <v>254</v>
      </c>
      <c r="N19" s="328" t="s">
        <v>1359</v>
      </c>
    </row>
    <row r="20" spans="1:14">
      <c r="A20" s="327">
        <v>38845</v>
      </c>
      <c r="B20" s="327" t="s">
        <v>2104</v>
      </c>
      <c r="C20" s="327" t="s">
        <v>2105</v>
      </c>
      <c r="D20" s="327" t="s">
        <v>2106</v>
      </c>
      <c r="E20" s="327" t="s">
        <v>42</v>
      </c>
      <c r="F20" s="327" t="s">
        <v>88</v>
      </c>
      <c r="G20" s="327"/>
      <c r="H20" s="328"/>
      <c r="I20" s="329">
        <v>2891</v>
      </c>
      <c r="J20" s="329">
        <v>17</v>
      </c>
      <c r="K20" s="330">
        <v>170.06</v>
      </c>
      <c r="L20" s="330"/>
      <c r="M20" s="327" t="s">
        <v>82</v>
      </c>
      <c r="N20" s="328" t="s">
        <v>83</v>
      </c>
    </row>
    <row r="21" spans="1:14">
      <c r="A21" s="327">
        <v>38714</v>
      </c>
      <c r="B21" s="327" t="s">
        <v>1903</v>
      </c>
      <c r="C21" s="327" t="s">
        <v>1904</v>
      </c>
      <c r="D21" s="327" t="s">
        <v>991</v>
      </c>
      <c r="E21" s="327" t="s">
        <v>42</v>
      </c>
      <c r="F21" s="327" t="s">
        <v>359</v>
      </c>
      <c r="G21" s="327"/>
      <c r="H21" s="328"/>
      <c r="I21" s="329">
        <v>6061</v>
      </c>
      <c r="J21" s="329">
        <v>36</v>
      </c>
      <c r="K21" s="330">
        <v>168.36</v>
      </c>
      <c r="L21" s="330"/>
      <c r="M21" s="327" t="s">
        <v>967</v>
      </c>
      <c r="N21" s="328" t="s">
        <v>968</v>
      </c>
    </row>
    <row r="22" spans="1:14">
      <c r="A22" s="327">
        <v>38719</v>
      </c>
      <c r="B22" s="327" t="s">
        <v>1892</v>
      </c>
      <c r="C22" s="327" t="s">
        <v>785</v>
      </c>
      <c r="D22" s="327" t="s">
        <v>893</v>
      </c>
      <c r="E22" s="327" t="s">
        <v>42</v>
      </c>
      <c r="F22" s="327" t="s">
        <v>359</v>
      </c>
      <c r="G22" s="327"/>
      <c r="H22" s="328"/>
      <c r="I22" s="331">
        <v>4956</v>
      </c>
      <c r="J22" s="331">
        <v>30</v>
      </c>
      <c r="K22" s="331">
        <v>165.2</v>
      </c>
      <c r="L22" s="331"/>
      <c r="M22" s="327" t="s">
        <v>739</v>
      </c>
      <c r="N22" s="328" t="s">
        <v>740</v>
      </c>
    </row>
    <row r="23" spans="1:14">
      <c r="A23" s="327">
        <v>38895</v>
      </c>
      <c r="B23" s="327" t="s">
        <v>2582</v>
      </c>
      <c r="C23" s="327" t="s">
        <v>2583</v>
      </c>
      <c r="D23" s="327" t="s">
        <v>402</v>
      </c>
      <c r="E23" s="327" t="s">
        <v>42</v>
      </c>
      <c r="F23" s="327" t="s">
        <v>359</v>
      </c>
      <c r="G23" s="327"/>
      <c r="H23" s="328"/>
      <c r="I23" s="331">
        <v>6130</v>
      </c>
      <c r="J23" s="331">
        <v>38</v>
      </c>
      <c r="K23" s="331">
        <v>161.32</v>
      </c>
      <c r="L23" s="331"/>
      <c r="M23" s="327" t="s">
        <v>1704</v>
      </c>
      <c r="N23" s="328" t="s">
        <v>1705</v>
      </c>
    </row>
    <row r="24" spans="1:14">
      <c r="A24" s="327">
        <v>38674</v>
      </c>
      <c r="B24" s="327" t="s">
        <v>1665</v>
      </c>
      <c r="C24" s="327" t="s">
        <v>1666</v>
      </c>
      <c r="D24" s="327" t="s">
        <v>1667</v>
      </c>
      <c r="E24" s="327" t="s">
        <v>42</v>
      </c>
      <c r="F24" s="327" t="s">
        <v>359</v>
      </c>
      <c r="G24" s="327"/>
      <c r="H24" s="328"/>
      <c r="I24" s="329">
        <v>1895</v>
      </c>
      <c r="J24" s="329">
        <v>12</v>
      </c>
      <c r="K24" s="330">
        <v>157.91999999999999</v>
      </c>
      <c r="L24" s="330"/>
      <c r="M24" s="327" t="s">
        <v>672</v>
      </c>
      <c r="N24" s="328" t="s">
        <v>673</v>
      </c>
    </row>
    <row r="25" spans="1:14">
      <c r="A25" s="327">
        <v>38795</v>
      </c>
      <c r="B25" s="327" t="s">
        <v>2136</v>
      </c>
      <c r="C25" s="327" t="s">
        <v>2137</v>
      </c>
      <c r="D25" s="327" t="s">
        <v>2138</v>
      </c>
      <c r="E25" s="327" t="s">
        <v>42</v>
      </c>
      <c r="F25" s="327" t="s">
        <v>88</v>
      </c>
      <c r="G25" s="327"/>
      <c r="H25" s="328"/>
      <c r="I25" s="331">
        <v>778</v>
      </c>
      <c r="J25" s="331">
        <v>5</v>
      </c>
      <c r="K25" s="331">
        <v>155.6</v>
      </c>
      <c r="L25" s="331"/>
      <c r="M25" s="327" t="s">
        <v>672</v>
      </c>
      <c r="N25" s="328" t="s">
        <v>673</v>
      </c>
    </row>
    <row r="26" spans="1:14">
      <c r="A26" s="327">
        <v>38809</v>
      </c>
      <c r="B26" s="327" t="s">
        <v>2145</v>
      </c>
      <c r="C26" s="327" t="s">
        <v>1907</v>
      </c>
      <c r="D26" s="327" t="s">
        <v>87</v>
      </c>
      <c r="E26" s="327" t="s">
        <v>42</v>
      </c>
      <c r="F26" s="327" t="s">
        <v>88</v>
      </c>
      <c r="G26" s="327"/>
      <c r="H26" s="328"/>
      <c r="I26" s="329">
        <v>3688</v>
      </c>
      <c r="J26" s="329">
        <v>24</v>
      </c>
      <c r="K26" s="330">
        <v>153.66999999999999</v>
      </c>
      <c r="L26" s="330"/>
      <c r="M26" s="327" t="s">
        <v>739</v>
      </c>
      <c r="N26" s="328" t="s">
        <v>740</v>
      </c>
    </row>
    <row r="27" spans="1:14">
      <c r="A27" s="327">
        <v>38772</v>
      </c>
      <c r="B27" s="327" t="s">
        <v>2030</v>
      </c>
      <c r="C27" s="327" t="s">
        <v>2031</v>
      </c>
      <c r="D27" s="327" t="s">
        <v>81</v>
      </c>
      <c r="E27" s="327" t="s">
        <v>42</v>
      </c>
      <c r="F27" s="327" t="s">
        <v>359</v>
      </c>
      <c r="G27" s="327"/>
      <c r="H27" s="328"/>
      <c r="I27" s="331">
        <v>859</v>
      </c>
      <c r="J27" s="331">
        <v>6</v>
      </c>
      <c r="K27" s="331">
        <v>143.16999999999999</v>
      </c>
      <c r="L27" s="331"/>
      <c r="M27" s="327" t="s">
        <v>82</v>
      </c>
      <c r="N27" s="328" t="s">
        <v>83</v>
      </c>
    </row>
    <row r="28" spans="1:14">
      <c r="A28" s="327">
        <v>38706</v>
      </c>
      <c r="B28" s="327" t="s">
        <v>1879</v>
      </c>
      <c r="C28" s="327" t="s">
        <v>271</v>
      </c>
      <c r="D28" s="327" t="s">
        <v>1880</v>
      </c>
      <c r="E28" s="327" t="s">
        <v>42</v>
      </c>
      <c r="F28" s="327" t="s">
        <v>88</v>
      </c>
      <c r="G28" s="327"/>
      <c r="H28" s="328"/>
      <c r="I28" s="329">
        <v>5068</v>
      </c>
      <c r="J28" s="329">
        <v>36</v>
      </c>
      <c r="K28" s="330">
        <v>140.78</v>
      </c>
      <c r="L28" s="330"/>
      <c r="M28" s="327" t="s">
        <v>1206</v>
      </c>
      <c r="N28" s="328" t="s">
        <v>1175</v>
      </c>
    </row>
    <row r="29" spans="1:14">
      <c r="A29" s="327">
        <v>38781</v>
      </c>
      <c r="B29" s="327" t="s">
        <v>2034</v>
      </c>
      <c r="C29" s="327" t="s">
        <v>2035</v>
      </c>
      <c r="D29" s="327" t="s">
        <v>378</v>
      </c>
      <c r="E29" s="327" t="s">
        <v>42</v>
      </c>
      <c r="F29" s="327" t="s">
        <v>359</v>
      </c>
      <c r="G29" s="327"/>
      <c r="H29" s="328"/>
      <c r="I29" s="329">
        <v>1651</v>
      </c>
      <c r="J29" s="329">
        <v>12</v>
      </c>
      <c r="K29" s="330">
        <v>137.58000000000001</v>
      </c>
      <c r="L29" s="330"/>
      <c r="M29" s="327" t="s">
        <v>672</v>
      </c>
      <c r="N29" s="328" t="s">
        <v>673</v>
      </c>
    </row>
    <row r="30" spans="1:14">
      <c r="A30" s="327">
        <v>38949</v>
      </c>
      <c r="B30" s="327" t="s">
        <v>2603</v>
      </c>
      <c r="C30" s="327" t="s">
        <v>2605</v>
      </c>
      <c r="D30" s="327" t="s">
        <v>667</v>
      </c>
      <c r="E30" s="327" t="s">
        <v>2604</v>
      </c>
      <c r="F30" s="327" t="s">
        <v>359</v>
      </c>
      <c r="G30" s="327"/>
      <c r="H30" s="328"/>
      <c r="I30" s="331">
        <v>1648</v>
      </c>
      <c r="J30" s="331">
        <v>12</v>
      </c>
      <c r="K30" s="331">
        <v>137.33000000000001</v>
      </c>
      <c r="L30" s="331"/>
      <c r="M30" s="327" t="s">
        <v>1175</v>
      </c>
      <c r="N30" s="328" t="s">
        <v>1206</v>
      </c>
    </row>
    <row r="31" spans="1:14">
      <c r="A31" s="327">
        <v>38894</v>
      </c>
      <c r="B31" s="327" t="s">
        <v>2454</v>
      </c>
      <c r="C31" s="327" t="s">
        <v>2455</v>
      </c>
      <c r="D31" s="327" t="s">
        <v>1376</v>
      </c>
      <c r="E31" s="327" t="s">
        <v>42</v>
      </c>
      <c r="F31" s="327" t="s">
        <v>88</v>
      </c>
      <c r="G31" s="327"/>
      <c r="H31" s="328"/>
      <c r="I31" s="329">
        <v>1601</v>
      </c>
      <c r="J31" s="329">
        <v>12</v>
      </c>
      <c r="K31" s="330">
        <v>133.41999999999999</v>
      </c>
      <c r="L31" s="330"/>
      <c r="M31" s="327" t="s">
        <v>672</v>
      </c>
      <c r="N31" s="328" t="s">
        <v>673</v>
      </c>
    </row>
    <row r="32" spans="1:14">
      <c r="A32" s="327">
        <v>38776</v>
      </c>
      <c r="B32" s="327" t="s">
        <v>2050</v>
      </c>
      <c r="C32" s="327" t="s">
        <v>2051</v>
      </c>
      <c r="D32" s="327" t="s">
        <v>807</v>
      </c>
      <c r="E32" s="327" t="s">
        <v>42</v>
      </c>
      <c r="F32" s="327" t="s">
        <v>2052</v>
      </c>
      <c r="G32" s="327"/>
      <c r="H32" s="328"/>
      <c r="I32" s="331">
        <v>1521</v>
      </c>
      <c r="J32" s="331">
        <v>12</v>
      </c>
      <c r="K32" s="331">
        <v>126.75</v>
      </c>
      <c r="L32" s="331"/>
      <c r="M32" s="327" t="s">
        <v>1704</v>
      </c>
      <c r="N32" s="328" t="s">
        <v>1705</v>
      </c>
    </row>
    <row r="33" spans="1:14">
      <c r="A33" s="327">
        <v>38879</v>
      </c>
      <c r="B33" s="327" t="s">
        <v>2334</v>
      </c>
      <c r="C33" s="327" t="s">
        <v>2115</v>
      </c>
      <c r="D33" s="327" t="s">
        <v>490</v>
      </c>
      <c r="E33" s="327" t="s">
        <v>42</v>
      </c>
      <c r="F33" s="327" t="s">
        <v>359</v>
      </c>
      <c r="G33" s="327"/>
      <c r="H33" s="328"/>
      <c r="I33" s="329">
        <v>875</v>
      </c>
      <c r="J33" s="329">
        <v>7</v>
      </c>
      <c r="K33" s="330">
        <v>125</v>
      </c>
      <c r="L33" s="330"/>
      <c r="M33" s="327" t="s">
        <v>318</v>
      </c>
      <c r="N33" s="328" t="s">
        <v>301</v>
      </c>
    </row>
    <row r="34" spans="1:14">
      <c r="A34" s="327">
        <v>38904</v>
      </c>
      <c r="B34" s="327" t="s">
        <v>2541</v>
      </c>
      <c r="C34" s="327" t="s">
        <v>500</v>
      </c>
      <c r="D34" s="327" t="s">
        <v>2542</v>
      </c>
      <c r="E34" s="327" t="s">
        <v>42</v>
      </c>
      <c r="F34" s="327" t="s">
        <v>2052</v>
      </c>
      <c r="G34" s="327"/>
      <c r="H34" s="328"/>
      <c r="I34" s="331">
        <v>1834</v>
      </c>
      <c r="J34" s="331">
        <v>15</v>
      </c>
      <c r="K34" s="331">
        <v>122.27</v>
      </c>
      <c r="L34" s="331"/>
      <c r="M34" s="327" t="s">
        <v>1206</v>
      </c>
      <c r="N34" s="328" t="s">
        <v>1175</v>
      </c>
    </row>
    <row r="35" spans="1:14">
      <c r="A35" s="327">
        <v>38819</v>
      </c>
      <c r="B35" s="327" t="s">
        <v>2186</v>
      </c>
      <c r="C35" s="327" t="s">
        <v>2187</v>
      </c>
      <c r="D35" s="327" t="s">
        <v>738</v>
      </c>
      <c r="E35" s="327" t="s">
        <v>42</v>
      </c>
      <c r="F35" s="327" t="s">
        <v>2052</v>
      </c>
      <c r="G35" s="327"/>
      <c r="H35" s="328"/>
      <c r="I35" s="329">
        <v>2922</v>
      </c>
      <c r="J35" s="329">
        <v>25</v>
      </c>
      <c r="K35" s="330">
        <v>116.88</v>
      </c>
      <c r="L35" s="330"/>
      <c r="M35" s="327" t="s">
        <v>967</v>
      </c>
      <c r="N35" s="328" t="s">
        <v>968</v>
      </c>
    </row>
    <row r="36" spans="1:14">
      <c r="A36" s="327">
        <v>38810</v>
      </c>
      <c r="B36" s="327" t="s">
        <v>2161</v>
      </c>
      <c r="C36" s="327" t="s">
        <v>2162</v>
      </c>
      <c r="D36" s="327" t="s">
        <v>284</v>
      </c>
      <c r="E36" s="327" t="s">
        <v>42</v>
      </c>
      <c r="F36" s="327" t="s">
        <v>88</v>
      </c>
      <c r="G36" s="327"/>
      <c r="H36" s="328"/>
      <c r="I36" s="331">
        <v>2070</v>
      </c>
      <c r="J36" s="331">
        <v>18</v>
      </c>
      <c r="K36" s="331">
        <v>115</v>
      </c>
      <c r="L36" s="331"/>
      <c r="M36" s="327" t="s">
        <v>739</v>
      </c>
      <c r="N36" s="328" t="s">
        <v>740</v>
      </c>
    </row>
    <row r="37" spans="1:14">
      <c r="A37" s="327">
        <v>38784</v>
      </c>
      <c r="B37" s="327" t="s">
        <v>2095</v>
      </c>
      <c r="C37" s="327" t="s">
        <v>2096</v>
      </c>
      <c r="D37" s="327" t="s">
        <v>632</v>
      </c>
      <c r="E37" s="327" t="s">
        <v>42</v>
      </c>
      <c r="F37" s="327" t="s">
        <v>359</v>
      </c>
      <c r="G37" s="327"/>
      <c r="H37" s="328"/>
      <c r="I37" s="329">
        <v>1361</v>
      </c>
      <c r="J37" s="329">
        <v>12</v>
      </c>
      <c r="K37" s="330">
        <v>113.42</v>
      </c>
      <c r="L37" s="330"/>
      <c r="M37" s="327" t="s">
        <v>967</v>
      </c>
      <c r="N37" s="328" t="s">
        <v>968</v>
      </c>
    </row>
    <row r="38" spans="1:14">
      <c r="A38" s="327">
        <v>38915</v>
      </c>
      <c r="B38" s="327" t="s">
        <v>2456</v>
      </c>
      <c r="C38" s="327" t="s">
        <v>2457</v>
      </c>
      <c r="D38" s="327" t="s">
        <v>2458</v>
      </c>
      <c r="E38" s="327" t="s">
        <v>42</v>
      </c>
      <c r="F38" s="327" t="s">
        <v>88</v>
      </c>
      <c r="G38" s="327"/>
      <c r="H38" s="328"/>
      <c r="I38" s="329">
        <v>561</v>
      </c>
      <c r="J38" s="329">
        <v>5</v>
      </c>
      <c r="K38" s="330">
        <v>112.2</v>
      </c>
      <c r="L38" s="330"/>
      <c r="M38" s="327" t="s">
        <v>672</v>
      </c>
      <c r="N38" s="328" t="s">
        <v>673</v>
      </c>
    </row>
    <row r="39" spans="1:14">
      <c r="A39" s="327">
        <v>38808</v>
      </c>
      <c r="B39" s="327" t="s">
        <v>2157</v>
      </c>
      <c r="C39" s="327" t="s">
        <v>1013</v>
      </c>
      <c r="D39" s="327" t="s">
        <v>996</v>
      </c>
      <c r="E39" s="327" t="s">
        <v>42</v>
      </c>
      <c r="F39" s="327" t="s">
        <v>359</v>
      </c>
      <c r="G39" s="327"/>
      <c r="H39" s="328"/>
      <c r="I39" s="331">
        <v>1338</v>
      </c>
      <c r="J39" s="331">
        <v>12</v>
      </c>
      <c r="K39" s="331">
        <v>111.5</v>
      </c>
      <c r="L39" s="331"/>
      <c r="M39" s="327" t="s">
        <v>739</v>
      </c>
      <c r="N39" s="328" t="s">
        <v>740</v>
      </c>
    </row>
    <row r="40" spans="1:14">
      <c r="A40" s="327">
        <v>38927</v>
      </c>
      <c r="B40" s="327" t="s">
        <v>2453</v>
      </c>
      <c r="C40" s="327" t="s">
        <v>2228</v>
      </c>
      <c r="D40" s="327" t="s">
        <v>2241</v>
      </c>
      <c r="E40" s="327" t="s">
        <v>42</v>
      </c>
      <c r="F40" s="327" t="s">
        <v>88</v>
      </c>
      <c r="G40" s="327"/>
      <c r="H40" s="328"/>
      <c r="I40" s="331">
        <v>1894</v>
      </c>
      <c r="J40" s="331">
        <v>17</v>
      </c>
      <c r="K40" s="331">
        <v>111.41</v>
      </c>
      <c r="L40" s="331"/>
      <c r="M40" s="327" t="s">
        <v>672</v>
      </c>
      <c r="N40" s="328" t="s">
        <v>673</v>
      </c>
    </row>
    <row r="41" spans="1:14">
      <c r="A41" s="327">
        <v>38865</v>
      </c>
      <c r="B41" s="327" t="s">
        <v>2314</v>
      </c>
      <c r="C41" s="327" t="s">
        <v>2315</v>
      </c>
      <c r="D41" s="327" t="s">
        <v>378</v>
      </c>
      <c r="E41" s="327" t="s">
        <v>42</v>
      </c>
      <c r="F41" s="327" t="s">
        <v>88</v>
      </c>
      <c r="G41" s="327"/>
      <c r="H41" s="328"/>
      <c r="I41" s="331">
        <v>3807</v>
      </c>
      <c r="J41" s="331">
        <v>36</v>
      </c>
      <c r="K41" s="331">
        <v>105.75</v>
      </c>
      <c r="L41" s="331"/>
      <c r="M41" s="327" t="s">
        <v>967</v>
      </c>
      <c r="N41" s="328" t="s">
        <v>968</v>
      </c>
    </row>
    <row r="42" spans="1:14">
      <c r="A42" s="327">
        <v>38920</v>
      </c>
      <c r="B42" s="327" t="s">
        <v>2482</v>
      </c>
      <c r="C42" s="327" t="s">
        <v>2483</v>
      </c>
      <c r="D42" s="327" t="s">
        <v>378</v>
      </c>
      <c r="E42" s="327" t="s">
        <v>42</v>
      </c>
      <c r="F42" s="327" t="s">
        <v>2052</v>
      </c>
      <c r="G42" s="327"/>
      <c r="H42" s="328"/>
      <c r="I42" s="329">
        <v>1681</v>
      </c>
      <c r="J42" s="329">
        <v>16</v>
      </c>
      <c r="K42" s="330">
        <v>105.06</v>
      </c>
      <c r="L42" s="330"/>
      <c r="M42" s="327" t="s">
        <v>739</v>
      </c>
      <c r="N42" s="328" t="s">
        <v>740</v>
      </c>
    </row>
    <row r="43" spans="1:14">
      <c r="A43" s="327">
        <v>38806</v>
      </c>
      <c r="B43" s="327" t="s">
        <v>2237</v>
      </c>
      <c r="C43" s="327" t="s">
        <v>1623</v>
      </c>
      <c r="D43" s="327" t="s">
        <v>1883</v>
      </c>
      <c r="E43" s="327" t="s">
        <v>42</v>
      </c>
      <c r="F43" s="327" t="s">
        <v>88</v>
      </c>
      <c r="G43" s="327"/>
      <c r="H43" s="328"/>
      <c r="I43" s="329">
        <v>3229</v>
      </c>
      <c r="J43" s="329">
        <v>32</v>
      </c>
      <c r="K43" s="330">
        <v>100.91</v>
      </c>
      <c r="L43" s="330"/>
      <c r="M43" s="327" t="s">
        <v>254</v>
      </c>
      <c r="N43" s="328" t="s">
        <v>1359</v>
      </c>
    </row>
    <row r="44" spans="1:14">
      <c r="A44" s="327">
        <v>38922</v>
      </c>
      <c r="B44" s="327" t="s">
        <v>2476</v>
      </c>
      <c r="C44" s="327" t="s">
        <v>2477</v>
      </c>
      <c r="D44" s="327" t="s">
        <v>2478</v>
      </c>
      <c r="E44" s="327" t="s">
        <v>42</v>
      </c>
      <c r="F44" s="327" t="s">
        <v>88</v>
      </c>
      <c r="G44" s="327"/>
      <c r="H44" s="328"/>
      <c r="I44" s="329">
        <v>1493</v>
      </c>
      <c r="J44" s="329">
        <v>15</v>
      </c>
      <c r="K44" s="330">
        <v>99.53</v>
      </c>
      <c r="L44" s="330"/>
      <c r="M44" s="327" t="s">
        <v>739</v>
      </c>
      <c r="N44" s="328" t="s">
        <v>740</v>
      </c>
    </row>
    <row r="45" spans="1:14">
      <c r="A45" s="327">
        <v>38893</v>
      </c>
      <c r="B45" s="327" t="s">
        <v>2401</v>
      </c>
      <c r="C45" s="327" t="s">
        <v>2402</v>
      </c>
      <c r="D45" s="327" t="s">
        <v>2403</v>
      </c>
      <c r="E45" s="327" t="s">
        <v>42</v>
      </c>
      <c r="F45" s="327" t="s">
        <v>2052</v>
      </c>
      <c r="G45" s="327"/>
      <c r="H45" s="328"/>
      <c r="I45" s="329">
        <v>1012</v>
      </c>
      <c r="J45" s="329">
        <v>12</v>
      </c>
      <c r="K45" s="330">
        <v>84.33</v>
      </c>
      <c r="L45" s="330"/>
      <c r="M45" s="327" t="s">
        <v>82</v>
      </c>
      <c r="N45" s="328" t="s">
        <v>83</v>
      </c>
    </row>
    <row r="46" spans="1:14">
      <c r="A46" s="327">
        <v>38438</v>
      </c>
      <c r="B46" s="327" t="s">
        <v>1607</v>
      </c>
      <c r="C46" s="327" t="s">
        <v>1608</v>
      </c>
      <c r="D46" s="327" t="s">
        <v>1609</v>
      </c>
      <c r="E46" s="327" t="s">
        <v>48</v>
      </c>
      <c r="F46" s="327" t="s">
        <v>1121</v>
      </c>
      <c r="I46" s="329">
        <v>17181</v>
      </c>
      <c r="J46" s="329">
        <v>90</v>
      </c>
      <c r="K46" s="330">
        <v>190.9</v>
      </c>
      <c r="L46" s="254"/>
      <c r="M46" s="327" t="s">
        <v>1593</v>
      </c>
      <c r="N46" s="332" t="s">
        <v>1359</v>
      </c>
    </row>
    <row r="47" spans="1:14">
      <c r="A47" s="327">
        <v>38553</v>
      </c>
      <c r="B47" s="327" t="s">
        <v>1617</v>
      </c>
      <c r="C47" s="327" t="s">
        <v>1335</v>
      </c>
      <c r="D47" s="327" t="s">
        <v>1113</v>
      </c>
      <c r="E47" s="327" t="s">
        <v>48</v>
      </c>
      <c r="F47" s="327" t="s">
        <v>1121</v>
      </c>
      <c r="I47" s="331">
        <v>21813</v>
      </c>
      <c r="J47" s="331">
        <v>117</v>
      </c>
      <c r="K47" s="331">
        <v>186.44</v>
      </c>
      <c r="L47" s="254"/>
      <c r="M47" s="327" t="s">
        <v>1593</v>
      </c>
      <c r="N47" s="332" t="s">
        <v>1359</v>
      </c>
    </row>
    <row r="48" spans="1:14">
      <c r="A48" s="327">
        <v>38526</v>
      </c>
      <c r="B48" s="327" t="s">
        <v>2328</v>
      </c>
      <c r="C48" s="327" t="s">
        <v>2329</v>
      </c>
      <c r="D48" s="327" t="s">
        <v>2330</v>
      </c>
      <c r="E48" s="327" t="s">
        <v>48</v>
      </c>
      <c r="F48" s="327" t="s">
        <v>1121</v>
      </c>
      <c r="I48" s="329">
        <v>2220</v>
      </c>
      <c r="J48" s="329">
        <v>12</v>
      </c>
      <c r="K48" s="330">
        <v>185</v>
      </c>
      <c r="L48" s="254"/>
      <c r="M48" s="327" t="s">
        <v>254</v>
      </c>
      <c r="N48" s="332" t="s">
        <v>1359</v>
      </c>
    </row>
    <row r="49" spans="1:14">
      <c r="A49" s="327">
        <v>38773</v>
      </c>
      <c r="B49" s="327" t="s">
        <v>2037</v>
      </c>
      <c r="C49" s="327" t="s">
        <v>2038</v>
      </c>
      <c r="D49" s="327" t="s">
        <v>2039</v>
      </c>
      <c r="E49" s="327" t="s">
        <v>48</v>
      </c>
      <c r="F49" s="327" t="s">
        <v>774</v>
      </c>
      <c r="I49" s="329">
        <v>8157</v>
      </c>
      <c r="J49" s="329">
        <v>53</v>
      </c>
      <c r="K49" s="330">
        <v>153.91</v>
      </c>
      <c r="L49" s="254"/>
      <c r="M49" s="327" t="s">
        <v>739</v>
      </c>
      <c r="N49" s="332" t="s">
        <v>740</v>
      </c>
    </row>
    <row r="50" spans="1:14">
      <c r="A50" s="327">
        <v>38760</v>
      </c>
      <c r="B50" s="327" t="s">
        <v>1969</v>
      </c>
      <c r="C50" s="327" t="s">
        <v>1970</v>
      </c>
      <c r="D50" s="327" t="s">
        <v>1971</v>
      </c>
      <c r="E50" s="327" t="s">
        <v>48</v>
      </c>
      <c r="F50" s="327" t="s">
        <v>774</v>
      </c>
      <c r="I50" s="329">
        <v>7201</v>
      </c>
      <c r="J50" s="329">
        <v>47</v>
      </c>
      <c r="K50" s="330">
        <v>153.21</v>
      </c>
      <c r="L50" s="254"/>
      <c r="M50" s="327" t="s">
        <v>739</v>
      </c>
      <c r="N50" s="332" t="s">
        <v>740</v>
      </c>
    </row>
    <row r="51" spans="1:14">
      <c r="A51" s="327">
        <v>38759</v>
      </c>
      <c r="B51" s="327" t="s">
        <v>1978</v>
      </c>
      <c r="C51" s="327" t="s">
        <v>1979</v>
      </c>
      <c r="D51" s="327" t="s">
        <v>1980</v>
      </c>
      <c r="E51" s="327" t="s">
        <v>48</v>
      </c>
      <c r="F51" s="327" t="s">
        <v>774</v>
      </c>
      <c r="I51" s="329">
        <v>8829</v>
      </c>
      <c r="J51" s="329">
        <v>58</v>
      </c>
      <c r="K51" s="330">
        <v>152.22</v>
      </c>
      <c r="L51" s="254"/>
      <c r="M51" s="327" t="s">
        <v>739</v>
      </c>
      <c r="N51" s="332" t="s">
        <v>740</v>
      </c>
    </row>
    <row r="52" spans="1:14">
      <c r="A52" s="327">
        <v>38663</v>
      </c>
      <c r="B52" s="327" t="s">
        <v>1342</v>
      </c>
      <c r="C52" s="327" t="s">
        <v>1343</v>
      </c>
      <c r="D52" s="327" t="s">
        <v>1344</v>
      </c>
      <c r="E52" s="327" t="s">
        <v>48</v>
      </c>
      <c r="F52" s="327" t="s">
        <v>1121</v>
      </c>
      <c r="I52" s="329">
        <v>2607</v>
      </c>
      <c r="J52" s="329">
        <v>18</v>
      </c>
      <c r="K52" s="330">
        <v>144.83000000000001</v>
      </c>
      <c r="L52" s="254"/>
      <c r="M52" s="327" t="s">
        <v>1327</v>
      </c>
      <c r="N52" s="332" t="s">
        <v>1328</v>
      </c>
    </row>
    <row r="53" spans="1:14">
      <c r="A53" s="327">
        <v>38843</v>
      </c>
      <c r="B53" s="327" t="s">
        <v>2107</v>
      </c>
      <c r="C53" s="327" t="s">
        <v>2108</v>
      </c>
      <c r="D53" s="327" t="s">
        <v>2109</v>
      </c>
      <c r="E53" s="327" t="s">
        <v>48</v>
      </c>
      <c r="F53" s="327" t="s">
        <v>774</v>
      </c>
      <c r="I53" s="331">
        <v>1437</v>
      </c>
      <c r="J53" s="331">
        <v>12</v>
      </c>
      <c r="K53" s="331">
        <v>119.75</v>
      </c>
      <c r="L53" s="254"/>
      <c r="M53" s="327" t="s">
        <v>82</v>
      </c>
      <c r="N53" s="332" t="s">
        <v>83</v>
      </c>
    </row>
    <row r="54" spans="1:14">
      <c r="A54" s="327">
        <v>38910</v>
      </c>
      <c r="B54" s="327" t="s">
        <v>2530</v>
      </c>
      <c r="C54" s="327" t="s">
        <v>2529</v>
      </c>
      <c r="D54" s="327" t="s">
        <v>2531</v>
      </c>
      <c r="E54" s="327" t="s">
        <v>48</v>
      </c>
      <c r="F54" s="327" t="s">
        <v>774</v>
      </c>
      <c r="I54" s="329">
        <v>1793</v>
      </c>
      <c r="J54" s="329">
        <v>15</v>
      </c>
      <c r="K54" s="330">
        <v>119.53</v>
      </c>
      <c r="L54" s="254"/>
      <c r="M54" s="327" t="s">
        <v>1206</v>
      </c>
      <c r="N54" s="332" t="s">
        <v>1175</v>
      </c>
    </row>
    <row r="55" spans="1:14">
      <c r="A55" s="327">
        <v>38848</v>
      </c>
      <c r="B55" s="327" t="s">
        <v>2305</v>
      </c>
      <c r="C55" s="327" t="s">
        <v>2304</v>
      </c>
      <c r="D55" s="327" t="s">
        <v>689</v>
      </c>
      <c r="E55" s="327" t="s">
        <v>48</v>
      </c>
      <c r="F55" s="327" t="s">
        <v>774</v>
      </c>
      <c r="I55" s="331">
        <v>4421</v>
      </c>
      <c r="J55" s="331">
        <v>37</v>
      </c>
      <c r="K55" s="331">
        <v>119.49</v>
      </c>
      <c r="L55" s="254"/>
      <c r="M55" s="327" t="s">
        <v>739</v>
      </c>
      <c r="N55" s="332" t="s">
        <v>740</v>
      </c>
    </row>
    <row r="56" spans="1:14">
      <c r="A56" s="327">
        <v>38849</v>
      </c>
      <c r="B56" s="327" t="s">
        <v>2303</v>
      </c>
      <c r="C56" s="327" t="s">
        <v>2304</v>
      </c>
      <c r="D56" s="327" t="s">
        <v>2109</v>
      </c>
      <c r="E56" s="327" t="s">
        <v>48</v>
      </c>
      <c r="F56" s="327" t="s">
        <v>774</v>
      </c>
      <c r="I56" s="331">
        <v>4405</v>
      </c>
      <c r="J56" s="331">
        <v>38</v>
      </c>
      <c r="K56" s="331">
        <v>115.92</v>
      </c>
      <c r="L56" s="254"/>
      <c r="M56" s="327" t="s">
        <v>739</v>
      </c>
      <c r="N56" s="332" t="s">
        <v>740</v>
      </c>
    </row>
    <row r="57" spans="1:14">
      <c r="A57" s="327">
        <v>38923</v>
      </c>
      <c r="B57" s="327" t="s">
        <v>2485</v>
      </c>
      <c r="C57" s="327" t="s">
        <v>2486</v>
      </c>
      <c r="D57" s="327" t="s">
        <v>2109</v>
      </c>
      <c r="E57" s="327" t="s">
        <v>48</v>
      </c>
      <c r="F57" s="327" t="s">
        <v>774</v>
      </c>
      <c r="I57" s="329">
        <v>2657</v>
      </c>
      <c r="J57" s="329">
        <v>24</v>
      </c>
      <c r="K57" s="330">
        <v>110.71</v>
      </c>
      <c r="L57" s="254"/>
      <c r="M57" s="327" t="s">
        <v>739</v>
      </c>
      <c r="N57" s="332" t="s">
        <v>740</v>
      </c>
    </row>
    <row r="58" spans="1:14">
      <c r="A58" s="327">
        <v>38831</v>
      </c>
      <c r="B58" s="327" t="s">
        <v>2158</v>
      </c>
      <c r="C58" s="327" t="s">
        <v>2159</v>
      </c>
      <c r="D58" s="327" t="s">
        <v>2160</v>
      </c>
      <c r="E58" s="327" t="s">
        <v>48</v>
      </c>
      <c r="F58" s="327" t="s">
        <v>774</v>
      </c>
      <c r="I58" s="329">
        <v>917</v>
      </c>
      <c r="J58" s="329">
        <v>9</v>
      </c>
      <c r="K58" s="330">
        <v>101.89</v>
      </c>
      <c r="L58" s="254"/>
      <c r="M58" s="327" t="s">
        <v>739</v>
      </c>
      <c r="N58" s="332" t="s">
        <v>740</v>
      </c>
    </row>
    <row r="59" spans="1:14">
      <c r="A59" s="327">
        <v>38817</v>
      </c>
      <c r="B59" s="327" t="s">
        <v>2183</v>
      </c>
      <c r="C59" s="327" t="s">
        <v>2182</v>
      </c>
      <c r="D59" s="327" t="s">
        <v>2184</v>
      </c>
      <c r="E59" s="327" t="s">
        <v>48</v>
      </c>
      <c r="F59" s="327" t="s">
        <v>774</v>
      </c>
      <c r="I59" s="329">
        <v>591</v>
      </c>
      <c r="J59" s="329">
        <v>6</v>
      </c>
      <c r="K59" s="330">
        <v>98.5</v>
      </c>
      <c r="L59" s="254"/>
      <c r="M59" s="327" t="s">
        <v>967</v>
      </c>
      <c r="N59" s="332" t="s">
        <v>968</v>
      </c>
    </row>
    <row r="60" spans="1:14">
      <c r="A60" s="327">
        <v>38785</v>
      </c>
      <c r="B60" s="327" t="s">
        <v>2098</v>
      </c>
      <c r="C60" s="327" t="s">
        <v>1230</v>
      </c>
      <c r="D60" s="327" t="s">
        <v>2099</v>
      </c>
      <c r="E60" s="327" t="s">
        <v>48</v>
      </c>
      <c r="F60" s="327" t="s">
        <v>774</v>
      </c>
      <c r="I60" s="329">
        <v>586</v>
      </c>
      <c r="J60" s="329">
        <v>6</v>
      </c>
      <c r="K60" s="330">
        <v>97.67</v>
      </c>
      <c r="L60" s="254"/>
      <c r="M60" s="327" t="s">
        <v>1206</v>
      </c>
      <c r="N60" s="332" t="s">
        <v>1175</v>
      </c>
    </row>
    <row r="61" spans="1:14">
      <c r="A61" s="327">
        <v>38890</v>
      </c>
      <c r="B61" s="327" t="s">
        <v>2532</v>
      </c>
      <c r="C61" s="327" t="s">
        <v>2533</v>
      </c>
      <c r="D61" s="327" t="s">
        <v>137</v>
      </c>
      <c r="E61" s="327" t="s">
        <v>48</v>
      </c>
      <c r="F61" s="327" t="s">
        <v>774</v>
      </c>
      <c r="I61" s="329">
        <v>2458</v>
      </c>
      <c r="J61" s="329">
        <v>27</v>
      </c>
      <c r="K61" s="330">
        <v>91.04</v>
      </c>
      <c r="L61" s="254"/>
      <c r="M61" s="327" t="s">
        <v>1206</v>
      </c>
      <c r="N61" s="332" t="s">
        <v>1175</v>
      </c>
    </row>
    <row r="62" spans="1:14">
      <c r="A62" s="327">
        <v>38905</v>
      </c>
      <c r="B62" s="327" t="s">
        <v>2504</v>
      </c>
      <c r="C62" s="327" t="s">
        <v>2505</v>
      </c>
      <c r="D62" s="327" t="s">
        <v>2506</v>
      </c>
      <c r="E62" s="327" t="s">
        <v>48</v>
      </c>
      <c r="F62" s="327" t="s">
        <v>774</v>
      </c>
      <c r="I62" s="331">
        <v>1404</v>
      </c>
      <c r="J62" s="331">
        <v>18</v>
      </c>
      <c r="K62" s="331">
        <v>78</v>
      </c>
      <c r="L62" s="254"/>
      <c r="M62" s="327" t="s">
        <v>967</v>
      </c>
      <c r="N62" s="332" t="s">
        <v>968</v>
      </c>
    </row>
    <row r="63" spans="1:14">
      <c r="A63" s="327">
        <v>38921</v>
      </c>
      <c r="B63" s="327" t="s">
        <v>2479</v>
      </c>
      <c r="C63" s="327" t="s">
        <v>2477</v>
      </c>
      <c r="D63" s="327" t="s">
        <v>2480</v>
      </c>
      <c r="E63" s="327" t="s">
        <v>48</v>
      </c>
      <c r="F63" s="327" t="s">
        <v>2481</v>
      </c>
      <c r="I63" s="329">
        <v>268</v>
      </c>
      <c r="J63" s="329">
        <v>4</v>
      </c>
      <c r="K63" s="330">
        <v>67</v>
      </c>
      <c r="L63" s="254"/>
      <c r="M63" s="327" t="s">
        <v>739</v>
      </c>
      <c r="N63" s="332" t="s">
        <v>740</v>
      </c>
    </row>
    <row r="64" spans="1:14">
      <c r="L64" s="254"/>
    </row>
  </sheetData>
  <pageMargins left="0.7" right="0.7" top="0.78740157499999996" bottom="0.78740157499999996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0000"/>
  </sheetPr>
  <dimension ref="A1:Q70"/>
  <sheetViews>
    <sheetView topLeftCell="A23" zoomScale="112" workbookViewId="0">
      <selection activeCell="A3" sqref="A3:A70"/>
    </sheetView>
  </sheetViews>
  <sheetFormatPr baseColWidth="10" defaultColWidth="5.21875" defaultRowHeight="14.4"/>
  <cols>
    <col min="1" max="12" width="10.77734375"/>
    <col min="13" max="13" width="24.6640625" style="248" bestFit="1" customWidth="1"/>
    <col min="14" max="14" width="27" style="248" bestFit="1" customWidth="1"/>
    <col min="15" max="255" width="10.6640625" style="248" customWidth="1"/>
    <col min="256" max="16384" width="5.21875" style="248"/>
  </cols>
  <sheetData>
    <row r="1" spans="1:17">
      <c r="A1" s="252" t="s">
        <v>1815</v>
      </c>
      <c r="B1" s="245" t="s">
        <v>2606</v>
      </c>
      <c r="C1" s="245" t="s">
        <v>1798</v>
      </c>
      <c r="D1" s="245" t="s">
        <v>32</v>
      </c>
      <c r="E1" s="245" t="s">
        <v>2607</v>
      </c>
      <c r="F1" s="245" t="s">
        <v>2602</v>
      </c>
      <c r="G1" s="245"/>
      <c r="H1" s="245"/>
      <c r="I1" s="245" t="s">
        <v>2608</v>
      </c>
      <c r="J1" s="245" t="s">
        <v>1819</v>
      </c>
      <c r="K1" s="253" t="s">
        <v>1806</v>
      </c>
      <c r="L1" s="254" t="s">
        <v>2609</v>
      </c>
      <c r="M1" s="245" t="s">
        <v>2610</v>
      </c>
      <c r="N1" s="245" t="s">
        <v>38</v>
      </c>
    </row>
    <row r="2" spans="1:17">
      <c r="A2" t="s">
        <v>1815</v>
      </c>
      <c r="C2" t="s">
        <v>1798</v>
      </c>
      <c r="D2" t="s">
        <v>32</v>
      </c>
      <c r="G2" t="s">
        <v>2602</v>
      </c>
    </row>
    <row r="3" spans="1:17">
      <c r="A3">
        <v>38708</v>
      </c>
      <c r="B3" s="327"/>
      <c r="C3" s="327" t="s">
        <v>1882</v>
      </c>
      <c r="D3" t="s">
        <v>124</v>
      </c>
      <c r="G3" t="s">
        <v>88</v>
      </c>
      <c r="I3">
        <v>15451</v>
      </c>
      <c r="J3">
        <v>76</v>
      </c>
      <c r="K3">
        <v>203.3</v>
      </c>
      <c r="M3" s="327" t="s">
        <v>1593</v>
      </c>
      <c r="N3" t="s">
        <v>1359</v>
      </c>
      <c r="Q3" s="251" t="s">
        <v>2339</v>
      </c>
    </row>
    <row r="4" spans="1:17">
      <c r="A4">
        <v>38541</v>
      </c>
      <c r="C4" t="s">
        <v>971</v>
      </c>
      <c r="D4" t="s">
        <v>124</v>
      </c>
      <c r="G4" t="s">
        <v>359</v>
      </c>
      <c r="I4">
        <v>15156</v>
      </c>
      <c r="J4">
        <v>75</v>
      </c>
      <c r="K4">
        <v>202.08</v>
      </c>
      <c r="M4" t="s">
        <v>967</v>
      </c>
      <c r="N4" t="s">
        <v>968</v>
      </c>
    </row>
    <row r="5" spans="1:17">
      <c r="A5">
        <v>38327</v>
      </c>
      <c r="C5" t="s">
        <v>1333</v>
      </c>
      <c r="D5" t="s">
        <v>996</v>
      </c>
      <c r="G5" t="s">
        <v>359</v>
      </c>
      <c r="I5">
        <v>12878</v>
      </c>
      <c r="J5">
        <v>65</v>
      </c>
      <c r="K5">
        <v>198.12</v>
      </c>
      <c r="M5" t="s">
        <v>1593</v>
      </c>
      <c r="N5" t="s">
        <v>1359</v>
      </c>
    </row>
    <row r="6" spans="1:17">
      <c r="A6">
        <v>38659</v>
      </c>
      <c r="C6" t="s">
        <v>1669</v>
      </c>
      <c r="D6" t="s">
        <v>539</v>
      </c>
      <c r="G6" t="s">
        <v>359</v>
      </c>
      <c r="I6">
        <v>18397</v>
      </c>
      <c r="J6">
        <v>93</v>
      </c>
      <c r="K6">
        <v>197.82</v>
      </c>
      <c r="M6" t="s">
        <v>1206</v>
      </c>
      <c r="N6" t="s">
        <v>1175</v>
      </c>
    </row>
    <row r="7" spans="1:17">
      <c r="A7">
        <v>38655</v>
      </c>
      <c r="C7" t="s">
        <v>1652</v>
      </c>
      <c r="D7" t="s">
        <v>1653</v>
      </c>
      <c r="G7" t="s">
        <v>359</v>
      </c>
      <c r="I7">
        <v>22875</v>
      </c>
      <c r="J7">
        <v>116</v>
      </c>
      <c r="K7">
        <v>197.2</v>
      </c>
      <c r="M7" t="s">
        <v>1593</v>
      </c>
      <c r="N7" t="s">
        <v>1359</v>
      </c>
    </row>
    <row r="8" spans="1:17">
      <c r="A8">
        <v>38660</v>
      </c>
      <c r="C8" t="s">
        <v>1669</v>
      </c>
      <c r="D8" t="s">
        <v>1671</v>
      </c>
      <c r="G8" t="s">
        <v>359</v>
      </c>
      <c r="I8">
        <v>22547</v>
      </c>
      <c r="J8">
        <v>116</v>
      </c>
      <c r="K8">
        <v>194.37</v>
      </c>
      <c r="M8" t="s">
        <v>1206</v>
      </c>
      <c r="N8" s="327" t="s">
        <v>1175</v>
      </c>
    </row>
    <row r="9" spans="1:17">
      <c r="A9">
        <v>38672</v>
      </c>
      <c r="C9" t="s">
        <v>1662</v>
      </c>
      <c r="D9" t="s">
        <v>490</v>
      </c>
      <c r="G9" t="s">
        <v>359</v>
      </c>
      <c r="I9">
        <v>7685</v>
      </c>
      <c r="J9">
        <v>40</v>
      </c>
      <c r="K9">
        <v>192.13</v>
      </c>
      <c r="M9" t="s">
        <v>254</v>
      </c>
      <c r="N9" t="s">
        <v>1359</v>
      </c>
    </row>
    <row r="10" spans="1:17">
      <c r="A10">
        <v>38626</v>
      </c>
      <c r="C10" t="s">
        <v>1677</v>
      </c>
      <c r="D10" t="s">
        <v>124</v>
      </c>
      <c r="G10" t="s">
        <v>359</v>
      </c>
      <c r="I10">
        <v>10792</v>
      </c>
      <c r="J10">
        <v>57</v>
      </c>
      <c r="K10">
        <v>189.33</v>
      </c>
      <c r="M10" t="s">
        <v>1593</v>
      </c>
      <c r="N10" t="s">
        <v>1359</v>
      </c>
    </row>
    <row r="11" spans="1:17">
      <c r="A11">
        <v>38545</v>
      </c>
      <c r="C11" t="s">
        <v>170</v>
      </c>
      <c r="D11" t="s">
        <v>190</v>
      </c>
      <c r="G11" t="s">
        <v>359</v>
      </c>
      <c r="I11">
        <v>19946</v>
      </c>
      <c r="J11">
        <v>107</v>
      </c>
      <c r="K11">
        <v>186.41</v>
      </c>
      <c r="M11" t="s">
        <v>1704</v>
      </c>
      <c r="N11" t="s">
        <v>1705</v>
      </c>
    </row>
    <row r="12" spans="1:17">
      <c r="A12">
        <v>38396</v>
      </c>
      <c r="C12" t="s">
        <v>2616</v>
      </c>
      <c r="D12" t="s">
        <v>667</v>
      </c>
      <c r="G12" t="s">
        <v>359</v>
      </c>
      <c r="I12">
        <v>20617</v>
      </c>
      <c r="J12">
        <v>111</v>
      </c>
      <c r="K12">
        <v>185.74</v>
      </c>
      <c r="M12" t="s">
        <v>1704</v>
      </c>
      <c r="N12" t="s">
        <v>1705</v>
      </c>
    </row>
    <row r="13" spans="1:17">
      <c r="A13">
        <v>38334</v>
      </c>
      <c r="C13" t="s">
        <v>1623</v>
      </c>
      <c r="D13" t="s">
        <v>87</v>
      </c>
      <c r="G13" t="s">
        <v>359</v>
      </c>
      <c r="I13">
        <v>12442</v>
      </c>
      <c r="J13">
        <v>67</v>
      </c>
      <c r="K13">
        <v>185.7</v>
      </c>
      <c r="M13" t="s">
        <v>1593</v>
      </c>
      <c r="N13" t="s">
        <v>1359</v>
      </c>
    </row>
    <row r="14" spans="1:17">
      <c r="A14">
        <v>38349</v>
      </c>
      <c r="C14" t="s">
        <v>1628</v>
      </c>
      <c r="D14" t="s">
        <v>1629</v>
      </c>
      <c r="G14" t="s">
        <v>359</v>
      </c>
      <c r="I14">
        <v>17779</v>
      </c>
      <c r="J14">
        <v>98</v>
      </c>
      <c r="K14">
        <v>181.42</v>
      </c>
      <c r="M14" t="s">
        <v>1206</v>
      </c>
      <c r="N14" t="s">
        <v>1175</v>
      </c>
    </row>
    <row r="15" spans="1:17">
      <c r="A15">
        <v>38844</v>
      </c>
      <c r="C15" t="s">
        <v>2111</v>
      </c>
      <c r="D15" t="s">
        <v>667</v>
      </c>
      <c r="G15" t="s">
        <v>359</v>
      </c>
      <c r="I15">
        <v>6911</v>
      </c>
      <c r="J15">
        <v>39</v>
      </c>
      <c r="K15">
        <v>177.21</v>
      </c>
      <c r="M15" t="s">
        <v>82</v>
      </c>
      <c r="N15" t="s">
        <v>83</v>
      </c>
    </row>
    <row r="16" spans="1:17">
      <c r="A16">
        <v>38942</v>
      </c>
      <c r="C16" t="s">
        <v>2617</v>
      </c>
      <c r="D16" t="s">
        <v>2618</v>
      </c>
      <c r="G16" t="s">
        <v>359</v>
      </c>
      <c r="I16">
        <v>707</v>
      </c>
      <c r="J16">
        <v>4</v>
      </c>
      <c r="K16">
        <v>176.75</v>
      </c>
      <c r="M16" t="s">
        <v>673</v>
      </c>
      <c r="N16" t="s">
        <v>672</v>
      </c>
    </row>
    <row r="17" spans="1:14">
      <c r="A17">
        <v>38845</v>
      </c>
      <c r="C17" t="s">
        <v>2105</v>
      </c>
      <c r="D17" t="s">
        <v>2106</v>
      </c>
      <c r="G17" t="s">
        <v>88</v>
      </c>
      <c r="I17">
        <v>4755</v>
      </c>
      <c r="J17">
        <v>27</v>
      </c>
      <c r="K17">
        <v>176.11</v>
      </c>
      <c r="M17" t="s">
        <v>82</v>
      </c>
      <c r="N17" t="s">
        <v>83</v>
      </c>
    </row>
    <row r="18" spans="1:14">
      <c r="A18">
        <v>38846</v>
      </c>
      <c r="C18" t="s">
        <v>2219</v>
      </c>
      <c r="D18" t="s">
        <v>1450</v>
      </c>
      <c r="G18" t="s">
        <v>88</v>
      </c>
      <c r="I18">
        <v>12493</v>
      </c>
      <c r="J18">
        <v>71</v>
      </c>
      <c r="K18">
        <v>175.96</v>
      </c>
      <c r="M18" t="s">
        <v>1206</v>
      </c>
      <c r="N18" t="s">
        <v>1175</v>
      </c>
    </row>
    <row r="19" spans="1:14">
      <c r="A19">
        <v>38950</v>
      </c>
      <c r="C19" t="s">
        <v>2529</v>
      </c>
      <c r="D19" t="s">
        <v>1883</v>
      </c>
      <c r="G19" t="s">
        <v>88</v>
      </c>
      <c r="I19">
        <v>3132</v>
      </c>
      <c r="J19">
        <v>18</v>
      </c>
      <c r="K19">
        <v>174</v>
      </c>
      <c r="M19" t="s">
        <v>1175</v>
      </c>
      <c r="N19" t="s">
        <v>1175</v>
      </c>
    </row>
    <row r="20" spans="1:14">
      <c r="A20">
        <v>38734</v>
      </c>
      <c r="C20" t="s">
        <v>599</v>
      </c>
      <c r="D20" t="s">
        <v>1376</v>
      </c>
      <c r="G20" t="s">
        <v>359</v>
      </c>
      <c r="I20">
        <v>5540</v>
      </c>
      <c r="J20">
        <v>32</v>
      </c>
      <c r="K20">
        <v>173.13</v>
      </c>
      <c r="M20" t="s">
        <v>560</v>
      </c>
      <c r="N20" t="s">
        <v>561</v>
      </c>
    </row>
    <row r="21" spans="1:14">
      <c r="A21">
        <v>38544</v>
      </c>
      <c r="C21" t="s">
        <v>377</v>
      </c>
      <c r="D21" t="s">
        <v>378</v>
      </c>
      <c r="G21" t="s">
        <v>88</v>
      </c>
      <c r="I21">
        <v>14311</v>
      </c>
      <c r="J21">
        <v>83</v>
      </c>
      <c r="K21">
        <v>172.42</v>
      </c>
      <c r="M21" t="s">
        <v>1704</v>
      </c>
      <c r="N21" t="s">
        <v>1705</v>
      </c>
    </row>
    <row r="22" spans="1:14">
      <c r="A22">
        <v>38867</v>
      </c>
      <c r="C22" t="s">
        <v>2332</v>
      </c>
      <c r="D22" t="s">
        <v>2619</v>
      </c>
      <c r="G22" t="s">
        <v>88</v>
      </c>
      <c r="I22">
        <v>2571</v>
      </c>
      <c r="J22">
        <v>15</v>
      </c>
      <c r="K22">
        <v>171.4</v>
      </c>
      <c r="M22" t="s">
        <v>254</v>
      </c>
      <c r="N22" t="s">
        <v>1359</v>
      </c>
    </row>
    <row r="23" spans="1:14">
      <c r="A23">
        <v>38714</v>
      </c>
      <c r="C23" t="s">
        <v>1904</v>
      </c>
      <c r="D23" t="s">
        <v>991</v>
      </c>
      <c r="G23" t="s">
        <v>359</v>
      </c>
      <c r="I23">
        <v>6707</v>
      </c>
      <c r="J23">
        <v>40</v>
      </c>
      <c r="K23">
        <v>167.68</v>
      </c>
      <c r="M23" t="s">
        <v>967</v>
      </c>
      <c r="N23" t="s">
        <v>968</v>
      </c>
    </row>
    <row r="24" spans="1:14">
      <c r="A24">
        <v>38719</v>
      </c>
      <c r="C24" t="s">
        <v>785</v>
      </c>
      <c r="D24" t="s">
        <v>893</v>
      </c>
      <c r="G24" t="s">
        <v>359</v>
      </c>
      <c r="I24">
        <v>4956</v>
      </c>
      <c r="J24">
        <v>30</v>
      </c>
      <c r="K24">
        <v>165.2</v>
      </c>
      <c r="M24" t="s">
        <v>739</v>
      </c>
      <c r="N24" t="s">
        <v>740</v>
      </c>
    </row>
    <row r="25" spans="1:14">
      <c r="A25">
        <v>38895</v>
      </c>
      <c r="C25" t="s">
        <v>2583</v>
      </c>
      <c r="D25" t="s">
        <v>402</v>
      </c>
      <c r="G25" t="s">
        <v>359</v>
      </c>
      <c r="I25">
        <v>8503</v>
      </c>
      <c r="J25">
        <v>52</v>
      </c>
      <c r="K25">
        <v>163.52000000000001</v>
      </c>
      <c r="M25" t="s">
        <v>1704</v>
      </c>
      <c r="N25" t="s">
        <v>1705</v>
      </c>
    </row>
    <row r="26" spans="1:14">
      <c r="A26">
        <v>38674</v>
      </c>
      <c r="C26" t="s">
        <v>2620</v>
      </c>
      <c r="D26" t="s">
        <v>1667</v>
      </c>
      <c r="G26" t="s">
        <v>359</v>
      </c>
      <c r="I26">
        <v>1895</v>
      </c>
      <c r="J26">
        <v>12</v>
      </c>
      <c r="K26">
        <v>157.91999999999999</v>
      </c>
      <c r="M26" t="s">
        <v>672</v>
      </c>
      <c r="N26" t="s">
        <v>673</v>
      </c>
    </row>
    <row r="27" spans="1:14">
      <c r="A27">
        <v>38795</v>
      </c>
      <c r="C27" t="s">
        <v>2137</v>
      </c>
      <c r="D27" t="s">
        <v>2138</v>
      </c>
      <c r="G27" t="s">
        <v>88</v>
      </c>
      <c r="I27">
        <v>778</v>
      </c>
      <c r="J27">
        <v>5</v>
      </c>
      <c r="K27">
        <v>155.6</v>
      </c>
      <c r="M27" t="s">
        <v>672</v>
      </c>
      <c r="N27" t="s">
        <v>673</v>
      </c>
    </row>
    <row r="28" spans="1:14">
      <c r="A28">
        <v>38809</v>
      </c>
      <c r="C28" t="s">
        <v>1907</v>
      </c>
      <c r="D28" t="s">
        <v>87</v>
      </c>
      <c r="G28" t="s">
        <v>88</v>
      </c>
      <c r="I28">
        <v>5601</v>
      </c>
      <c r="J28">
        <v>36</v>
      </c>
      <c r="K28">
        <v>155.58000000000001</v>
      </c>
      <c r="M28" t="s">
        <v>739</v>
      </c>
      <c r="N28" t="s">
        <v>740</v>
      </c>
    </row>
    <row r="29" spans="1:14">
      <c r="A29">
        <v>38772</v>
      </c>
      <c r="C29" t="s">
        <v>2031</v>
      </c>
      <c r="D29" t="s">
        <v>81</v>
      </c>
      <c r="G29" t="s">
        <v>359</v>
      </c>
      <c r="I29">
        <v>859</v>
      </c>
      <c r="J29">
        <v>6</v>
      </c>
      <c r="K29">
        <v>143.16999999999999</v>
      </c>
      <c r="M29" t="s">
        <v>82</v>
      </c>
      <c r="N29" t="s">
        <v>83</v>
      </c>
    </row>
    <row r="30" spans="1:14">
      <c r="A30">
        <v>38781</v>
      </c>
      <c r="C30" t="s">
        <v>2035</v>
      </c>
      <c r="D30" t="s">
        <v>378</v>
      </c>
      <c r="G30" t="s">
        <v>359</v>
      </c>
      <c r="I30">
        <v>2139</v>
      </c>
      <c r="J30">
        <v>15</v>
      </c>
      <c r="K30">
        <v>142.6</v>
      </c>
      <c r="M30" t="s">
        <v>672</v>
      </c>
      <c r="N30" t="s">
        <v>673</v>
      </c>
    </row>
    <row r="31" spans="1:14">
      <c r="A31">
        <v>38706</v>
      </c>
      <c r="C31" t="s">
        <v>2621</v>
      </c>
      <c r="D31" t="s">
        <v>1880</v>
      </c>
      <c r="G31" t="s">
        <v>88</v>
      </c>
      <c r="I31">
        <v>6269</v>
      </c>
      <c r="J31">
        <v>44</v>
      </c>
      <c r="K31">
        <v>142.47999999999999</v>
      </c>
      <c r="M31" t="s">
        <v>1206</v>
      </c>
      <c r="N31" t="s">
        <v>1175</v>
      </c>
    </row>
    <row r="32" spans="1:14">
      <c r="A32">
        <v>38949</v>
      </c>
      <c r="C32" t="s">
        <v>2605</v>
      </c>
      <c r="D32" t="s">
        <v>667</v>
      </c>
      <c r="G32" t="s">
        <v>359</v>
      </c>
      <c r="I32">
        <v>2342</v>
      </c>
      <c r="J32">
        <v>17</v>
      </c>
      <c r="K32">
        <v>137.76</v>
      </c>
      <c r="M32" t="s">
        <v>1175</v>
      </c>
      <c r="N32" t="s">
        <v>1175</v>
      </c>
    </row>
    <row r="33" spans="1:14">
      <c r="A33">
        <v>38894</v>
      </c>
      <c r="C33" t="s">
        <v>2622</v>
      </c>
      <c r="D33" t="s">
        <v>1376</v>
      </c>
      <c r="G33" t="s">
        <v>88</v>
      </c>
      <c r="I33">
        <v>2314</v>
      </c>
      <c r="J33">
        <v>17</v>
      </c>
      <c r="K33">
        <v>136.12</v>
      </c>
      <c r="M33" t="s">
        <v>672</v>
      </c>
      <c r="N33" t="s">
        <v>673</v>
      </c>
    </row>
    <row r="34" spans="1:14">
      <c r="A34">
        <v>38904</v>
      </c>
      <c r="C34" t="s">
        <v>500</v>
      </c>
      <c r="D34" t="s">
        <v>2542</v>
      </c>
      <c r="G34" t="s">
        <v>2052</v>
      </c>
      <c r="I34">
        <v>2415</v>
      </c>
      <c r="J34">
        <v>19</v>
      </c>
      <c r="K34">
        <v>127.11</v>
      </c>
      <c r="M34" t="s">
        <v>1206</v>
      </c>
      <c r="N34" t="s">
        <v>1175</v>
      </c>
    </row>
    <row r="35" spans="1:14">
      <c r="A35">
        <v>38776</v>
      </c>
      <c r="C35" t="s">
        <v>2051</v>
      </c>
      <c r="D35" t="s">
        <v>807</v>
      </c>
      <c r="G35" t="s">
        <v>2052</v>
      </c>
      <c r="I35">
        <v>1521</v>
      </c>
      <c r="J35">
        <v>12</v>
      </c>
      <c r="K35">
        <v>126.75</v>
      </c>
      <c r="M35" t="s">
        <v>1704</v>
      </c>
      <c r="N35" t="s">
        <v>1705</v>
      </c>
    </row>
    <row r="36" spans="1:14">
      <c r="A36">
        <v>38879</v>
      </c>
      <c r="C36" t="s">
        <v>2115</v>
      </c>
      <c r="D36" t="s">
        <v>490</v>
      </c>
      <c r="G36" t="s">
        <v>359</v>
      </c>
      <c r="I36">
        <v>875</v>
      </c>
      <c r="J36">
        <v>7</v>
      </c>
      <c r="K36">
        <v>125</v>
      </c>
      <c r="M36" t="s">
        <v>318</v>
      </c>
      <c r="N36" t="s">
        <v>301</v>
      </c>
    </row>
    <row r="37" spans="1:14">
      <c r="A37">
        <v>38819</v>
      </c>
      <c r="C37" t="s">
        <v>2187</v>
      </c>
      <c r="D37" t="s">
        <v>738</v>
      </c>
      <c r="G37" t="s">
        <v>2052</v>
      </c>
      <c r="I37">
        <v>3509</v>
      </c>
      <c r="J37">
        <v>29</v>
      </c>
      <c r="K37">
        <v>121</v>
      </c>
      <c r="M37" t="s">
        <v>967</v>
      </c>
      <c r="N37" t="s">
        <v>968</v>
      </c>
    </row>
    <row r="38" spans="1:14">
      <c r="A38">
        <v>38915</v>
      </c>
      <c r="C38" t="s">
        <v>2457</v>
      </c>
      <c r="D38" t="s">
        <v>2458</v>
      </c>
      <c r="G38" t="s">
        <v>88</v>
      </c>
      <c r="I38">
        <v>827</v>
      </c>
      <c r="J38">
        <v>7</v>
      </c>
      <c r="K38">
        <v>118.14</v>
      </c>
      <c r="M38" t="s">
        <v>672</v>
      </c>
      <c r="N38" t="s">
        <v>673</v>
      </c>
    </row>
    <row r="39" spans="1:14">
      <c r="A39">
        <v>38810</v>
      </c>
      <c r="C39" t="s">
        <v>2162</v>
      </c>
      <c r="D39" t="s">
        <v>284</v>
      </c>
      <c r="G39" t="s">
        <v>88</v>
      </c>
      <c r="I39">
        <v>2652</v>
      </c>
      <c r="J39">
        <v>23</v>
      </c>
      <c r="K39">
        <v>115.3</v>
      </c>
      <c r="M39" t="s">
        <v>739</v>
      </c>
      <c r="N39" t="s">
        <v>740</v>
      </c>
    </row>
    <row r="40" spans="1:14">
      <c r="A40">
        <v>38784</v>
      </c>
      <c r="C40" t="s">
        <v>2096</v>
      </c>
      <c r="D40" t="s">
        <v>632</v>
      </c>
      <c r="G40" t="s">
        <v>359</v>
      </c>
      <c r="I40">
        <v>1361</v>
      </c>
      <c r="J40">
        <v>12</v>
      </c>
      <c r="K40">
        <v>113.42</v>
      </c>
      <c r="M40" t="s">
        <v>967</v>
      </c>
      <c r="N40" t="s">
        <v>968</v>
      </c>
    </row>
    <row r="41" spans="1:14">
      <c r="A41">
        <v>38927</v>
      </c>
      <c r="C41" t="s">
        <v>2228</v>
      </c>
      <c r="D41" t="s">
        <v>2241</v>
      </c>
      <c r="G41" t="s">
        <v>88</v>
      </c>
      <c r="I41">
        <v>1894</v>
      </c>
      <c r="J41">
        <v>17</v>
      </c>
      <c r="K41">
        <v>111.41</v>
      </c>
      <c r="M41" t="s">
        <v>672</v>
      </c>
      <c r="N41" t="s">
        <v>673</v>
      </c>
    </row>
    <row r="42" spans="1:14">
      <c r="A42">
        <v>38808</v>
      </c>
      <c r="C42" t="s">
        <v>1013</v>
      </c>
      <c r="D42" t="s">
        <v>996</v>
      </c>
      <c r="G42" t="s">
        <v>359</v>
      </c>
      <c r="I42">
        <v>1427</v>
      </c>
      <c r="J42">
        <v>13</v>
      </c>
      <c r="K42">
        <v>109.77</v>
      </c>
      <c r="M42" t="s">
        <v>739</v>
      </c>
      <c r="N42" t="s">
        <v>740</v>
      </c>
    </row>
    <row r="43" spans="1:14">
      <c r="A43">
        <v>38865</v>
      </c>
      <c r="C43" t="s">
        <v>2315</v>
      </c>
      <c r="D43" t="s">
        <v>378</v>
      </c>
      <c r="G43" t="s">
        <v>88</v>
      </c>
      <c r="I43">
        <v>4247</v>
      </c>
      <c r="J43">
        <v>40</v>
      </c>
      <c r="K43">
        <v>106.18</v>
      </c>
      <c r="M43" t="s">
        <v>967</v>
      </c>
      <c r="N43" t="s">
        <v>968</v>
      </c>
    </row>
    <row r="44" spans="1:14">
      <c r="A44">
        <v>38920</v>
      </c>
      <c r="C44" t="s">
        <v>2483</v>
      </c>
      <c r="D44" t="s">
        <v>378</v>
      </c>
      <c r="G44" t="s">
        <v>2052</v>
      </c>
      <c r="I44">
        <v>1973</v>
      </c>
      <c r="J44">
        <v>19</v>
      </c>
      <c r="K44">
        <v>103.84</v>
      </c>
      <c r="M44" t="s">
        <v>739</v>
      </c>
      <c r="N44" t="s">
        <v>740</v>
      </c>
    </row>
    <row r="45" spans="1:14">
      <c r="A45">
        <v>38806</v>
      </c>
      <c r="C45" t="s">
        <v>1623</v>
      </c>
      <c r="D45" t="s">
        <v>1883</v>
      </c>
      <c r="G45" t="s">
        <v>88</v>
      </c>
      <c r="I45">
        <v>3229</v>
      </c>
      <c r="J45">
        <v>32</v>
      </c>
      <c r="K45">
        <v>100.91</v>
      </c>
      <c r="M45" t="s">
        <v>254</v>
      </c>
      <c r="N45" t="s">
        <v>1359</v>
      </c>
    </row>
    <row r="46" spans="1:14">
      <c r="A46">
        <v>38941</v>
      </c>
      <c r="C46" t="s">
        <v>2623</v>
      </c>
      <c r="D46" t="s">
        <v>2624</v>
      </c>
      <c r="G46" t="s">
        <v>88</v>
      </c>
      <c r="I46">
        <v>100</v>
      </c>
      <c r="J46">
        <v>1</v>
      </c>
      <c r="K46">
        <v>100</v>
      </c>
      <c r="M46" t="s">
        <v>673</v>
      </c>
      <c r="N46" t="s">
        <v>672</v>
      </c>
    </row>
    <row r="47" spans="1:14">
      <c r="A47">
        <v>38922</v>
      </c>
      <c r="C47" t="s">
        <v>2477</v>
      </c>
      <c r="D47" t="s">
        <v>2478</v>
      </c>
      <c r="G47" t="s">
        <v>88</v>
      </c>
      <c r="I47">
        <v>1787</v>
      </c>
      <c r="J47">
        <v>18</v>
      </c>
      <c r="K47">
        <v>99.28</v>
      </c>
      <c r="M47" t="s">
        <v>739</v>
      </c>
      <c r="N47" t="s">
        <v>740</v>
      </c>
    </row>
    <row r="48" spans="1:14">
      <c r="A48">
        <v>38893</v>
      </c>
      <c r="C48" t="s">
        <v>2402</v>
      </c>
      <c r="D48" t="s">
        <v>2403</v>
      </c>
      <c r="G48" t="s">
        <v>2052</v>
      </c>
      <c r="I48">
        <v>1261</v>
      </c>
      <c r="J48">
        <v>15</v>
      </c>
      <c r="K48">
        <v>84.07</v>
      </c>
      <c r="M48" t="s">
        <v>82</v>
      </c>
      <c r="N48" t="s">
        <v>83</v>
      </c>
    </row>
    <row r="49" spans="1:14">
      <c r="A49" t="s">
        <v>1815</v>
      </c>
      <c r="C49" t="s">
        <v>1798</v>
      </c>
      <c r="D49" t="s">
        <v>32</v>
      </c>
      <c r="G49" t="s">
        <v>2602</v>
      </c>
      <c r="I49" t="s">
        <v>1800</v>
      </c>
      <c r="J49" t="s">
        <v>1819</v>
      </c>
      <c r="K49" t="s">
        <v>1806</v>
      </c>
      <c r="M49" t="s">
        <v>37</v>
      </c>
      <c r="N49" t="s">
        <v>38</v>
      </c>
    </row>
    <row r="50" spans="1:14">
      <c r="A50">
        <v>38438</v>
      </c>
      <c r="C50" t="s">
        <v>1608</v>
      </c>
      <c r="D50" t="s">
        <v>1609</v>
      </c>
      <c r="G50" t="s">
        <v>1121</v>
      </c>
      <c r="I50">
        <v>22307</v>
      </c>
      <c r="J50">
        <v>117</v>
      </c>
      <c r="K50">
        <v>190.66</v>
      </c>
      <c r="M50" t="s">
        <v>1593</v>
      </c>
      <c r="N50" t="s">
        <v>1359</v>
      </c>
    </row>
    <row r="51" spans="1:14">
      <c r="A51">
        <v>38553</v>
      </c>
      <c r="C51" t="s">
        <v>1335</v>
      </c>
      <c r="D51" t="s">
        <v>1113</v>
      </c>
      <c r="G51" t="s">
        <v>1121</v>
      </c>
      <c r="I51">
        <v>26750</v>
      </c>
      <c r="J51">
        <v>144</v>
      </c>
      <c r="K51">
        <v>185.76</v>
      </c>
      <c r="M51" t="s">
        <v>1593</v>
      </c>
      <c r="N51" t="s">
        <v>1359</v>
      </c>
    </row>
    <row r="52" spans="1:14">
      <c r="A52">
        <v>38526</v>
      </c>
      <c r="C52" t="s">
        <v>2329</v>
      </c>
      <c r="D52" t="s">
        <v>2330</v>
      </c>
      <c r="G52" t="s">
        <v>1121</v>
      </c>
      <c r="I52">
        <v>2220</v>
      </c>
      <c r="J52">
        <v>12</v>
      </c>
      <c r="K52">
        <v>185</v>
      </c>
      <c r="M52" t="s">
        <v>254</v>
      </c>
      <c r="N52" t="s">
        <v>1359</v>
      </c>
    </row>
    <row r="53" spans="1:14">
      <c r="A53">
        <v>38651</v>
      </c>
      <c r="C53" t="s">
        <v>2625</v>
      </c>
      <c r="D53" t="s">
        <v>270</v>
      </c>
      <c r="G53" t="s">
        <v>1121</v>
      </c>
      <c r="I53">
        <v>796</v>
      </c>
      <c r="J53">
        <v>5</v>
      </c>
      <c r="K53">
        <v>159.19999999999999</v>
      </c>
      <c r="M53" t="s">
        <v>507</v>
      </c>
      <c r="N53" t="s">
        <v>508</v>
      </c>
    </row>
    <row r="54" spans="1:14">
      <c r="A54">
        <v>38773</v>
      </c>
      <c r="C54" t="s">
        <v>2038</v>
      </c>
      <c r="D54" t="s">
        <v>2039</v>
      </c>
      <c r="G54" t="s">
        <v>774</v>
      </c>
      <c r="I54">
        <v>9432</v>
      </c>
      <c r="J54">
        <v>62</v>
      </c>
      <c r="K54">
        <v>152.13</v>
      </c>
      <c r="M54" t="s">
        <v>739</v>
      </c>
      <c r="N54" t="s">
        <v>740</v>
      </c>
    </row>
    <row r="55" spans="1:14">
      <c r="A55">
        <v>38759</v>
      </c>
      <c r="C55" t="s">
        <v>2626</v>
      </c>
      <c r="D55" t="s">
        <v>1980</v>
      </c>
      <c r="G55" t="s">
        <v>774</v>
      </c>
      <c r="I55">
        <v>9428</v>
      </c>
      <c r="J55">
        <v>62</v>
      </c>
      <c r="K55">
        <v>152.06</v>
      </c>
      <c r="M55" t="s">
        <v>739</v>
      </c>
      <c r="N55" t="s">
        <v>740</v>
      </c>
    </row>
    <row r="56" spans="1:14">
      <c r="A56">
        <v>38760</v>
      </c>
      <c r="C56" t="s">
        <v>1970</v>
      </c>
      <c r="D56" t="s">
        <v>1971</v>
      </c>
      <c r="G56" t="s">
        <v>774</v>
      </c>
      <c r="I56">
        <v>7740</v>
      </c>
      <c r="J56">
        <v>51</v>
      </c>
      <c r="K56">
        <v>151.76</v>
      </c>
      <c r="M56" t="s">
        <v>739</v>
      </c>
      <c r="N56" t="s">
        <v>740</v>
      </c>
    </row>
    <row r="57" spans="1:14">
      <c r="A57">
        <v>38663</v>
      </c>
      <c r="C57" t="s">
        <v>1343</v>
      </c>
      <c r="D57" t="s">
        <v>1344</v>
      </c>
      <c r="G57" t="s">
        <v>1121</v>
      </c>
      <c r="I57">
        <v>2607</v>
      </c>
      <c r="J57">
        <v>18</v>
      </c>
      <c r="K57">
        <v>144.83000000000001</v>
      </c>
      <c r="M57" t="s">
        <v>1327</v>
      </c>
      <c r="N57" t="s">
        <v>1328</v>
      </c>
    </row>
    <row r="58" spans="1:14">
      <c r="A58">
        <v>38940</v>
      </c>
      <c r="C58" t="s">
        <v>2627</v>
      </c>
      <c r="D58" t="s">
        <v>698</v>
      </c>
      <c r="G58" t="s">
        <v>774</v>
      </c>
      <c r="I58">
        <v>378</v>
      </c>
      <c r="J58">
        <v>3</v>
      </c>
      <c r="K58">
        <v>126</v>
      </c>
      <c r="M58" t="s">
        <v>83</v>
      </c>
      <c r="N58" t="s">
        <v>2628</v>
      </c>
    </row>
    <row r="59" spans="1:14">
      <c r="A59">
        <v>38843</v>
      </c>
      <c r="C59" t="s">
        <v>2108</v>
      </c>
      <c r="D59" t="s">
        <v>2109</v>
      </c>
      <c r="G59" t="s">
        <v>774</v>
      </c>
      <c r="I59">
        <v>1986</v>
      </c>
      <c r="J59">
        <v>16</v>
      </c>
      <c r="K59">
        <v>124.13</v>
      </c>
      <c r="M59" t="s">
        <v>82</v>
      </c>
      <c r="N59" t="s">
        <v>83</v>
      </c>
    </row>
    <row r="60" spans="1:14">
      <c r="A60">
        <v>38848</v>
      </c>
      <c r="C60" t="s">
        <v>2304</v>
      </c>
      <c r="D60" t="s">
        <v>689</v>
      </c>
      <c r="G60" t="s">
        <v>774</v>
      </c>
      <c r="I60">
        <v>4994</v>
      </c>
      <c r="J60">
        <v>41</v>
      </c>
      <c r="K60">
        <v>121.8</v>
      </c>
      <c r="M60" t="s">
        <v>739</v>
      </c>
      <c r="N60" t="s">
        <v>740</v>
      </c>
    </row>
    <row r="61" spans="1:14">
      <c r="A61">
        <v>38910</v>
      </c>
      <c r="C61" t="s">
        <v>2529</v>
      </c>
      <c r="D61" t="s">
        <v>2531</v>
      </c>
      <c r="G61" t="s">
        <v>774</v>
      </c>
      <c r="I61">
        <v>2286</v>
      </c>
      <c r="J61">
        <v>19</v>
      </c>
      <c r="K61">
        <v>120.32</v>
      </c>
      <c r="M61" t="s">
        <v>1206</v>
      </c>
      <c r="N61" t="s">
        <v>1175</v>
      </c>
    </row>
    <row r="62" spans="1:14">
      <c r="A62">
        <v>38849</v>
      </c>
      <c r="C62" t="s">
        <v>2304</v>
      </c>
      <c r="D62" t="s">
        <v>2109</v>
      </c>
      <c r="G62" t="s">
        <v>774</v>
      </c>
      <c r="I62">
        <v>5067</v>
      </c>
      <c r="J62">
        <v>43</v>
      </c>
      <c r="K62">
        <v>117.84</v>
      </c>
      <c r="M62" t="s">
        <v>739</v>
      </c>
      <c r="N62" t="s">
        <v>740</v>
      </c>
    </row>
    <row r="63" spans="1:14">
      <c r="A63">
        <v>38923</v>
      </c>
      <c r="C63" t="s">
        <v>2486</v>
      </c>
      <c r="D63" t="s">
        <v>2109</v>
      </c>
      <c r="G63" t="s">
        <v>774</v>
      </c>
      <c r="I63">
        <v>3007</v>
      </c>
      <c r="J63">
        <v>27</v>
      </c>
      <c r="K63">
        <v>111.37</v>
      </c>
      <c r="M63" t="s">
        <v>739</v>
      </c>
      <c r="N63" t="s">
        <v>740</v>
      </c>
    </row>
    <row r="64" spans="1:14">
      <c r="A64">
        <v>38831</v>
      </c>
      <c r="C64" t="s">
        <v>2159</v>
      </c>
      <c r="D64" t="s">
        <v>2160</v>
      </c>
      <c r="G64" t="s">
        <v>774</v>
      </c>
      <c r="I64">
        <v>1268</v>
      </c>
      <c r="J64">
        <v>12</v>
      </c>
      <c r="K64">
        <v>105.67</v>
      </c>
      <c r="M64" t="s">
        <v>739</v>
      </c>
      <c r="N64" t="s">
        <v>740</v>
      </c>
    </row>
    <row r="65" spans="1:14">
      <c r="A65">
        <v>38817</v>
      </c>
      <c r="C65" t="s">
        <v>2182</v>
      </c>
      <c r="D65" t="s">
        <v>2184</v>
      </c>
      <c r="G65" t="s">
        <v>774</v>
      </c>
      <c r="I65">
        <v>591</v>
      </c>
      <c r="J65">
        <v>6</v>
      </c>
      <c r="K65">
        <v>98.5</v>
      </c>
      <c r="M65" t="s">
        <v>967</v>
      </c>
      <c r="N65" t="s">
        <v>968</v>
      </c>
    </row>
    <row r="66" spans="1:14">
      <c r="A66">
        <v>38785</v>
      </c>
      <c r="C66" t="s">
        <v>1230</v>
      </c>
      <c r="D66" t="s">
        <v>2099</v>
      </c>
      <c r="G66" t="s">
        <v>774</v>
      </c>
      <c r="I66">
        <v>586</v>
      </c>
      <c r="J66">
        <v>6</v>
      </c>
      <c r="K66">
        <v>97.67</v>
      </c>
      <c r="M66" t="s">
        <v>1206</v>
      </c>
      <c r="N66" t="s">
        <v>1175</v>
      </c>
    </row>
    <row r="67" spans="1:14">
      <c r="A67">
        <v>38890</v>
      </c>
      <c r="C67" t="s">
        <v>2533</v>
      </c>
      <c r="D67" t="s">
        <v>137</v>
      </c>
      <c r="G67" t="s">
        <v>774</v>
      </c>
      <c r="I67">
        <v>2881</v>
      </c>
      <c r="J67">
        <v>31</v>
      </c>
      <c r="K67">
        <v>92.94</v>
      </c>
      <c r="M67" t="s">
        <v>1206</v>
      </c>
      <c r="N67" t="s">
        <v>1175</v>
      </c>
    </row>
    <row r="68" spans="1:14">
      <c r="A68">
        <v>38905</v>
      </c>
      <c r="C68" t="s">
        <v>2505</v>
      </c>
      <c r="D68" t="s">
        <v>2506</v>
      </c>
      <c r="G68" t="s">
        <v>774</v>
      </c>
      <c r="I68">
        <v>1614</v>
      </c>
      <c r="J68">
        <v>21</v>
      </c>
      <c r="K68">
        <v>76.86</v>
      </c>
      <c r="M68" t="s">
        <v>967</v>
      </c>
      <c r="N68" t="s">
        <v>968</v>
      </c>
    </row>
    <row r="69" spans="1:14">
      <c r="A69">
        <v>38921</v>
      </c>
      <c r="C69" t="s">
        <v>2477</v>
      </c>
      <c r="D69" t="s">
        <v>2480</v>
      </c>
      <c r="G69" t="s">
        <v>2481</v>
      </c>
      <c r="I69">
        <v>514</v>
      </c>
      <c r="J69">
        <v>7</v>
      </c>
      <c r="K69">
        <v>73.430000000000007</v>
      </c>
      <c r="M69" t="s">
        <v>739</v>
      </c>
      <c r="N69" t="s">
        <v>740</v>
      </c>
    </row>
    <row r="70" spans="1:14">
      <c r="A70">
        <v>38937</v>
      </c>
      <c r="C70" t="s">
        <v>2550</v>
      </c>
      <c r="D70" t="s">
        <v>2630</v>
      </c>
      <c r="G70" t="s">
        <v>774</v>
      </c>
      <c r="I70">
        <v>2108</v>
      </c>
      <c r="J70">
        <v>16</v>
      </c>
      <c r="K70">
        <f>ROUND(I70/J70,2)</f>
        <v>131.75</v>
      </c>
      <c r="M70" s="248" t="s">
        <v>1327</v>
      </c>
      <c r="N70" s="248" t="s">
        <v>1328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0000"/>
  </sheetPr>
  <dimension ref="A1:N70"/>
  <sheetViews>
    <sheetView zoomScale="82" workbookViewId="0">
      <selection activeCell="A2" sqref="A2:N2"/>
    </sheetView>
  </sheetViews>
  <sheetFormatPr baseColWidth="10" defaultColWidth="5.21875" defaultRowHeight="14.4"/>
  <cols>
    <col min="1" max="1" width="6.21875" bestFit="1" customWidth="1"/>
    <col min="2" max="2" width="11" bestFit="1" customWidth="1"/>
    <col min="3" max="3" width="12.6640625" bestFit="1" customWidth="1"/>
    <col min="4" max="4" width="12.77734375" bestFit="1" customWidth="1"/>
    <col min="5" max="5" width="4.6640625" bestFit="1" customWidth="1"/>
    <col min="6" max="6" width="3.33203125" bestFit="1" customWidth="1"/>
    <col min="7" max="7" width="10.44140625" bestFit="1" customWidth="1"/>
    <col min="8" max="9" width="6.21875" bestFit="1" customWidth="1"/>
    <col min="10" max="10" width="6" bestFit="1" customWidth="1"/>
    <col min="11" max="11" width="7.21875" bestFit="1" customWidth="1"/>
    <col min="12" max="12" width="9.77734375" bestFit="1" customWidth="1"/>
    <col min="13" max="14" width="22" style="248" customWidth="1"/>
    <col min="15" max="255" width="10.6640625" style="248" customWidth="1"/>
    <col min="256" max="16384" width="5.21875" style="248"/>
  </cols>
  <sheetData>
    <row r="1" spans="1:14">
      <c r="A1" s="252" t="s">
        <v>1815</v>
      </c>
      <c r="B1" s="245" t="s">
        <v>2606</v>
      </c>
      <c r="C1" s="245" t="s">
        <v>1798</v>
      </c>
      <c r="D1" s="245" t="s">
        <v>32</v>
      </c>
      <c r="E1" s="245" t="s">
        <v>2607</v>
      </c>
      <c r="F1" s="245" t="s">
        <v>2602</v>
      </c>
      <c r="G1" s="245"/>
      <c r="H1" s="245"/>
      <c r="I1" s="245" t="s">
        <v>2608</v>
      </c>
      <c r="J1" s="245" t="s">
        <v>1819</v>
      </c>
      <c r="K1" s="253" t="s">
        <v>1806</v>
      </c>
      <c r="L1" s="254" t="s">
        <v>2609</v>
      </c>
      <c r="M1" s="245" t="s">
        <v>2610</v>
      </c>
      <c r="N1" s="245" t="s">
        <v>38</v>
      </c>
    </row>
    <row r="2" spans="1:14">
      <c r="A2">
        <v>38438</v>
      </c>
      <c r="B2" s="327"/>
      <c r="C2" t="s">
        <v>1608</v>
      </c>
      <c r="D2" t="s">
        <v>1609</v>
      </c>
      <c r="G2" t="s">
        <v>1121</v>
      </c>
      <c r="I2">
        <v>23550</v>
      </c>
      <c r="J2">
        <v>124</v>
      </c>
      <c r="K2">
        <v>189.92</v>
      </c>
      <c r="M2" t="s">
        <v>2632</v>
      </c>
      <c r="N2" t="s">
        <v>2633</v>
      </c>
    </row>
    <row r="3" spans="1:14">
      <c r="A3">
        <v>38553</v>
      </c>
      <c r="C3" t="s">
        <v>1335</v>
      </c>
      <c r="D3" t="s">
        <v>1113</v>
      </c>
      <c r="G3" t="s">
        <v>1121</v>
      </c>
      <c r="I3">
        <v>27422</v>
      </c>
      <c r="J3">
        <v>148</v>
      </c>
      <c r="K3">
        <v>185.28</v>
      </c>
      <c r="M3" t="s">
        <v>2632</v>
      </c>
      <c r="N3" t="s">
        <v>2633</v>
      </c>
    </row>
    <row r="4" spans="1:14">
      <c r="A4">
        <v>38526</v>
      </c>
      <c r="C4" t="s">
        <v>2329</v>
      </c>
      <c r="D4" t="s">
        <v>2330</v>
      </c>
      <c r="G4" t="s">
        <v>1121</v>
      </c>
      <c r="I4">
        <v>2220</v>
      </c>
      <c r="J4">
        <v>12</v>
      </c>
      <c r="K4">
        <v>185</v>
      </c>
      <c r="M4" t="s">
        <v>254</v>
      </c>
      <c r="N4" t="s">
        <v>2633</v>
      </c>
    </row>
    <row r="5" spans="1:14">
      <c r="A5">
        <v>38651</v>
      </c>
      <c r="C5" t="s">
        <v>2625</v>
      </c>
      <c r="D5" t="s">
        <v>270</v>
      </c>
      <c r="G5" t="s">
        <v>1121</v>
      </c>
      <c r="I5">
        <v>796</v>
      </c>
      <c r="J5">
        <v>5</v>
      </c>
      <c r="K5">
        <v>159.19999999999999</v>
      </c>
      <c r="M5" t="s">
        <v>507</v>
      </c>
      <c r="N5" t="s">
        <v>508</v>
      </c>
    </row>
    <row r="6" spans="1:14">
      <c r="A6">
        <v>38759</v>
      </c>
      <c r="C6" t="s">
        <v>2626</v>
      </c>
      <c r="D6" t="s">
        <v>1980</v>
      </c>
      <c r="G6" t="s">
        <v>774</v>
      </c>
      <c r="I6">
        <v>10292</v>
      </c>
      <c r="J6">
        <v>67</v>
      </c>
      <c r="K6">
        <v>153.61000000000001</v>
      </c>
      <c r="M6" t="s">
        <v>739</v>
      </c>
      <c r="N6" t="s">
        <v>740</v>
      </c>
    </row>
    <row r="7" spans="1:14">
      <c r="A7">
        <v>38760</v>
      </c>
      <c r="C7" t="s">
        <v>1970</v>
      </c>
      <c r="D7" t="s">
        <v>1971</v>
      </c>
      <c r="G7" t="s">
        <v>774</v>
      </c>
      <c r="I7">
        <v>8565</v>
      </c>
      <c r="J7">
        <v>56</v>
      </c>
      <c r="K7">
        <v>152.94999999999999</v>
      </c>
      <c r="M7" t="s">
        <v>739</v>
      </c>
      <c r="N7" t="s">
        <v>740</v>
      </c>
    </row>
    <row r="8" spans="1:14">
      <c r="A8">
        <v>38773</v>
      </c>
      <c r="C8" t="s">
        <v>2038</v>
      </c>
      <c r="D8" t="s">
        <v>2039</v>
      </c>
      <c r="G8" t="s">
        <v>774</v>
      </c>
      <c r="I8">
        <v>10235</v>
      </c>
      <c r="J8">
        <v>67</v>
      </c>
      <c r="K8">
        <v>152.76</v>
      </c>
      <c r="M8" t="s">
        <v>739</v>
      </c>
      <c r="N8" t="s">
        <v>740</v>
      </c>
    </row>
    <row r="9" spans="1:14">
      <c r="A9">
        <v>38663</v>
      </c>
      <c r="C9" t="s">
        <v>1343</v>
      </c>
      <c r="D9" t="s">
        <v>1344</v>
      </c>
      <c r="G9" t="s">
        <v>1121</v>
      </c>
      <c r="I9">
        <v>2607</v>
      </c>
      <c r="J9">
        <v>18</v>
      </c>
      <c r="K9">
        <v>144.83000000000001</v>
      </c>
      <c r="M9" t="s">
        <v>1327</v>
      </c>
      <c r="N9" t="s">
        <v>1328</v>
      </c>
    </row>
    <row r="10" spans="1:14">
      <c r="A10">
        <v>38937</v>
      </c>
      <c r="C10" t="s">
        <v>2550</v>
      </c>
      <c r="D10" t="s">
        <v>2630</v>
      </c>
      <c r="G10" t="s">
        <v>774</v>
      </c>
      <c r="I10">
        <v>2801</v>
      </c>
      <c r="J10">
        <v>21</v>
      </c>
      <c r="K10">
        <v>133.38</v>
      </c>
      <c r="M10" t="s">
        <v>1327</v>
      </c>
      <c r="N10" t="s">
        <v>1328</v>
      </c>
    </row>
    <row r="11" spans="1:14">
      <c r="A11">
        <v>38940</v>
      </c>
      <c r="C11" t="s">
        <v>2627</v>
      </c>
      <c r="D11" t="s">
        <v>698</v>
      </c>
      <c r="G11" t="s">
        <v>774</v>
      </c>
      <c r="I11">
        <v>378</v>
      </c>
      <c r="J11">
        <v>3</v>
      </c>
      <c r="K11">
        <v>126</v>
      </c>
      <c r="M11" t="s">
        <v>2634</v>
      </c>
      <c r="N11" t="s">
        <v>2635</v>
      </c>
    </row>
    <row r="12" spans="1:14">
      <c r="A12">
        <v>38843</v>
      </c>
      <c r="C12" t="s">
        <v>2108</v>
      </c>
      <c r="D12" t="s">
        <v>2109</v>
      </c>
      <c r="G12" t="s">
        <v>774</v>
      </c>
      <c r="I12">
        <v>2874</v>
      </c>
      <c r="J12">
        <v>23</v>
      </c>
      <c r="K12">
        <v>124.96</v>
      </c>
      <c r="M12" t="s">
        <v>82</v>
      </c>
      <c r="N12" t="s">
        <v>2635</v>
      </c>
    </row>
    <row r="13" spans="1:14">
      <c r="A13">
        <v>38848</v>
      </c>
      <c r="C13" t="s">
        <v>2304</v>
      </c>
      <c r="D13" t="s">
        <v>689</v>
      </c>
      <c r="G13" t="s">
        <v>774</v>
      </c>
      <c r="I13">
        <v>5609</v>
      </c>
      <c r="J13">
        <v>46</v>
      </c>
      <c r="K13">
        <v>121.93</v>
      </c>
      <c r="M13" t="s">
        <v>739</v>
      </c>
      <c r="N13" t="s">
        <v>740</v>
      </c>
    </row>
    <row r="14" spans="1:14">
      <c r="A14">
        <v>38910</v>
      </c>
      <c r="C14" t="s">
        <v>2529</v>
      </c>
      <c r="D14" t="s">
        <v>2531</v>
      </c>
      <c r="G14" t="s">
        <v>774</v>
      </c>
      <c r="I14">
        <v>2735</v>
      </c>
      <c r="J14">
        <v>23</v>
      </c>
      <c r="K14">
        <v>118.91</v>
      </c>
      <c r="M14" t="s">
        <v>1206</v>
      </c>
      <c r="N14" t="s">
        <v>2636</v>
      </c>
    </row>
    <row r="15" spans="1:14">
      <c r="A15">
        <v>38849</v>
      </c>
      <c r="C15" t="s">
        <v>2304</v>
      </c>
      <c r="D15" t="s">
        <v>2109</v>
      </c>
      <c r="G15" t="s">
        <v>774</v>
      </c>
      <c r="I15">
        <v>5589</v>
      </c>
      <c r="J15">
        <v>48</v>
      </c>
      <c r="K15">
        <v>116.44</v>
      </c>
      <c r="M15" t="s">
        <v>739</v>
      </c>
      <c r="N15" t="s">
        <v>740</v>
      </c>
    </row>
    <row r="16" spans="1:14">
      <c r="A16">
        <v>38923</v>
      </c>
      <c r="C16" t="s">
        <v>2486</v>
      </c>
      <c r="D16" t="s">
        <v>2109</v>
      </c>
      <c r="G16" t="s">
        <v>774</v>
      </c>
      <c r="I16">
        <v>3498</v>
      </c>
      <c r="J16">
        <v>31</v>
      </c>
      <c r="K16">
        <v>112.84</v>
      </c>
      <c r="M16" t="s">
        <v>739</v>
      </c>
      <c r="N16" t="s">
        <v>740</v>
      </c>
    </row>
    <row r="17" spans="1:14">
      <c r="A17">
        <v>38831</v>
      </c>
      <c r="C17" t="s">
        <v>2159</v>
      </c>
      <c r="D17" t="s">
        <v>2160</v>
      </c>
      <c r="G17" t="s">
        <v>774</v>
      </c>
      <c r="I17">
        <v>1268</v>
      </c>
      <c r="J17">
        <v>12</v>
      </c>
      <c r="K17">
        <v>105.67</v>
      </c>
      <c r="M17" t="s">
        <v>739</v>
      </c>
      <c r="N17" t="s">
        <v>740</v>
      </c>
    </row>
    <row r="18" spans="1:14">
      <c r="A18">
        <v>38817</v>
      </c>
      <c r="C18" t="s">
        <v>2182</v>
      </c>
      <c r="D18" t="s">
        <v>2184</v>
      </c>
      <c r="G18" t="s">
        <v>774</v>
      </c>
      <c r="I18">
        <v>591</v>
      </c>
      <c r="J18">
        <v>6</v>
      </c>
      <c r="K18">
        <v>98.5</v>
      </c>
      <c r="M18" t="s">
        <v>967</v>
      </c>
      <c r="N18" t="s">
        <v>968</v>
      </c>
    </row>
    <row r="19" spans="1:14">
      <c r="A19">
        <v>38785</v>
      </c>
      <c r="C19" t="s">
        <v>1230</v>
      </c>
      <c r="D19" t="s">
        <v>2099</v>
      </c>
      <c r="G19" t="s">
        <v>774</v>
      </c>
      <c r="I19">
        <v>586</v>
      </c>
      <c r="J19">
        <v>6</v>
      </c>
      <c r="K19">
        <v>97.67</v>
      </c>
      <c r="M19" t="s">
        <v>1206</v>
      </c>
      <c r="N19" t="s">
        <v>2636</v>
      </c>
    </row>
    <row r="20" spans="1:14">
      <c r="A20">
        <v>38890</v>
      </c>
      <c r="C20" t="s">
        <v>2533</v>
      </c>
      <c r="D20" t="s">
        <v>137</v>
      </c>
      <c r="G20" t="s">
        <v>774</v>
      </c>
      <c r="I20">
        <v>3247</v>
      </c>
      <c r="J20">
        <v>35</v>
      </c>
      <c r="K20">
        <v>92.77</v>
      </c>
      <c r="M20" t="s">
        <v>1206</v>
      </c>
      <c r="N20" t="s">
        <v>2636</v>
      </c>
    </row>
    <row r="21" spans="1:14">
      <c r="A21">
        <v>38905</v>
      </c>
      <c r="C21" t="s">
        <v>2505</v>
      </c>
      <c r="D21" t="s">
        <v>2506</v>
      </c>
      <c r="G21" t="s">
        <v>774</v>
      </c>
      <c r="I21">
        <v>1979</v>
      </c>
      <c r="J21">
        <v>26</v>
      </c>
      <c r="K21">
        <v>76.12</v>
      </c>
      <c r="M21" t="s">
        <v>967</v>
      </c>
      <c r="N21" t="s">
        <v>968</v>
      </c>
    </row>
    <row r="22" spans="1:14">
      <c r="A22">
        <v>38921</v>
      </c>
      <c r="C22" t="s">
        <v>2477</v>
      </c>
      <c r="D22" t="s">
        <v>2480</v>
      </c>
      <c r="G22" t="s">
        <v>2481</v>
      </c>
      <c r="I22">
        <v>735</v>
      </c>
      <c r="J22">
        <v>10</v>
      </c>
      <c r="K22">
        <v>73.5</v>
      </c>
      <c r="M22" t="s">
        <v>739</v>
      </c>
      <c r="N22" t="s">
        <v>740</v>
      </c>
    </row>
    <row r="23" spans="1:14">
      <c r="M23"/>
      <c r="N23"/>
    </row>
    <row r="24" spans="1:14">
      <c r="M24"/>
      <c r="N24"/>
    </row>
    <row r="25" spans="1:14">
      <c r="A25" s="335">
        <v>38708</v>
      </c>
      <c r="B25" s="335"/>
      <c r="C25" s="335" t="s">
        <v>1882</v>
      </c>
      <c r="D25" s="335" t="s">
        <v>124</v>
      </c>
      <c r="E25" s="335"/>
      <c r="F25" s="335"/>
      <c r="G25" s="335" t="s">
        <v>88</v>
      </c>
      <c r="H25" s="335"/>
      <c r="I25" s="335">
        <v>17624</v>
      </c>
      <c r="J25" s="335">
        <v>86</v>
      </c>
      <c r="K25" s="335">
        <v>204.93</v>
      </c>
      <c r="M25" s="335" t="s">
        <v>1593</v>
      </c>
      <c r="N25" s="335" t="s">
        <v>1359</v>
      </c>
    </row>
    <row r="26" spans="1:14">
      <c r="A26" s="335">
        <v>38541</v>
      </c>
      <c r="B26" s="335"/>
      <c r="C26" s="335" t="s">
        <v>971</v>
      </c>
      <c r="D26" s="335" t="s">
        <v>124</v>
      </c>
      <c r="E26" s="335"/>
      <c r="F26" s="335"/>
      <c r="G26" s="335" t="s">
        <v>359</v>
      </c>
      <c r="H26" s="335"/>
      <c r="I26" s="335">
        <v>17150</v>
      </c>
      <c r="J26" s="335">
        <v>85</v>
      </c>
      <c r="K26" s="335">
        <v>201.76</v>
      </c>
      <c r="M26" s="335" t="s">
        <v>967</v>
      </c>
      <c r="N26" s="335" t="s">
        <v>968</v>
      </c>
    </row>
    <row r="27" spans="1:14">
      <c r="A27" s="335">
        <v>38655</v>
      </c>
      <c r="B27" s="335"/>
      <c r="C27" s="335" t="s">
        <v>1652</v>
      </c>
      <c r="D27" s="335" t="s">
        <v>1653</v>
      </c>
      <c r="E27" s="335"/>
      <c r="F27" s="335"/>
      <c r="G27" s="335" t="s">
        <v>359</v>
      </c>
      <c r="H27" s="335"/>
      <c r="I27" s="335">
        <v>24023</v>
      </c>
      <c r="J27" s="335">
        <v>121</v>
      </c>
      <c r="K27" s="335">
        <v>198.54</v>
      </c>
      <c r="M27" s="335" t="s">
        <v>1593</v>
      </c>
      <c r="N27" s="335" t="s">
        <v>1359</v>
      </c>
    </row>
    <row r="28" spans="1:14">
      <c r="A28" s="335">
        <v>38327</v>
      </c>
      <c r="B28" s="335"/>
      <c r="C28" s="335" t="s">
        <v>1333</v>
      </c>
      <c r="D28" s="335" t="s">
        <v>996</v>
      </c>
      <c r="E28" s="335"/>
      <c r="F28" s="335"/>
      <c r="G28" s="335" t="s">
        <v>359</v>
      </c>
      <c r="H28" s="335"/>
      <c r="I28" s="335">
        <v>14708</v>
      </c>
      <c r="J28" s="335">
        <v>75</v>
      </c>
      <c r="K28" s="335">
        <v>196.11</v>
      </c>
      <c r="M28" s="335" t="s">
        <v>1593</v>
      </c>
      <c r="N28" s="335" t="s">
        <v>1359</v>
      </c>
    </row>
    <row r="29" spans="1:14">
      <c r="A29" s="335">
        <v>38659</v>
      </c>
      <c r="B29" s="335"/>
      <c r="C29" s="335" t="s">
        <v>1669</v>
      </c>
      <c r="D29" s="335" t="s">
        <v>539</v>
      </c>
      <c r="E29" s="335"/>
      <c r="F29" s="335"/>
      <c r="G29" s="335" t="s">
        <v>359</v>
      </c>
      <c r="H29" s="335"/>
      <c r="I29" s="335">
        <v>20947</v>
      </c>
      <c r="J29" s="335">
        <v>107</v>
      </c>
      <c r="K29" s="335">
        <v>195.77</v>
      </c>
      <c r="M29" s="335" t="s">
        <v>1206</v>
      </c>
      <c r="N29" s="335" t="s">
        <v>1175</v>
      </c>
    </row>
    <row r="30" spans="1:14">
      <c r="A30" s="335">
        <v>38660</v>
      </c>
      <c r="B30" s="335"/>
      <c r="C30" s="335" t="s">
        <v>1669</v>
      </c>
      <c r="D30" s="335" t="s">
        <v>1671</v>
      </c>
      <c r="E30" s="335"/>
      <c r="F30" s="335"/>
      <c r="G30" s="335" t="s">
        <v>359</v>
      </c>
      <c r="H30" s="335"/>
      <c r="I30" s="335">
        <v>24939</v>
      </c>
      <c r="J30" s="335">
        <v>128</v>
      </c>
      <c r="K30" s="335">
        <v>194.84</v>
      </c>
      <c r="M30" s="335" t="s">
        <v>1206</v>
      </c>
      <c r="N30" s="335" t="s">
        <v>1175</v>
      </c>
    </row>
    <row r="31" spans="1:14">
      <c r="A31" s="335">
        <v>38672</v>
      </c>
      <c r="B31" s="335"/>
      <c r="C31" s="335" t="s">
        <v>1662</v>
      </c>
      <c r="D31" s="335" t="s">
        <v>490</v>
      </c>
      <c r="E31" s="335"/>
      <c r="F31" s="335"/>
      <c r="G31" s="335" t="s">
        <v>359</v>
      </c>
      <c r="H31" s="335"/>
      <c r="I31" s="335">
        <v>7685</v>
      </c>
      <c r="J31" s="335">
        <v>40</v>
      </c>
      <c r="K31" s="335">
        <v>192.13</v>
      </c>
      <c r="M31" s="335" t="s">
        <v>254</v>
      </c>
      <c r="N31" s="335" t="s">
        <v>1359</v>
      </c>
    </row>
    <row r="32" spans="1:14">
      <c r="A32" s="335">
        <v>38626</v>
      </c>
      <c r="B32" s="335"/>
      <c r="C32" s="335" t="s">
        <v>1677</v>
      </c>
      <c r="D32" s="335" t="s">
        <v>124</v>
      </c>
      <c r="E32" s="335"/>
      <c r="F32" s="335"/>
      <c r="G32" s="335" t="s">
        <v>359</v>
      </c>
      <c r="H32" s="335"/>
      <c r="I32" s="335">
        <v>12698</v>
      </c>
      <c r="J32" s="335">
        <v>67</v>
      </c>
      <c r="K32" s="335">
        <v>189.52</v>
      </c>
      <c r="M32" s="335" t="s">
        <v>1593</v>
      </c>
      <c r="N32" s="335" t="s">
        <v>1359</v>
      </c>
    </row>
    <row r="33" spans="1:14">
      <c r="A33" s="335">
        <v>38545</v>
      </c>
      <c r="B33" s="335"/>
      <c r="C33" s="335" t="s">
        <v>170</v>
      </c>
      <c r="D33" s="335" t="s">
        <v>190</v>
      </c>
      <c r="E33" s="335"/>
      <c r="F33" s="335"/>
      <c r="G33" s="335" t="s">
        <v>359</v>
      </c>
      <c r="H33" s="335"/>
      <c r="I33" s="335">
        <v>20690</v>
      </c>
      <c r="J33" s="335">
        <v>111</v>
      </c>
      <c r="K33" s="335">
        <v>186.4</v>
      </c>
      <c r="M33" s="335" t="s">
        <v>1704</v>
      </c>
      <c r="N33" s="335" t="s">
        <v>1705</v>
      </c>
    </row>
    <row r="34" spans="1:14">
      <c r="A34" s="335">
        <v>38396</v>
      </c>
      <c r="B34" s="335"/>
      <c r="C34" s="335" t="s">
        <v>1029</v>
      </c>
      <c r="D34" s="335" t="s">
        <v>667</v>
      </c>
      <c r="E34" s="335"/>
      <c r="F34" s="335"/>
      <c r="G34" s="335" t="s">
        <v>359</v>
      </c>
      <c r="H34" s="335"/>
      <c r="I34" s="335">
        <v>22164</v>
      </c>
      <c r="J34" s="335">
        <v>119</v>
      </c>
      <c r="K34" s="335">
        <v>186.25</v>
      </c>
      <c r="M34" s="335" t="s">
        <v>1704</v>
      </c>
      <c r="N34" s="335" t="s">
        <v>1705</v>
      </c>
    </row>
    <row r="35" spans="1:14">
      <c r="A35" s="335">
        <v>38334</v>
      </c>
      <c r="B35" s="335"/>
      <c r="C35" s="335" t="s">
        <v>1623</v>
      </c>
      <c r="D35" s="335" t="s">
        <v>87</v>
      </c>
      <c r="E35" s="335"/>
      <c r="F35" s="335"/>
      <c r="G35" s="335" t="s">
        <v>359</v>
      </c>
      <c r="H35" s="335"/>
      <c r="I35" s="335">
        <v>15236</v>
      </c>
      <c r="J35" s="335">
        <v>82</v>
      </c>
      <c r="K35" s="335">
        <v>185.8</v>
      </c>
      <c r="M35" s="335" t="s">
        <v>1593</v>
      </c>
      <c r="N35" s="335" t="s">
        <v>1359</v>
      </c>
    </row>
    <row r="36" spans="1:14">
      <c r="A36" s="335">
        <v>38845</v>
      </c>
      <c r="B36" s="335"/>
      <c r="C36" s="335" t="s">
        <v>2105</v>
      </c>
      <c r="D36" s="335" t="s">
        <v>2106</v>
      </c>
      <c r="E36" s="336"/>
      <c r="F36" s="335"/>
      <c r="G36" s="335" t="s">
        <v>88</v>
      </c>
      <c r="H36" s="335"/>
      <c r="I36" s="335">
        <v>6756</v>
      </c>
      <c r="J36" s="335">
        <v>37</v>
      </c>
      <c r="K36" s="335">
        <v>182.59</v>
      </c>
      <c r="M36" s="336" t="s">
        <v>82</v>
      </c>
      <c r="N36" s="335" t="s">
        <v>83</v>
      </c>
    </row>
    <row r="37" spans="1:14">
      <c r="A37" s="335">
        <v>38349</v>
      </c>
      <c r="B37" s="335"/>
      <c r="C37" s="335" t="s">
        <v>1628</v>
      </c>
      <c r="D37" s="335" t="s">
        <v>1629</v>
      </c>
      <c r="E37" s="335"/>
      <c r="F37" s="335"/>
      <c r="G37" s="335" t="s">
        <v>359</v>
      </c>
      <c r="H37" s="335"/>
      <c r="I37" s="335">
        <v>18604</v>
      </c>
      <c r="J37" s="335">
        <v>103</v>
      </c>
      <c r="K37" s="335">
        <v>180.62</v>
      </c>
      <c r="M37" s="335" t="s">
        <v>1206</v>
      </c>
      <c r="N37" s="335" t="s">
        <v>1175</v>
      </c>
    </row>
    <row r="38" spans="1:14">
      <c r="A38" s="335">
        <v>38846</v>
      </c>
      <c r="B38" s="335"/>
      <c r="C38" s="335" t="s">
        <v>2219</v>
      </c>
      <c r="D38" s="335" t="s">
        <v>1450</v>
      </c>
      <c r="E38" s="335"/>
      <c r="F38" s="335"/>
      <c r="G38" s="335" t="s">
        <v>88</v>
      </c>
      <c r="H38" s="335"/>
      <c r="I38" s="335">
        <v>13523</v>
      </c>
      <c r="J38" s="335">
        <v>76</v>
      </c>
      <c r="K38" s="335">
        <v>177.93</v>
      </c>
      <c r="M38" s="335" t="s">
        <v>1206</v>
      </c>
      <c r="N38" s="335" t="s">
        <v>1175</v>
      </c>
    </row>
    <row r="39" spans="1:14">
      <c r="A39" s="335">
        <v>38844</v>
      </c>
      <c r="B39" s="335"/>
      <c r="C39" s="335" t="s">
        <v>2111</v>
      </c>
      <c r="D39" s="335" t="s">
        <v>667</v>
      </c>
      <c r="E39" s="336"/>
      <c r="F39" s="335"/>
      <c r="G39" s="335" t="s">
        <v>359</v>
      </c>
      <c r="H39" s="335"/>
      <c r="I39" s="335">
        <v>8659</v>
      </c>
      <c r="J39" s="335">
        <v>49</v>
      </c>
      <c r="K39" s="335">
        <v>176.71</v>
      </c>
      <c r="M39" s="336" t="s">
        <v>82</v>
      </c>
      <c r="N39" s="335" t="s">
        <v>83</v>
      </c>
    </row>
    <row r="40" spans="1:14">
      <c r="A40" s="335">
        <v>38942</v>
      </c>
      <c r="B40" s="335"/>
      <c r="C40" s="335" t="s">
        <v>2617</v>
      </c>
      <c r="D40" s="335" t="s">
        <v>2618</v>
      </c>
      <c r="E40" s="335"/>
      <c r="F40" s="335"/>
      <c r="G40" s="335" t="s">
        <v>359</v>
      </c>
      <c r="H40" s="335"/>
      <c r="I40" s="335">
        <v>1393</v>
      </c>
      <c r="J40" s="335">
        <v>8</v>
      </c>
      <c r="K40" s="335">
        <v>174.13</v>
      </c>
      <c r="M40" s="335" t="s">
        <v>672</v>
      </c>
      <c r="N40" s="335" t="s">
        <v>673</v>
      </c>
    </row>
    <row r="41" spans="1:14">
      <c r="A41" s="335">
        <v>38734</v>
      </c>
      <c r="B41" s="335"/>
      <c r="C41" s="335" t="s">
        <v>599</v>
      </c>
      <c r="D41" s="335" t="s">
        <v>1376</v>
      </c>
      <c r="E41" s="335"/>
      <c r="F41" s="335"/>
      <c r="G41" s="335" t="s">
        <v>359</v>
      </c>
      <c r="H41" s="335"/>
      <c r="I41" s="335">
        <v>5540</v>
      </c>
      <c r="J41" s="335">
        <v>32</v>
      </c>
      <c r="K41" s="335">
        <v>173.13</v>
      </c>
      <c r="M41" s="335" t="s">
        <v>560</v>
      </c>
      <c r="N41" s="335" t="s">
        <v>561</v>
      </c>
    </row>
    <row r="42" spans="1:14">
      <c r="A42" s="335">
        <v>38950</v>
      </c>
      <c r="B42" s="335"/>
      <c r="C42" s="335" t="s">
        <v>2529</v>
      </c>
      <c r="D42" s="335" t="s">
        <v>1883</v>
      </c>
      <c r="E42" s="335"/>
      <c r="F42" s="335"/>
      <c r="G42" s="335" t="s">
        <v>88</v>
      </c>
      <c r="H42" s="335"/>
      <c r="I42" s="335">
        <v>4832</v>
      </c>
      <c r="J42" s="335">
        <v>28</v>
      </c>
      <c r="K42" s="335">
        <v>172.57</v>
      </c>
      <c r="M42" s="335" t="s">
        <v>1206</v>
      </c>
      <c r="N42" s="335" t="s">
        <v>1175</v>
      </c>
    </row>
    <row r="43" spans="1:14">
      <c r="A43" s="335">
        <v>38544</v>
      </c>
      <c r="B43" s="335"/>
      <c r="C43" s="335" t="s">
        <v>377</v>
      </c>
      <c r="D43" s="335" t="s">
        <v>378</v>
      </c>
      <c r="E43" s="335"/>
      <c r="F43" s="335"/>
      <c r="G43" s="335" t="s">
        <v>88</v>
      </c>
      <c r="H43" s="335"/>
      <c r="I43" s="335">
        <v>14806</v>
      </c>
      <c r="J43" s="335">
        <v>86</v>
      </c>
      <c r="K43" s="335">
        <v>172.16</v>
      </c>
      <c r="M43" s="335" t="s">
        <v>1704</v>
      </c>
      <c r="N43" s="335" t="s">
        <v>1705</v>
      </c>
    </row>
    <row r="44" spans="1:14">
      <c r="A44" s="335">
        <v>38867</v>
      </c>
      <c r="B44" s="335"/>
      <c r="C44" s="335" t="s">
        <v>2332</v>
      </c>
      <c r="D44" s="335" t="s">
        <v>2333</v>
      </c>
      <c r="E44" s="335"/>
      <c r="F44" s="335"/>
      <c r="G44" s="335" t="s">
        <v>88</v>
      </c>
      <c r="H44" s="335"/>
      <c r="I44" s="335">
        <v>2571</v>
      </c>
      <c r="J44" s="335">
        <v>15</v>
      </c>
      <c r="K44" s="335">
        <v>171.4</v>
      </c>
      <c r="M44" s="335" t="s">
        <v>254</v>
      </c>
      <c r="N44" s="335" t="s">
        <v>1359</v>
      </c>
    </row>
    <row r="45" spans="1:14">
      <c r="A45" s="335">
        <v>38714</v>
      </c>
      <c r="B45" s="335"/>
      <c r="C45" s="335" t="s">
        <v>1904</v>
      </c>
      <c r="D45" s="335" t="s">
        <v>991</v>
      </c>
      <c r="E45" s="335"/>
      <c r="F45" s="335"/>
      <c r="G45" s="335" t="s">
        <v>359</v>
      </c>
      <c r="H45" s="335"/>
      <c r="I45" s="335">
        <v>6707</v>
      </c>
      <c r="J45" s="335">
        <v>40</v>
      </c>
      <c r="K45" s="335">
        <v>167.68</v>
      </c>
      <c r="M45" s="335" t="s">
        <v>967</v>
      </c>
      <c r="N45" s="335" t="s">
        <v>968</v>
      </c>
    </row>
    <row r="46" spans="1:14">
      <c r="A46" s="335">
        <v>38719</v>
      </c>
      <c r="B46" s="335"/>
      <c r="C46" s="335" t="s">
        <v>785</v>
      </c>
      <c r="D46" s="335" t="s">
        <v>893</v>
      </c>
      <c r="E46" s="335"/>
      <c r="F46" s="335"/>
      <c r="G46" s="335" t="s">
        <v>359</v>
      </c>
      <c r="H46" s="335"/>
      <c r="I46" s="335">
        <v>6569</v>
      </c>
      <c r="J46" s="335">
        <v>40</v>
      </c>
      <c r="K46" s="335">
        <v>164.23</v>
      </c>
      <c r="M46" s="335" t="s">
        <v>739</v>
      </c>
      <c r="N46" s="335" t="s">
        <v>740</v>
      </c>
    </row>
    <row r="47" spans="1:14">
      <c r="A47" s="335">
        <v>38895</v>
      </c>
      <c r="B47" s="335"/>
      <c r="C47" s="335" t="s">
        <v>2583</v>
      </c>
      <c r="D47" s="335" t="s">
        <v>402</v>
      </c>
      <c r="E47" s="335"/>
      <c r="F47" s="335"/>
      <c r="G47" s="335" t="s">
        <v>359</v>
      </c>
      <c r="H47" s="335"/>
      <c r="I47" s="335">
        <v>8633</v>
      </c>
      <c r="J47" s="335">
        <v>53</v>
      </c>
      <c r="K47" s="335">
        <v>162.88999999999999</v>
      </c>
      <c r="M47" s="335" t="s">
        <v>1704</v>
      </c>
      <c r="N47" s="335" t="s">
        <v>1705</v>
      </c>
    </row>
    <row r="48" spans="1:14">
      <c r="A48" s="335">
        <v>38674</v>
      </c>
      <c r="B48" s="335"/>
      <c r="C48" s="335" t="s">
        <v>1666</v>
      </c>
      <c r="D48" s="335" t="s">
        <v>1667</v>
      </c>
      <c r="E48" s="335"/>
      <c r="F48" s="335"/>
      <c r="G48" s="335" t="s">
        <v>359</v>
      </c>
      <c r="H48" s="335"/>
      <c r="I48" s="335">
        <v>1895</v>
      </c>
      <c r="J48" s="335">
        <v>12</v>
      </c>
      <c r="K48" s="335">
        <v>157.91999999999999</v>
      </c>
      <c r="M48" s="335" t="s">
        <v>672</v>
      </c>
      <c r="N48" s="335" t="s">
        <v>673</v>
      </c>
    </row>
    <row r="49" spans="1:14">
      <c r="A49" s="335">
        <v>38809</v>
      </c>
      <c r="B49" s="335"/>
      <c r="C49" s="335" t="s">
        <v>1907</v>
      </c>
      <c r="D49" s="335" t="s">
        <v>87</v>
      </c>
      <c r="E49" s="335"/>
      <c r="F49" s="335"/>
      <c r="G49" s="335" t="s">
        <v>88</v>
      </c>
      <c r="H49" s="335"/>
      <c r="I49" s="335">
        <v>6397</v>
      </c>
      <c r="J49" s="335">
        <v>41</v>
      </c>
      <c r="K49" s="335">
        <v>156.02000000000001</v>
      </c>
      <c r="M49" s="335" t="s">
        <v>739</v>
      </c>
      <c r="N49" s="335" t="s">
        <v>740</v>
      </c>
    </row>
    <row r="50" spans="1:14">
      <c r="A50" s="335">
        <v>38795</v>
      </c>
      <c r="B50" s="335"/>
      <c r="C50" s="335" t="s">
        <v>2137</v>
      </c>
      <c r="D50" s="335" t="s">
        <v>2138</v>
      </c>
      <c r="E50" s="335"/>
      <c r="F50" s="335"/>
      <c r="G50" s="335" t="s">
        <v>88</v>
      </c>
      <c r="H50" s="335"/>
      <c r="I50" s="335">
        <v>778</v>
      </c>
      <c r="J50" s="335">
        <v>5</v>
      </c>
      <c r="K50" s="335">
        <v>155.6</v>
      </c>
      <c r="M50" s="335" t="s">
        <v>672</v>
      </c>
      <c r="N50" s="335" t="s">
        <v>673</v>
      </c>
    </row>
    <row r="51" spans="1:14">
      <c r="A51" s="335">
        <v>38772</v>
      </c>
      <c r="B51" s="335"/>
      <c r="C51" s="335" t="s">
        <v>2031</v>
      </c>
      <c r="D51" s="335" t="s">
        <v>81</v>
      </c>
      <c r="E51" s="336"/>
      <c r="F51" s="335"/>
      <c r="G51" s="335" t="s">
        <v>359</v>
      </c>
      <c r="H51" s="335"/>
      <c r="I51" s="335">
        <v>1649</v>
      </c>
      <c r="J51" s="335">
        <v>11</v>
      </c>
      <c r="K51" s="335">
        <v>149.91</v>
      </c>
      <c r="M51" s="336" t="s">
        <v>82</v>
      </c>
      <c r="N51" s="335" t="s">
        <v>83</v>
      </c>
    </row>
    <row r="52" spans="1:14">
      <c r="A52" s="335">
        <v>38706</v>
      </c>
      <c r="B52" s="335"/>
      <c r="C52" s="335" t="s">
        <v>271</v>
      </c>
      <c r="D52" s="335" t="s">
        <v>1880</v>
      </c>
      <c r="E52" s="335"/>
      <c r="F52" s="335"/>
      <c r="G52" s="335" t="s">
        <v>88</v>
      </c>
      <c r="H52" s="335"/>
      <c r="I52" s="335">
        <v>8485</v>
      </c>
      <c r="J52" s="335">
        <v>57</v>
      </c>
      <c r="K52" s="335">
        <v>148.86000000000001</v>
      </c>
      <c r="M52" s="335" t="s">
        <v>1206</v>
      </c>
      <c r="N52" s="335" t="s">
        <v>1175</v>
      </c>
    </row>
    <row r="53" spans="1:14">
      <c r="A53" s="335">
        <v>38781</v>
      </c>
      <c r="B53" s="335"/>
      <c r="C53" s="335" t="s">
        <v>2035</v>
      </c>
      <c r="D53" s="335" t="s">
        <v>378</v>
      </c>
      <c r="E53" s="335"/>
      <c r="F53" s="335"/>
      <c r="G53" s="335" t="s">
        <v>359</v>
      </c>
      <c r="H53" s="335"/>
      <c r="I53" s="335">
        <v>2947</v>
      </c>
      <c r="J53" s="335">
        <v>20</v>
      </c>
      <c r="K53" s="335">
        <v>147.35</v>
      </c>
      <c r="M53" s="335" t="s">
        <v>672</v>
      </c>
      <c r="N53" s="335" t="s">
        <v>673</v>
      </c>
    </row>
    <row r="54" spans="1:14">
      <c r="A54" s="335">
        <v>38949</v>
      </c>
      <c r="B54" s="335"/>
      <c r="C54" s="335" t="s">
        <v>2605</v>
      </c>
      <c r="D54" s="335" t="s">
        <v>667</v>
      </c>
      <c r="E54" s="335"/>
      <c r="F54" s="335"/>
      <c r="G54" s="335" t="s">
        <v>359</v>
      </c>
      <c r="H54" s="335"/>
      <c r="I54" s="335">
        <v>3780</v>
      </c>
      <c r="J54" s="335">
        <v>27</v>
      </c>
      <c r="K54" s="335">
        <v>140</v>
      </c>
      <c r="M54" s="335" t="s">
        <v>1206</v>
      </c>
      <c r="N54" s="335" t="s">
        <v>1175</v>
      </c>
    </row>
    <row r="55" spans="1:14">
      <c r="A55" s="335">
        <v>38894</v>
      </c>
      <c r="B55" s="335"/>
      <c r="C55" s="335" t="s">
        <v>2455</v>
      </c>
      <c r="D55" s="335" t="s">
        <v>1376</v>
      </c>
      <c r="E55" s="335"/>
      <c r="F55" s="335"/>
      <c r="G55" s="335" t="s">
        <v>88</v>
      </c>
      <c r="H55" s="335"/>
      <c r="I55" s="335">
        <v>2314</v>
      </c>
      <c r="J55" s="335">
        <v>17</v>
      </c>
      <c r="K55" s="335">
        <v>136.12</v>
      </c>
      <c r="M55" s="335" t="s">
        <v>672</v>
      </c>
      <c r="N55" s="335" t="s">
        <v>673</v>
      </c>
    </row>
    <row r="56" spans="1:14">
      <c r="A56" s="335">
        <v>38776</v>
      </c>
      <c r="B56" s="335"/>
      <c r="C56" s="335" t="s">
        <v>2051</v>
      </c>
      <c r="D56" s="335" t="s">
        <v>807</v>
      </c>
      <c r="E56" s="335"/>
      <c r="F56" s="335"/>
      <c r="G56" s="335" t="s">
        <v>2052</v>
      </c>
      <c r="H56" s="335"/>
      <c r="I56" s="335">
        <v>1521</v>
      </c>
      <c r="J56" s="335">
        <v>12</v>
      </c>
      <c r="K56" s="335">
        <v>126.75</v>
      </c>
      <c r="M56" s="335" t="s">
        <v>1704</v>
      </c>
      <c r="N56" s="335" t="s">
        <v>1705</v>
      </c>
    </row>
    <row r="57" spans="1:14">
      <c r="A57" s="335">
        <v>38904</v>
      </c>
      <c r="B57" s="335"/>
      <c r="C57" s="335" t="s">
        <v>500</v>
      </c>
      <c r="D57" s="335" t="s">
        <v>2542</v>
      </c>
      <c r="E57" s="335"/>
      <c r="F57" s="335"/>
      <c r="G57" s="335" t="s">
        <v>2052</v>
      </c>
      <c r="H57" s="335"/>
      <c r="I57" s="335">
        <v>2884</v>
      </c>
      <c r="J57" s="335">
        <v>23</v>
      </c>
      <c r="K57" s="335">
        <v>125.39</v>
      </c>
      <c r="M57" s="335" t="s">
        <v>1206</v>
      </c>
      <c r="N57" s="335" t="s">
        <v>1175</v>
      </c>
    </row>
    <row r="58" spans="1:14">
      <c r="A58" s="335">
        <v>38879</v>
      </c>
      <c r="B58" s="335"/>
      <c r="C58" s="335" t="s">
        <v>2115</v>
      </c>
      <c r="D58" s="335" t="s">
        <v>490</v>
      </c>
      <c r="E58" s="335"/>
      <c r="F58" s="335"/>
      <c r="G58" s="335" t="s">
        <v>359</v>
      </c>
      <c r="H58" s="335"/>
      <c r="I58" s="335">
        <v>875</v>
      </c>
      <c r="J58" s="335">
        <v>7</v>
      </c>
      <c r="K58" s="335">
        <v>125</v>
      </c>
      <c r="M58" s="335" t="s">
        <v>318</v>
      </c>
      <c r="N58" s="335" t="s">
        <v>301</v>
      </c>
    </row>
    <row r="59" spans="1:14">
      <c r="A59" s="335">
        <v>38819</v>
      </c>
      <c r="B59" s="335"/>
      <c r="C59" s="335" t="s">
        <v>2187</v>
      </c>
      <c r="D59" s="335" t="s">
        <v>738</v>
      </c>
      <c r="E59" s="335"/>
      <c r="F59" s="335"/>
      <c r="G59" s="335" t="s">
        <v>2052</v>
      </c>
      <c r="H59" s="335"/>
      <c r="I59" s="335">
        <v>4131</v>
      </c>
      <c r="J59" s="335">
        <v>34</v>
      </c>
      <c r="K59" s="335">
        <v>121.5</v>
      </c>
      <c r="M59" s="335" t="s">
        <v>967</v>
      </c>
      <c r="N59" s="335" t="s">
        <v>968</v>
      </c>
    </row>
    <row r="60" spans="1:14">
      <c r="A60" s="335">
        <v>38915</v>
      </c>
      <c r="B60" s="335"/>
      <c r="C60" s="335" t="s">
        <v>2457</v>
      </c>
      <c r="D60" s="335" t="s">
        <v>2458</v>
      </c>
      <c r="E60" s="335"/>
      <c r="F60" s="335"/>
      <c r="G60" s="335" t="s">
        <v>88</v>
      </c>
      <c r="H60" s="335"/>
      <c r="I60" s="335">
        <v>827</v>
      </c>
      <c r="J60" s="335">
        <v>7</v>
      </c>
      <c r="K60" s="335">
        <v>118.14</v>
      </c>
      <c r="M60" s="335" t="s">
        <v>672</v>
      </c>
      <c r="N60" s="335" t="s">
        <v>673</v>
      </c>
    </row>
    <row r="61" spans="1:14">
      <c r="A61" s="335">
        <v>38810</v>
      </c>
      <c r="B61" s="335"/>
      <c r="C61" s="335" t="s">
        <v>2162</v>
      </c>
      <c r="D61" s="335" t="s">
        <v>284</v>
      </c>
      <c r="E61" s="335"/>
      <c r="F61" s="335"/>
      <c r="G61" s="335" t="s">
        <v>88</v>
      </c>
      <c r="H61" s="335"/>
      <c r="I61" s="335">
        <v>2652</v>
      </c>
      <c r="J61" s="335">
        <v>23</v>
      </c>
      <c r="K61" s="335">
        <v>115.3</v>
      </c>
      <c r="M61" s="335" t="s">
        <v>739</v>
      </c>
      <c r="N61" s="335" t="s">
        <v>740</v>
      </c>
    </row>
    <row r="62" spans="1:14">
      <c r="A62" s="335">
        <v>38808</v>
      </c>
      <c r="B62" s="335"/>
      <c r="C62" s="335" t="s">
        <v>1013</v>
      </c>
      <c r="D62" s="335" t="s">
        <v>996</v>
      </c>
      <c r="E62" s="335"/>
      <c r="F62" s="335"/>
      <c r="G62" s="335" t="s">
        <v>359</v>
      </c>
      <c r="H62" s="335"/>
      <c r="I62" s="335">
        <v>2071</v>
      </c>
      <c r="J62" s="335">
        <v>18</v>
      </c>
      <c r="K62" s="335">
        <v>115.06</v>
      </c>
      <c r="M62" s="335" t="s">
        <v>739</v>
      </c>
      <c r="N62" s="335" t="s">
        <v>740</v>
      </c>
    </row>
    <row r="63" spans="1:14">
      <c r="A63" s="335">
        <v>38927</v>
      </c>
      <c r="B63" s="335"/>
      <c r="C63" s="335" t="s">
        <v>2228</v>
      </c>
      <c r="D63" s="335" t="s">
        <v>2241</v>
      </c>
      <c r="E63" s="335"/>
      <c r="F63" s="335"/>
      <c r="G63" s="335" t="s">
        <v>88</v>
      </c>
      <c r="H63" s="335"/>
      <c r="I63" s="335">
        <v>2394</v>
      </c>
      <c r="J63" s="335">
        <v>21</v>
      </c>
      <c r="K63" s="335">
        <v>114</v>
      </c>
      <c r="M63" s="335" t="s">
        <v>672</v>
      </c>
      <c r="N63" s="335" t="s">
        <v>673</v>
      </c>
    </row>
    <row r="64" spans="1:14">
      <c r="A64" s="335">
        <v>38784</v>
      </c>
      <c r="B64" s="335"/>
      <c r="C64" s="335" t="s">
        <v>2096</v>
      </c>
      <c r="D64" s="335" t="s">
        <v>632</v>
      </c>
      <c r="E64" s="335"/>
      <c r="F64" s="335"/>
      <c r="G64" s="335" t="s">
        <v>359</v>
      </c>
      <c r="H64" s="335"/>
      <c r="I64" s="335">
        <v>1361</v>
      </c>
      <c r="J64" s="335">
        <v>12</v>
      </c>
      <c r="K64" s="335">
        <v>113.42</v>
      </c>
      <c r="M64" s="335" t="s">
        <v>967</v>
      </c>
      <c r="N64" s="335" t="s">
        <v>968</v>
      </c>
    </row>
    <row r="65" spans="1:14">
      <c r="A65" s="335">
        <v>38865</v>
      </c>
      <c r="B65" s="335"/>
      <c r="C65" s="335" t="s">
        <v>2315</v>
      </c>
      <c r="D65" s="335" t="s">
        <v>378</v>
      </c>
      <c r="E65" s="335"/>
      <c r="F65" s="335"/>
      <c r="G65" s="335" t="s">
        <v>88</v>
      </c>
      <c r="H65" s="335"/>
      <c r="I65" s="335">
        <v>4247</v>
      </c>
      <c r="J65" s="335">
        <v>40</v>
      </c>
      <c r="K65" s="335">
        <v>106.18</v>
      </c>
      <c r="M65" s="335" t="s">
        <v>967</v>
      </c>
      <c r="N65" s="335" t="s">
        <v>968</v>
      </c>
    </row>
    <row r="66" spans="1:14">
      <c r="A66" s="335">
        <v>38941</v>
      </c>
      <c r="B66" s="335"/>
      <c r="C66" s="335" t="s">
        <v>2623</v>
      </c>
      <c r="D66" s="335" t="s">
        <v>2624</v>
      </c>
      <c r="E66" s="335"/>
      <c r="F66" s="335"/>
      <c r="G66" s="335" t="s">
        <v>88</v>
      </c>
      <c r="H66" s="335"/>
      <c r="I66" s="335">
        <v>318</v>
      </c>
      <c r="J66" s="335">
        <v>3</v>
      </c>
      <c r="K66" s="335">
        <v>106</v>
      </c>
      <c r="M66" s="335" t="s">
        <v>672</v>
      </c>
      <c r="N66" s="335" t="s">
        <v>673</v>
      </c>
    </row>
    <row r="67" spans="1:14">
      <c r="A67" s="335">
        <v>38920</v>
      </c>
      <c r="B67" s="335"/>
      <c r="C67" s="335" t="s">
        <v>2483</v>
      </c>
      <c r="D67" s="335" t="s">
        <v>378</v>
      </c>
      <c r="E67" s="335"/>
      <c r="F67" s="335"/>
      <c r="G67" s="335" t="s">
        <v>2052</v>
      </c>
      <c r="H67" s="335"/>
      <c r="I67" s="335">
        <v>2389</v>
      </c>
      <c r="J67" s="335">
        <v>23</v>
      </c>
      <c r="K67" s="335">
        <v>103.87</v>
      </c>
      <c r="M67" s="335" t="s">
        <v>739</v>
      </c>
      <c r="N67" s="335" t="s">
        <v>740</v>
      </c>
    </row>
    <row r="68" spans="1:14">
      <c r="A68" s="335">
        <v>38806</v>
      </c>
      <c r="B68" s="335"/>
      <c r="C68" s="335" t="s">
        <v>1623</v>
      </c>
      <c r="D68" s="335" t="s">
        <v>1883</v>
      </c>
      <c r="E68" s="335"/>
      <c r="F68" s="335"/>
      <c r="G68" s="335" t="s">
        <v>88</v>
      </c>
      <c r="H68" s="335"/>
      <c r="I68" s="335">
        <v>3229</v>
      </c>
      <c r="J68" s="335">
        <v>32</v>
      </c>
      <c r="K68" s="335">
        <v>100.91</v>
      </c>
      <c r="M68" s="335" t="s">
        <v>1206</v>
      </c>
      <c r="N68" s="335" t="s">
        <v>1175</v>
      </c>
    </row>
    <row r="69" spans="1:14">
      <c r="A69" s="335">
        <v>38922</v>
      </c>
      <c r="B69" s="335"/>
      <c r="C69" s="335" t="s">
        <v>2477</v>
      </c>
      <c r="D69" s="335" t="s">
        <v>2478</v>
      </c>
      <c r="E69" s="335"/>
      <c r="F69" s="335"/>
      <c r="G69" s="335" t="s">
        <v>88</v>
      </c>
      <c r="H69" s="335"/>
      <c r="I69" s="335">
        <v>2126</v>
      </c>
      <c r="J69" s="335">
        <v>22</v>
      </c>
      <c r="K69" s="335">
        <v>96.64</v>
      </c>
      <c r="M69" s="335" t="s">
        <v>739</v>
      </c>
      <c r="N69" s="335" t="s">
        <v>740</v>
      </c>
    </row>
    <row r="70" spans="1:14">
      <c r="A70" s="335">
        <v>38893</v>
      </c>
      <c r="B70" s="335"/>
      <c r="C70" s="335" t="s">
        <v>2402</v>
      </c>
      <c r="D70" s="335" t="s">
        <v>2403</v>
      </c>
      <c r="E70" s="336"/>
      <c r="F70" s="335"/>
      <c r="G70" s="335" t="s">
        <v>2052</v>
      </c>
      <c r="H70" s="335"/>
      <c r="I70" s="335">
        <v>1559</v>
      </c>
      <c r="J70" s="335">
        <v>18</v>
      </c>
      <c r="K70" s="335">
        <v>86.61</v>
      </c>
      <c r="M70" s="336" t="s">
        <v>82</v>
      </c>
      <c r="N70" s="335" t="s">
        <v>83</v>
      </c>
    </row>
  </sheetData>
  <hyperlinks>
    <hyperlink ref="M36" r:id="rId1" display="http://absolut-sports.com/" xr:uid="{00000000-0004-0000-3800-000000000000}"/>
    <hyperlink ref="M39" r:id="rId2" display="http://absolut-sports.com/" xr:uid="{00000000-0004-0000-3800-000001000000}"/>
    <hyperlink ref="M51" r:id="rId3" display="http://absolut-sports.com/" xr:uid="{00000000-0004-0000-3800-000002000000}"/>
    <hyperlink ref="M70" r:id="rId4" display="http://absolut-sports.com/" xr:uid="{00000000-0004-0000-3800-000003000000}"/>
  </hyperlinks>
  <pageMargins left="0.7" right="0.7" top="0.78740157499999996" bottom="0.78740157499999996" header="0.3" footer="0.3"/>
  <pageSetup paperSize="9" orientation="portrait" r:id="rId5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0000"/>
  </sheetPr>
  <dimension ref="A1:Q101"/>
  <sheetViews>
    <sheetView workbookViewId="0">
      <selection activeCell="Q23" sqref="Q23"/>
    </sheetView>
  </sheetViews>
  <sheetFormatPr baseColWidth="10" defaultColWidth="5.21875" defaultRowHeight="14.4"/>
  <cols>
    <col min="1" max="1" width="6.21875" style="248" bestFit="1" customWidth="1"/>
    <col min="2" max="2" width="7.44140625" style="248" bestFit="1" customWidth="1"/>
    <col min="3" max="3" width="13.21875" style="248" bestFit="1" customWidth="1"/>
    <col min="4" max="4" width="14.44140625" style="248" bestFit="1" customWidth="1"/>
    <col min="5" max="5" width="4.6640625" style="248" bestFit="1" customWidth="1"/>
    <col min="6" max="6" width="2.33203125" style="248" bestFit="1" customWidth="1"/>
    <col min="7" max="7" width="10.21875" style="248" bestFit="1" customWidth="1"/>
    <col min="8" max="8" width="1.6640625" style="248" bestFit="1" customWidth="1"/>
    <col min="9" max="9" width="6.21875" style="248" bestFit="1" customWidth="1"/>
    <col min="10" max="11" width="5.6640625" style="248" bestFit="1" customWidth="1"/>
    <col min="12" max="12" width="8.44140625" style="248" bestFit="1" customWidth="1"/>
    <col min="13" max="13" width="21.33203125" style="248" bestFit="1" customWidth="1"/>
    <col min="14" max="14" width="23.44140625" style="248" bestFit="1" customWidth="1"/>
    <col min="15" max="255" width="10.6640625" style="248" customWidth="1"/>
    <col min="256" max="16384" width="5.21875" style="248"/>
  </cols>
  <sheetData>
    <row r="1" spans="1:17">
      <c r="A1" s="252" t="s">
        <v>1815</v>
      </c>
      <c r="B1" s="245"/>
      <c r="C1" s="245" t="s">
        <v>1798</v>
      </c>
      <c r="D1" s="245" t="s">
        <v>32</v>
      </c>
      <c r="E1" s="245"/>
      <c r="F1" s="245"/>
      <c r="G1" s="245" t="s">
        <v>2637</v>
      </c>
      <c r="H1" s="245"/>
      <c r="I1" s="245" t="s">
        <v>1800</v>
      </c>
      <c r="J1" s="245" t="s">
        <v>1819</v>
      </c>
      <c r="K1" s="253" t="s">
        <v>1806</v>
      </c>
      <c r="L1" s="254"/>
      <c r="M1" s="245" t="s">
        <v>2610</v>
      </c>
      <c r="N1" s="245" t="s">
        <v>38</v>
      </c>
    </row>
    <row r="2" spans="1:17">
      <c r="A2" s="335">
        <v>38438</v>
      </c>
      <c r="B2" s="327"/>
      <c r="C2" s="335" t="s">
        <v>1608</v>
      </c>
      <c r="D2" s="335" t="s">
        <v>1609</v>
      </c>
      <c r="E2"/>
      <c r="F2"/>
      <c r="G2" s="335" t="s">
        <v>1121</v>
      </c>
      <c r="H2"/>
      <c r="I2" s="335">
        <v>26997</v>
      </c>
      <c r="J2" s="335">
        <v>142</v>
      </c>
      <c r="K2" s="335">
        <v>190.12</v>
      </c>
      <c r="L2"/>
      <c r="M2" s="335" t="s">
        <v>1593</v>
      </c>
      <c r="N2" s="335" t="s">
        <v>1359</v>
      </c>
      <c r="Q2" s="251" t="s">
        <v>2340</v>
      </c>
    </row>
    <row r="3" spans="1:17">
      <c r="A3" s="335">
        <v>38553</v>
      </c>
      <c r="C3" s="335" t="s">
        <v>1335</v>
      </c>
      <c r="D3" s="335" t="s">
        <v>1113</v>
      </c>
      <c r="G3" s="335" t="s">
        <v>1121</v>
      </c>
      <c r="I3" s="335">
        <v>28379</v>
      </c>
      <c r="J3" s="335">
        <v>153</v>
      </c>
      <c r="K3" s="335">
        <v>185.48</v>
      </c>
      <c r="L3" s="250"/>
      <c r="M3" s="335" t="s">
        <v>1593</v>
      </c>
      <c r="N3" s="335" t="s">
        <v>1359</v>
      </c>
    </row>
    <row r="4" spans="1:17">
      <c r="A4" s="335">
        <v>38526</v>
      </c>
      <c r="C4" s="335" t="s">
        <v>2329</v>
      </c>
      <c r="D4" s="335" t="s">
        <v>2330</v>
      </c>
      <c r="G4" s="335" t="s">
        <v>1121</v>
      </c>
      <c r="I4" s="335">
        <v>2220</v>
      </c>
      <c r="J4" s="335">
        <v>12</v>
      </c>
      <c r="K4" s="335">
        <v>185</v>
      </c>
      <c r="L4" s="250"/>
      <c r="M4" s="335" t="s">
        <v>254</v>
      </c>
      <c r="N4" s="335" t="s">
        <v>1359</v>
      </c>
    </row>
    <row r="5" spans="1:17">
      <c r="A5" s="335">
        <v>38651</v>
      </c>
      <c r="C5" s="335" t="s">
        <v>2625</v>
      </c>
      <c r="D5" s="335" t="s">
        <v>270</v>
      </c>
      <c r="G5" s="335" t="s">
        <v>1121</v>
      </c>
      <c r="I5" s="335">
        <v>796</v>
      </c>
      <c r="J5" s="335">
        <v>5</v>
      </c>
      <c r="K5" s="335">
        <v>159.19999999999999</v>
      </c>
      <c r="L5" s="250"/>
      <c r="M5" s="335" t="s">
        <v>507</v>
      </c>
      <c r="N5" s="335" t="s">
        <v>508</v>
      </c>
    </row>
    <row r="6" spans="1:17">
      <c r="A6" s="335">
        <v>38759</v>
      </c>
      <c r="C6" s="335" t="s">
        <v>1979</v>
      </c>
      <c r="D6" s="335" t="s">
        <v>1980</v>
      </c>
      <c r="G6" s="335" t="s">
        <v>774</v>
      </c>
      <c r="I6" s="335">
        <v>10994</v>
      </c>
      <c r="J6" s="335">
        <v>72</v>
      </c>
      <c r="K6" s="335">
        <v>152.69</v>
      </c>
      <c r="L6" s="250"/>
      <c r="M6" s="335" t="s">
        <v>739</v>
      </c>
      <c r="N6" s="335" t="s">
        <v>740</v>
      </c>
    </row>
    <row r="7" spans="1:17">
      <c r="A7" s="335">
        <v>38773</v>
      </c>
      <c r="C7" s="335" t="s">
        <v>2038</v>
      </c>
      <c r="D7" s="335" t="s">
        <v>2039</v>
      </c>
      <c r="G7" s="335" t="s">
        <v>774</v>
      </c>
      <c r="I7" s="335">
        <v>10863</v>
      </c>
      <c r="J7" s="335">
        <v>72</v>
      </c>
      <c r="K7" s="335">
        <v>150.88</v>
      </c>
      <c r="L7" s="250"/>
      <c r="M7" s="335" t="s">
        <v>739</v>
      </c>
      <c r="N7" s="335" t="s">
        <v>740</v>
      </c>
    </row>
    <row r="8" spans="1:17">
      <c r="A8" s="335">
        <v>38760</v>
      </c>
      <c r="C8" s="335" t="s">
        <v>1970</v>
      </c>
      <c r="D8" s="335" t="s">
        <v>1971</v>
      </c>
      <c r="G8" s="335" t="s">
        <v>774</v>
      </c>
      <c r="I8" s="335">
        <v>9176</v>
      </c>
      <c r="J8" s="335">
        <v>61</v>
      </c>
      <c r="K8" s="335">
        <v>150.43</v>
      </c>
      <c r="L8" s="250"/>
      <c r="M8" s="335" t="s">
        <v>739</v>
      </c>
      <c r="N8" s="335" t="s">
        <v>740</v>
      </c>
    </row>
    <row r="9" spans="1:17">
      <c r="A9" s="335">
        <v>38663</v>
      </c>
      <c r="C9" s="335" t="s">
        <v>1343</v>
      </c>
      <c r="D9" s="335" t="s">
        <v>1344</v>
      </c>
      <c r="G9" s="335" t="s">
        <v>1121</v>
      </c>
      <c r="I9" s="335">
        <v>2607</v>
      </c>
      <c r="J9" s="335">
        <v>18</v>
      </c>
      <c r="K9" s="335">
        <v>144.83000000000001</v>
      </c>
      <c r="L9" s="250"/>
      <c r="M9" s="335" t="s">
        <v>1327</v>
      </c>
      <c r="N9" s="335" t="s">
        <v>1328</v>
      </c>
    </row>
    <row r="10" spans="1:17">
      <c r="A10" s="335">
        <v>38937</v>
      </c>
      <c r="C10" s="335" t="s">
        <v>2550</v>
      </c>
      <c r="D10" s="335" t="s">
        <v>2630</v>
      </c>
      <c r="G10" s="335" t="s">
        <v>774</v>
      </c>
      <c r="I10" s="335">
        <v>2801</v>
      </c>
      <c r="J10" s="335">
        <v>21</v>
      </c>
      <c r="K10" s="335">
        <v>133.38</v>
      </c>
      <c r="L10" s="250"/>
      <c r="M10" s="335" t="s">
        <v>1327</v>
      </c>
      <c r="N10" s="335" t="s">
        <v>1328</v>
      </c>
    </row>
    <row r="11" spans="1:17">
      <c r="A11" s="335">
        <v>38843</v>
      </c>
      <c r="C11" s="335" t="s">
        <v>2108</v>
      </c>
      <c r="D11" s="335" t="s">
        <v>2109</v>
      </c>
      <c r="G11" s="335" t="s">
        <v>774</v>
      </c>
      <c r="I11" s="335">
        <v>2874</v>
      </c>
      <c r="J11" s="335">
        <v>23</v>
      </c>
      <c r="K11" s="335">
        <v>124.96</v>
      </c>
      <c r="L11" s="250"/>
      <c r="M11" s="336" t="s">
        <v>82</v>
      </c>
      <c r="N11" s="335" t="s">
        <v>83</v>
      </c>
    </row>
    <row r="12" spans="1:17">
      <c r="A12" s="335">
        <v>38940</v>
      </c>
      <c r="C12" s="335" t="s">
        <v>2627</v>
      </c>
      <c r="D12" s="335" t="s">
        <v>698</v>
      </c>
      <c r="G12" s="335" t="s">
        <v>774</v>
      </c>
      <c r="I12" s="335">
        <v>742</v>
      </c>
      <c r="J12" s="335">
        <v>6</v>
      </c>
      <c r="K12" s="335">
        <v>123.67</v>
      </c>
      <c r="L12" s="250"/>
      <c r="M12" s="336" t="s">
        <v>2634</v>
      </c>
      <c r="N12" s="335" t="s">
        <v>83</v>
      </c>
    </row>
    <row r="13" spans="1:17">
      <c r="A13" s="335">
        <v>38848</v>
      </c>
      <c r="C13" s="335" t="s">
        <v>2304</v>
      </c>
      <c r="D13" s="335" t="s">
        <v>689</v>
      </c>
      <c r="G13" s="335" t="s">
        <v>774</v>
      </c>
      <c r="I13" s="335">
        <v>6083</v>
      </c>
      <c r="J13" s="335">
        <v>50</v>
      </c>
      <c r="K13" s="335">
        <v>121.66</v>
      </c>
      <c r="L13" s="250"/>
      <c r="M13" s="335" t="s">
        <v>739</v>
      </c>
      <c r="N13" s="335" t="s">
        <v>740</v>
      </c>
    </row>
    <row r="14" spans="1:17">
      <c r="A14" s="335">
        <v>38910</v>
      </c>
      <c r="C14" s="335" t="s">
        <v>2529</v>
      </c>
      <c r="D14" s="335" t="s">
        <v>2531</v>
      </c>
      <c r="G14" s="335" t="s">
        <v>774</v>
      </c>
      <c r="I14" s="335">
        <v>2735</v>
      </c>
      <c r="J14" s="335">
        <v>23</v>
      </c>
      <c r="K14" s="335">
        <v>118.91</v>
      </c>
      <c r="L14" s="250"/>
      <c r="M14" s="335" t="s">
        <v>1206</v>
      </c>
      <c r="N14" s="335" t="s">
        <v>1175</v>
      </c>
    </row>
    <row r="15" spans="1:17">
      <c r="A15" s="335">
        <v>38849</v>
      </c>
      <c r="C15" s="335" t="s">
        <v>2304</v>
      </c>
      <c r="D15" s="335" t="s">
        <v>2109</v>
      </c>
      <c r="G15" s="335" t="s">
        <v>774</v>
      </c>
      <c r="I15" s="335">
        <v>6000</v>
      </c>
      <c r="J15" s="335">
        <v>52</v>
      </c>
      <c r="K15" s="335">
        <v>115.38</v>
      </c>
      <c r="L15" s="250"/>
      <c r="M15" s="335" t="s">
        <v>739</v>
      </c>
      <c r="N15" s="335" t="s">
        <v>740</v>
      </c>
    </row>
    <row r="16" spans="1:17">
      <c r="A16" s="335">
        <v>38923</v>
      </c>
      <c r="C16" s="335" t="s">
        <v>2486</v>
      </c>
      <c r="D16" s="335" t="s">
        <v>2109</v>
      </c>
      <c r="G16" s="335" t="s">
        <v>774</v>
      </c>
      <c r="I16" s="335">
        <v>3498</v>
      </c>
      <c r="J16" s="335">
        <v>31</v>
      </c>
      <c r="K16" s="335">
        <v>112.84</v>
      </c>
      <c r="L16" s="250"/>
      <c r="M16" s="335" t="s">
        <v>739</v>
      </c>
      <c r="N16" s="335" t="s">
        <v>740</v>
      </c>
    </row>
    <row r="17" spans="1:14">
      <c r="A17" s="335">
        <v>38831</v>
      </c>
      <c r="C17" s="335" t="s">
        <v>2159</v>
      </c>
      <c r="D17" s="335" t="s">
        <v>2160</v>
      </c>
      <c r="G17" s="335" t="s">
        <v>774</v>
      </c>
      <c r="I17" s="335">
        <v>1268</v>
      </c>
      <c r="J17" s="335">
        <v>12</v>
      </c>
      <c r="K17" s="335">
        <v>105.67</v>
      </c>
      <c r="L17" s="250"/>
      <c r="M17" s="335" t="s">
        <v>739</v>
      </c>
      <c r="N17" s="335" t="s">
        <v>740</v>
      </c>
    </row>
    <row r="18" spans="1:14">
      <c r="A18" s="335">
        <v>38785</v>
      </c>
      <c r="C18" s="335" t="s">
        <v>1230</v>
      </c>
      <c r="D18" s="335" t="s">
        <v>2099</v>
      </c>
      <c r="G18" s="335" t="s">
        <v>774</v>
      </c>
      <c r="I18" s="335">
        <v>1242</v>
      </c>
      <c r="J18" s="335">
        <v>12</v>
      </c>
      <c r="K18" s="335">
        <v>103.5</v>
      </c>
      <c r="L18" s="250"/>
      <c r="M18" s="335" t="s">
        <v>1206</v>
      </c>
      <c r="N18" s="335" t="s">
        <v>1175</v>
      </c>
    </row>
    <row r="19" spans="1:14">
      <c r="A19" s="335">
        <v>38817</v>
      </c>
      <c r="C19" s="335" t="s">
        <v>2182</v>
      </c>
      <c r="D19" s="335" t="s">
        <v>2184</v>
      </c>
      <c r="G19" s="335" t="s">
        <v>774</v>
      </c>
      <c r="I19" s="335">
        <v>591</v>
      </c>
      <c r="J19" s="335">
        <v>6</v>
      </c>
      <c r="K19" s="335">
        <v>98.5</v>
      </c>
      <c r="L19" s="250"/>
      <c r="M19" s="335" t="s">
        <v>967</v>
      </c>
      <c r="N19" s="335" t="s">
        <v>968</v>
      </c>
    </row>
    <row r="20" spans="1:14">
      <c r="A20" s="335">
        <v>38890</v>
      </c>
      <c r="C20" s="335" t="s">
        <v>2533</v>
      </c>
      <c r="D20" s="335" t="s">
        <v>137</v>
      </c>
      <c r="G20" s="335" t="s">
        <v>774</v>
      </c>
      <c r="I20" s="335">
        <v>3689</v>
      </c>
      <c r="J20" s="335">
        <v>40</v>
      </c>
      <c r="K20" s="335">
        <v>92.23</v>
      </c>
      <c r="L20" s="250"/>
      <c r="M20" s="335" t="s">
        <v>1206</v>
      </c>
      <c r="N20" s="335" t="s">
        <v>1175</v>
      </c>
    </row>
    <row r="21" spans="1:14">
      <c r="A21" s="335">
        <v>38905</v>
      </c>
      <c r="C21" s="335" t="s">
        <v>2505</v>
      </c>
      <c r="D21" s="335" t="s">
        <v>2506</v>
      </c>
      <c r="G21" s="335" t="s">
        <v>774</v>
      </c>
      <c r="I21" s="335">
        <v>2375</v>
      </c>
      <c r="J21" s="335">
        <v>31</v>
      </c>
      <c r="K21" s="335">
        <v>76.61</v>
      </c>
      <c r="L21" s="250"/>
      <c r="M21" s="335" t="s">
        <v>967</v>
      </c>
      <c r="N21" s="335" t="s">
        <v>968</v>
      </c>
    </row>
    <row r="22" spans="1:14">
      <c r="A22" s="335">
        <v>38921</v>
      </c>
      <c r="C22" s="335" t="s">
        <v>2477</v>
      </c>
      <c r="D22" s="335" t="s">
        <v>2480</v>
      </c>
      <c r="G22" s="335" t="s">
        <v>2481</v>
      </c>
      <c r="I22" s="335">
        <v>1109</v>
      </c>
      <c r="J22" s="335">
        <v>15</v>
      </c>
      <c r="K22" s="335">
        <v>73.930000000000007</v>
      </c>
      <c r="L22" s="250"/>
      <c r="M22" s="335" t="s">
        <v>739</v>
      </c>
      <c r="N22" s="335" t="s">
        <v>740</v>
      </c>
    </row>
    <row r="23" spans="1:14">
      <c r="A23" s="247"/>
      <c r="K23" s="249"/>
      <c r="L23" s="250"/>
    </row>
    <row r="24" spans="1:14">
      <c r="A24" s="335">
        <v>38541</v>
      </c>
      <c r="C24" s="335" t="s">
        <v>971</v>
      </c>
      <c r="D24" s="335" t="s">
        <v>124</v>
      </c>
      <c r="G24" s="335" t="s">
        <v>359</v>
      </c>
      <c r="I24" s="335">
        <v>18185</v>
      </c>
      <c r="J24" s="335">
        <v>90</v>
      </c>
      <c r="K24" s="335">
        <v>202.06</v>
      </c>
      <c r="L24" s="250"/>
      <c r="M24" s="335" t="s">
        <v>967</v>
      </c>
      <c r="N24" s="335" t="s">
        <v>968</v>
      </c>
    </row>
    <row r="25" spans="1:14">
      <c r="A25" s="335">
        <v>38708</v>
      </c>
      <c r="C25" s="335" t="s">
        <v>1882</v>
      </c>
      <c r="D25" s="335" t="s">
        <v>124</v>
      </c>
      <c r="G25" s="335" t="s">
        <v>88</v>
      </c>
      <c r="I25" s="335">
        <v>18332</v>
      </c>
      <c r="J25" s="335">
        <v>91</v>
      </c>
      <c r="K25" s="335">
        <v>201.45</v>
      </c>
      <c r="L25" s="250"/>
      <c r="M25" s="335" t="s">
        <v>1593</v>
      </c>
      <c r="N25" s="335" t="s">
        <v>1359</v>
      </c>
    </row>
    <row r="26" spans="1:14">
      <c r="A26" s="335">
        <v>38655</v>
      </c>
      <c r="C26" s="335" t="s">
        <v>1652</v>
      </c>
      <c r="D26" s="335" t="s">
        <v>1653</v>
      </c>
      <c r="G26" s="335" t="s">
        <v>359</v>
      </c>
      <c r="I26" s="335">
        <v>25665</v>
      </c>
      <c r="J26" s="335">
        <v>131</v>
      </c>
      <c r="K26" s="335">
        <v>195.92</v>
      </c>
      <c r="L26" s="250"/>
      <c r="M26" s="335" t="s">
        <v>1593</v>
      </c>
      <c r="N26" s="335" t="s">
        <v>1359</v>
      </c>
    </row>
    <row r="27" spans="1:14">
      <c r="A27" s="335">
        <v>38327</v>
      </c>
      <c r="C27" s="335" t="s">
        <v>1333</v>
      </c>
      <c r="D27" s="335" t="s">
        <v>996</v>
      </c>
      <c r="G27" s="335" t="s">
        <v>359</v>
      </c>
      <c r="I27" s="335">
        <v>15665</v>
      </c>
      <c r="J27" s="335">
        <v>80</v>
      </c>
      <c r="K27" s="335">
        <v>195.81</v>
      </c>
      <c r="L27" s="250"/>
      <c r="M27" s="335" t="s">
        <v>1593</v>
      </c>
      <c r="N27" s="335" t="s">
        <v>1359</v>
      </c>
    </row>
    <row r="28" spans="1:14">
      <c r="A28" s="335">
        <v>38659</v>
      </c>
      <c r="C28" s="335" t="s">
        <v>1669</v>
      </c>
      <c r="D28" s="335" t="s">
        <v>539</v>
      </c>
      <c r="G28" s="335" t="s">
        <v>359</v>
      </c>
      <c r="I28" s="335">
        <v>20947</v>
      </c>
      <c r="J28" s="335">
        <v>107</v>
      </c>
      <c r="K28" s="335">
        <v>195.77</v>
      </c>
      <c r="L28" s="250"/>
      <c r="M28" s="335" t="s">
        <v>1206</v>
      </c>
      <c r="N28" s="335" t="s">
        <v>1175</v>
      </c>
    </row>
    <row r="29" spans="1:14">
      <c r="A29" s="335">
        <v>38660</v>
      </c>
      <c r="C29" s="335" t="s">
        <v>1669</v>
      </c>
      <c r="D29" s="335" t="s">
        <v>1671</v>
      </c>
      <c r="G29" s="335" t="s">
        <v>359</v>
      </c>
      <c r="I29" s="335">
        <v>24939</v>
      </c>
      <c r="J29" s="335">
        <v>128</v>
      </c>
      <c r="K29" s="335">
        <v>194.84</v>
      </c>
      <c r="L29" s="250"/>
      <c r="M29" s="335" t="s">
        <v>1206</v>
      </c>
      <c r="N29" s="335" t="s">
        <v>1175</v>
      </c>
    </row>
    <row r="30" spans="1:14">
      <c r="A30" s="335">
        <v>38672</v>
      </c>
      <c r="C30" s="335" t="s">
        <v>1662</v>
      </c>
      <c r="D30" s="335" t="s">
        <v>490</v>
      </c>
      <c r="G30" s="335" t="s">
        <v>359</v>
      </c>
      <c r="I30" s="335">
        <v>7685</v>
      </c>
      <c r="J30" s="335">
        <v>40</v>
      </c>
      <c r="K30" s="335">
        <v>192.13</v>
      </c>
      <c r="L30" s="250"/>
      <c r="M30" s="335" t="s">
        <v>254</v>
      </c>
      <c r="N30" s="335" t="s">
        <v>1359</v>
      </c>
    </row>
    <row r="31" spans="1:14">
      <c r="A31" s="335">
        <v>38334</v>
      </c>
      <c r="C31" s="335" t="s">
        <v>1623</v>
      </c>
      <c r="D31" s="335" t="s">
        <v>87</v>
      </c>
      <c r="G31" s="335" t="s">
        <v>359</v>
      </c>
      <c r="I31" s="335">
        <v>16352</v>
      </c>
      <c r="J31" s="335">
        <v>87</v>
      </c>
      <c r="K31" s="335">
        <v>187.95</v>
      </c>
      <c r="L31" s="250"/>
      <c r="M31" s="335" t="s">
        <v>1593</v>
      </c>
      <c r="N31" s="335" t="s">
        <v>1359</v>
      </c>
    </row>
    <row r="32" spans="1:14">
      <c r="A32" s="335">
        <v>38626</v>
      </c>
      <c r="C32" s="335" t="s">
        <v>1677</v>
      </c>
      <c r="D32" s="335" t="s">
        <v>124</v>
      </c>
      <c r="G32" s="335" t="s">
        <v>359</v>
      </c>
      <c r="I32" s="335">
        <v>13492</v>
      </c>
      <c r="J32" s="335">
        <v>72</v>
      </c>
      <c r="K32" s="335">
        <v>187.39</v>
      </c>
      <c r="L32" s="250"/>
      <c r="M32" s="335" t="s">
        <v>1593</v>
      </c>
      <c r="N32" s="335" t="s">
        <v>1359</v>
      </c>
    </row>
    <row r="33" spans="1:14">
      <c r="A33" s="335">
        <v>38545</v>
      </c>
      <c r="C33" s="335" t="s">
        <v>170</v>
      </c>
      <c r="D33" s="335" t="s">
        <v>190</v>
      </c>
      <c r="G33" s="335" t="s">
        <v>359</v>
      </c>
      <c r="I33" s="335">
        <v>20690</v>
      </c>
      <c r="J33" s="335">
        <v>111</v>
      </c>
      <c r="K33" s="335">
        <v>186.4</v>
      </c>
      <c r="L33" s="250"/>
      <c r="M33" s="335" t="s">
        <v>1704</v>
      </c>
      <c r="N33" s="335" t="s">
        <v>1705</v>
      </c>
    </row>
    <row r="34" spans="1:14">
      <c r="A34" s="335">
        <v>38396</v>
      </c>
      <c r="C34" s="335" t="s">
        <v>1029</v>
      </c>
      <c r="D34" s="335" t="s">
        <v>667</v>
      </c>
      <c r="G34" s="335" t="s">
        <v>359</v>
      </c>
      <c r="I34" s="335">
        <v>22164</v>
      </c>
      <c r="J34" s="335">
        <v>119</v>
      </c>
      <c r="K34" s="335">
        <v>186.25</v>
      </c>
      <c r="L34" s="250"/>
      <c r="M34" s="335" t="s">
        <v>1704</v>
      </c>
      <c r="N34" s="335" t="s">
        <v>1705</v>
      </c>
    </row>
    <row r="35" spans="1:14">
      <c r="A35" s="335">
        <v>38349</v>
      </c>
      <c r="C35" s="335" t="s">
        <v>1628</v>
      </c>
      <c r="D35" s="335" t="s">
        <v>1629</v>
      </c>
      <c r="G35" s="335" t="s">
        <v>359</v>
      </c>
      <c r="I35" s="335">
        <v>19531</v>
      </c>
      <c r="J35" s="335">
        <v>108</v>
      </c>
      <c r="K35" s="335">
        <v>180.84</v>
      </c>
      <c r="L35" s="250"/>
      <c r="M35" s="335" t="s">
        <v>1206</v>
      </c>
      <c r="N35" s="335" t="s">
        <v>1175</v>
      </c>
    </row>
    <row r="36" spans="1:14">
      <c r="A36" s="335">
        <v>38845</v>
      </c>
      <c r="C36" s="335" t="s">
        <v>2105</v>
      </c>
      <c r="D36" s="335" t="s">
        <v>2106</v>
      </c>
      <c r="G36" s="335" t="s">
        <v>88</v>
      </c>
      <c r="I36" s="335">
        <v>7564</v>
      </c>
      <c r="J36" s="335">
        <v>42</v>
      </c>
      <c r="K36" s="335">
        <v>180.1</v>
      </c>
      <c r="L36" s="250"/>
      <c r="M36" s="336" t="s">
        <v>82</v>
      </c>
      <c r="N36" s="335" t="s">
        <v>83</v>
      </c>
    </row>
    <row r="37" spans="1:14">
      <c r="A37" s="335">
        <v>38846</v>
      </c>
      <c r="C37" s="335" t="s">
        <v>2219</v>
      </c>
      <c r="D37" s="335" t="s">
        <v>1450</v>
      </c>
      <c r="G37" s="335" t="s">
        <v>88</v>
      </c>
      <c r="I37" s="335">
        <v>13523</v>
      </c>
      <c r="J37" s="335">
        <v>76</v>
      </c>
      <c r="K37" s="335">
        <v>177.93</v>
      </c>
      <c r="L37" s="250"/>
      <c r="M37" s="335" t="s">
        <v>1206</v>
      </c>
      <c r="N37" s="335" t="s">
        <v>1175</v>
      </c>
    </row>
    <row r="38" spans="1:14">
      <c r="A38" s="335">
        <v>38844</v>
      </c>
      <c r="C38" s="335" t="s">
        <v>2111</v>
      </c>
      <c r="D38" s="335" t="s">
        <v>667</v>
      </c>
      <c r="G38" s="335" t="s">
        <v>359</v>
      </c>
      <c r="I38" s="335">
        <v>9561</v>
      </c>
      <c r="J38" s="335">
        <v>54</v>
      </c>
      <c r="K38" s="335">
        <v>177.06</v>
      </c>
      <c r="L38" s="250"/>
      <c r="M38" s="336" t="s">
        <v>82</v>
      </c>
      <c r="N38" s="335" t="s">
        <v>83</v>
      </c>
    </row>
    <row r="39" spans="1:14">
      <c r="A39" s="335">
        <v>38950</v>
      </c>
      <c r="C39" s="335" t="s">
        <v>2529</v>
      </c>
      <c r="D39" s="335" t="s">
        <v>1883</v>
      </c>
      <c r="G39" s="335" t="s">
        <v>88</v>
      </c>
      <c r="I39" s="335">
        <v>5794</v>
      </c>
      <c r="J39" s="335">
        <v>33</v>
      </c>
      <c r="K39" s="335">
        <v>175.58</v>
      </c>
      <c r="L39" s="250"/>
      <c r="M39" s="335" t="s">
        <v>1206</v>
      </c>
      <c r="N39" s="335" t="s">
        <v>1175</v>
      </c>
    </row>
    <row r="40" spans="1:14">
      <c r="A40" s="335">
        <v>38734</v>
      </c>
      <c r="C40" s="335" t="s">
        <v>599</v>
      </c>
      <c r="D40" s="335" t="s">
        <v>1376</v>
      </c>
      <c r="G40" s="335" t="s">
        <v>359</v>
      </c>
      <c r="I40" s="335">
        <v>5540</v>
      </c>
      <c r="J40" s="335">
        <v>32</v>
      </c>
      <c r="K40" s="335">
        <v>173.13</v>
      </c>
      <c r="L40" s="250"/>
      <c r="M40" s="335" t="s">
        <v>560</v>
      </c>
      <c r="N40" s="335" t="s">
        <v>561</v>
      </c>
    </row>
    <row r="41" spans="1:14">
      <c r="A41" s="335">
        <v>38544</v>
      </c>
      <c r="C41" s="335" t="s">
        <v>377</v>
      </c>
      <c r="D41" s="335" t="s">
        <v>378</v>
      </c>
      <c r="G41" s="335" t="s">
        <v>88</v>
      </c>
      <c r="I41" s="335">
        <v>14806</v>
      </c>
      <c r="J41" s="335">
        <v>86</v>
      </c>
      <c r="K41" s="335">
        <v>172.16</v>
      </c>
      <c r="L41" s="250"/>
      <c r="M41" s="335" t="s">
        <v>1704</v>
      </c>
      <c r="N41" s="335" t="s">
        <v>1705</v>
      </c>
    </row>
    <row r="42" spans="1:14">
      <c r="A42" s="335">
        <v>38867</v>
      </c>
      <c r="C42" s="335" t="s">
        <v>2332</v>
      </c>
      <c r="D42" s="335" t="s">
        <v>2333</v>
      </c>
      <c r="G42" s="335" t="s">
        <v>88</v>
      </c>
      <c r="I42" s="335">
        <v>2571</v>
      </c>
      <c r="J42" s="335">
        <v>15</v>
      </c>
      <c r="K42" s="335">
        <v>171.4</v>
      </c>
      <c r="L42" s="250"/>
      <c r="M42" s="335" t="s">
        <v>254</v>
      </c>
      <c r="N42" s="335" t="s">
        <v>1359</v>
      </c>
    </row>
    <row r="43" spans="1:14">
      <c r="A43" s="335">
        <v>38719</v>
      </c>
      <c r="C43" s="335" t="s">
        <v>785</v>
      </c>
      <c r="D43" s="335" t="s">
        <v>893</v>
      </c>
      <c r="G43" s="335" t="s">
        <v>359</v>
      </c>
      <c r="I43" s="335">
        <v>7266</v>
      </c>
      <c r="J43" s="335">
        <v>44</v>
      </c>
      <c r="K43" s="335">
        <v>165.14</v>
      </c>
      <c r="L43" s="250"/>
      <c r="M43" s="335" t="s">
        <v>739</v>
      </c>
      <c r="N43" s="335" t="s">
        <v>740</v>
      </c>
    </row>
    <row r="44" spans="1:14">
      <c r="A44" s="335">
        <v>38895</v>
      </c>
      <c r="C44" s="335" t="s">
        <v>2583</v>
      </c>
      <c r="D44" s="335" t="s">
        <v>402</v>
      </c>
      <c r="G44" s="335" t="s">
        <v>359</v>
      </c>
      <c r="I44" s="335">
        <v>8633</v>
      </c>
      <c r="J44" s="335">
        <v>53</v>
      </c>
      <c r="K44" s="335">
        <v>162.88999999999999</v>
      </c>
      <c r="L44" s="250"/>
      <c r="M44" s="335" t="s">
        <v>1704</v>
      </c>
      <c r="N44" s="335" t="s">
        <v>1705</v>
      </c>
    </row>
    <row r="45" spans="1:14">
      <c r="A45" s="335">
        <v>38714</v>
      </c>
      <c r="C45" s="335" t="s">
        <v>1904</v>
      </c>
      <c r="D45" s="335" t="s">
        <v>991</v>
      </c>
      <c r="G45" s="335" t="s">
        <v>359</v>
      </c>
      <c r="I45" s="335">
        <v>7325</v>
      </c>
      <c r="J45" s="335">
        <v>45</v>
      </c>
      <c r="K45" s="335">
        <v>162.78</v>
      </c>
      <c r="L45" s="250"/>
      <c r="M45" s="335" t="s">
        <v>967</v>
      </c>
      <c r="N45" s="335" t="s">
        <v>968</v>
      </c>
    </row>
    <row r="46" spans="1:14">
      <c r="A46" s="335">
        <v>38674</v>
      </c>
      <c r="C46" s="335" t="s">
        <v>1666</v>
      </c>
      <c r="D46" s="335" t="s">
        <v>1667</v>
      </c>
      <c r="G46" s="335" t="s">
        <v>359</v>
      </c>
      <c r="I46" s="335">
        <v>1895</v>
      </c>
      <c r="J46" s="335">
        <v>12</v>
      </c>
      <c r="K46" s="335">
        <v>157.91999999999999</v>
      </c>
      <c r="L46" s="250"/>
      <c r="M46" s="335" t="s">
        <v>672</v>
      </c>
      <c r="N46" s="335" t="s">
        <v>673</v>
      </c>
    </row>
    <row r="47" spans="1:14">
      <c r="A47" s="335">
        <v>38809</v>
      </c>
      <c r="C47" s="335" t="s">
        <v>1907</v>
      </c>
      <c r="D47" s="335" t="s">
        <v>87</v>
      </c>
      <c r="G47" s="335" t="s">
        <v>88</v>
      </c>
      <c r="I47" s="335">
        <v>7205</v>
      </c>
      <c r="J47" s="335">
        <v>46</v>
      </c>
      <c r="K47" s="335">
        <v>156.63</v>
      </c>
      <c r="L47" s="250"/>
      <c r="M47" s="335" t="s">
        <v>739</v>
      </c>
      <c r="N47" s="335" t="s">
        <v>740</v>
      </c>
    </row>
    <row r="48" spans="1:14">
      <c r="A48" s="335">
        <v>38795</v>
      </c>
      <c r="C48" s="335" t="s">
        <v>2137</v>
      </c>
      <c r="D48" s="335" t="s">
        <v>2138</v>
      </c>
      <c r="G48" s="335" t="s">
        <v>88</v>
      </c>
      <c r="I48" s="335">
        <v>778</v>
      </c>
      <c r="J48" s="335">
        <v>5</v>
      </c>
      <c r="K48" s="335">
        <v>155.6</v>
      </c>
      <c r="L48" s="250"/>
      <c r="M48" s="335" t="s">
        <v>672</v>
      </c>
      <c r="N48" s="335" t="s">
        <v>673</v>
      </c>
    </row>
    <row r="49" spans="1:14">
      <c r="A49" s="335">
        <v>38942</v>
      </c>
      <c r="C49" s="335" t="s">
        <v>2617</v>
      </c>
      <c r="D49" s="335" t="s">
        <v>2618</v>
      </c>
      <c r="G49" s="335" t="s">
        <v>359</v>
      </c>
      <c r="I49" s="335">
        <v>1853</v>
      </c>
      <c r="J49" s="335">
        <v>12</v>
      </c>
      <c r="K49" s="335">
        <v>154.41999999999999</v>
      </c>
      <c r="L49" s="250"/>
      <c r="M49" s="335" t="s">
        <v>672</v>
      </c>
      <c r="N49" s="335" t="s">
        <v>673</v>
      </c>
    </row>
    <row r="50" spans="1:14">
      <c r="A50" s="335">
        <v>38706</v>
      </c>
      <c r="C50" s="335" t="s">
        <v>271</v>
      </c>
      <c r="D50" s="335" t="s">
        <v>1880</v>
      </c>
      <c r="G50" s="335" t="s">
        <v>88</v>
      </c>
      <c r="I50" s="335">
        <v>9153</v>
      </c>
      <c r="J50" s="335">
        <v>62</v>
      </c>
      <c r="K50" s="335">
        <v>147.63</v>
      </c>
      <c r="L50" s="250"/>
      <c r="M50" s="335" t="s">
        <v>1206</v>
      </c>
      <c r="N50" s="335" t="s">
        <v>1175</v>
      </c>
    </row>
    <row r="51" spans="1:14">
      <c r="A51" s="335">
        <v>38781</v>
      </c>
      <c r="C51" s="335" t="s">
        <v>2035</v>
      </c>
      <c r="D51" s="335" t="s">
        <v>378</v>
      </c>
      <c r="G51" s="335" t="s">
        <v>359</v>
      </c>
      <c r="I51" s="335">
        <v>3354</v>
      </c>
      <c r="J51" s="335">
        <v>23</v>
      </c>
      <c r="K51" s="335">
        <v>145.83000000000001</v>
      </c>
      <c r="L51" s="250"/>
      <c r="M51" s="335" t="s">
        <v>672</v>
      </c>
      <c r="N51" s="335" t="s">
        <v>673</v>
      </c>
    </row>
    <row r="52" spans="1:14">
      <c r="A52" s="335">
        <v>38772</v>
      </c>
      <c r="C52" s="335" t="s">
        <v>2031</v>
      </c>
      <c r="D52" s="335" t="s">
        <v>81</v>
      </c>
      <c r="G52" s="335" t="s">
        <v>359</v>
      </c>
      <c r="I52" s="335">
        <v>2324</v>
      </c>
      <c r="J52" s="335">
        <v>16</v>
      </c>
      <c r="K52" s="335">
        <v>145.25</v>
      </c>
      <c r="L52" s="250"/>
      <c r="M52" s="336" t="s">
        <v>82</v>
      </c>
      <c r="N52" s="335" t="s">
        <v>83</v>
      </c>
    </row>
    <row r="53" spans="1:14">
      <c r="A53" s="335">
        <v>38949</v>
      </c>
      <c r="C53" s="335" t="s">
        <v>2605</v>
      </c>
      <c r="D53" s="335" t="s">
        <v>667</v>
      </c>
      <c r="G53" s="335" t="s">
        <v>359</v>
      </c>
      <c r="I53" s="335">
        <v>3780</v>
      </c>
      <c r="J53" s="335">
        <v>27</v>
      </c>
      <c r="K53" s="335">
        <v>140</v>
      </c>
      <c r="L53" s="250"/>
      <c r="M53" s="335" t="s">
        <v>1206</v>
      </c>
      <c r="N53" s="335" t="s">
        <v>1175</v>
      </c>
    </row>
    <row r="54" spans="1:14">
      <c r="A54" s="335">
        <v>38894</v>
      </c>
      <c r="C54" s="335" t="s">
        <v>2455</v>
      </c>
      <c r="D54" s="335" t="s">
        <v>1376</v>
      </c>
      <c r="G54" s="335" t="s">
        <v>88</v>
      </c>
      <c r="I54" s="335">
        <v>2314</v>
      </c>
      <c r="J54" s="335">
        <v>17</v>
      </c>
      <c r="K54" s="335">
        <v>136.12</v>
      </c>
      <c r="L54" s="250"/>
      <c r="M54" s="335" t="s">
        <v>672</v>
      </c>
      <c r="N54" s="335" t="s">
        <v>673</v>
      </c>
    </row>
    <row r="55" spans="1:14">
      <c r="A55" s="335">
        <v>38776</v>
      </c>
      <c r="C55" s="335" t="s">
        <v>2051</v>
      </c>
      <c r="D55" s="335" t="s">
        <v>807</v>
      </c>
      <c r="G55" s="335" t="s">
        <v>2052</v>
      </c>
      <c r="I55" s="335">
        <v>1521</v>
      </c>
      <c r="J55" s="335">
        <v>12</v>
      </c>
      <c r="K55" s="335">
        <v>126.75</v>
      </c>
      <c r="L55" s="250"/>
      <c r="M55" s="335" t="s">
        <v>1704</v>
      </c>
      <c r="N55" s="335" t="s">
        <v>1705</v>
      </c>
    </row>
    <row r="56" spans="1:14">
      <c r="A56" s="335">
        <v>38879</v>
      </c>
      <c r="C56" s="335" t="s">
        <v>2115</v>
      </c>
      <c r="D56" s="335" t="s">
        <v>490</v>
      </c>
      <c r="G56" s="335" t="s">
        <v>359</v>
      </c>
      <c r="I56" s="335">
        <v>875</v>
      </c>
      <c r="J56" s="335">
        <v>7</v>
      </c>
      <c r="K56" s="335">
        <v>125</v>
      </c>
      <c r="L56" s="250"/>
      <c r="M56" s="335" t="s">
        <v>318</v>
      </c>
      <c r="N56" s="335" t="s">
        <v>301</v>
      </c>
    </row>
    <row r="57" spans="1:14">
      <c r="A57" s="335">
        <v>38819</v>
      </c>
      <c r="C57" s="335" t="s">
        <v>2187</v>
      </c>
      <c r="D57" s="335" t="s">
        <v>738</v>
      </c>
      <c r="G57" s="335" t="s">
        <v>2052</v>
      </c>
      <c r="I57" s="335">
        <v>4131</v>
      </c>
      <c r="J57" s="335">
        <v>34</v>
      </c>
      <c r="K57" s="335">
        <v>121.5</v>
      </c>
      <c r="L57" s="250"/>
      <c r="M57" s="335" t="s">
        <v>967</v>
      </c>
      <c r="N57" s="335" t="s">
        <v>968</v>
      </c>
    </row>
    <row r="58" spans="1:14">
      <c r="A58" s="335">
        <v>38904</v>
      </c>
      <c r="C58" s="335" t="s">
        <v>500</v>
      </c>
      <c r="D58" s="335" t="s">
        <v>2542</v>
      </c>
      <c r="G58" s="335" t="s">
        <v>2052</v>
      </c>
      <c r="I58" s="335">
        <v>3370</v>
      </c>
      <c r="J58" s="335">
        <v>28</v>
      </c>
      <c r="K58" s="335">
        <v>120.36</v>
      </c>
      <c r="L58" s="250"/>
      <c r="M58" s="335" t="s">
        <v>1206</v>
      </c>
      <c r="N58" s="335" t="s">
        <v>1175</v>
      </c>
    </row>
    <row r="59" spans="1:14">
      <c r="A59" s="335">
        <v>38915</v>
      </c>
      <c r="C59" s="335" t="s">
        <v>2457</v>
      </c>
      <c r="D59" s="335" t="s">
        <v>2458</v>
      </c>
      <c r="G59" s="335" t="s">
        <v>88</v>
      </c>
      <c r="I59" s="335">
        <v>827</v>
      </c>
      <c r="J59" s="335">
        <v>7</v>
      </c>
      <c r="K59" s="335">
        <v>118.14</v>
      </c>
      <c r="L59" s="250"/>
      <c r="M59" s="335" t="s">
        <v>672</v>
      </c>
      <c r="N59" s="335" t="s">
        <v>673</v>
      </c>
    </row>
    <row r="60" spans="1:14">
      <c r="A60" s="335">
        <v>38927</v>
      </c>
      <c r="C60" s="335" t="s">
        <v>2228</v>
      </c>
      <c r="D60" s="335" t="s">
        <v>2241</v>
      </c>
      <c r="G60" s="335" t="s">
        <v>88</v>
      </c>
      <c r="I60" s="335">
        <v>3012</v>
      </c>
      <c r="J60" s="335">
        <v>26</v>
      </c>
      <c r="K60" s="335">
        <v>115.85</v>
      </c>
      <c r="L60" s="250"/>
      <c r="M60" s="335" t="s">
        <v>672</v>
      </c>
      <c r="N60" s="335" t="s">
        <v>673</v>
      </c>
    </row>
    <row r="61" spans="1:14">
      <c r="A61" s="335">
        <v>38808</v>
      </c>
      <c r="C61" s="335" t="s">
        <v>1013</v>
      </c>
      <c r="D61" s="335" t="s">
        <v>996</v>
      </c>
      <c r="G61" s="335" t="s">
        <v>359</v>
      </c>
      <c r="I61" s="335">
        <v>2542</v>
      </c>
      <c r="J61" s="335">
        <v>22</v>
      </c>
      <c r="K61" s="335">
        <v>115.55</v>
      </c>
      <c r="L61" s="250"/>
      <c r="M61" s="335" t="s">
        <v>739</v>
      </c>
      <c r="N61" s="335" t="s">
        <v>740</v>
      </c>
    </row>
    <row r="62" spans="1:14">
      <c r="A62" s="335">
        <v>38810</v>
      </c>
      <c r="C62" s="335" t="s">
        <v>2162</v>
      </c>
      <c r="D62" s="335" t="s">
        <v>284</v>
      </c>
      <c r="G62" s="335" t="s">
        <v>88</v>
      </c>
      <c r="I62" s="335">
        <v>2989</v>
      </c>
      <c r="J62" s="335">
        <v>26</v>
      </c>
      <c r="K62" s="335">
        <v>114.96</v>
      </c>
      <c r="L62" s="250"/>
      <c r="M62" s="335" t="s">
        <v>739</v>
      </c>
      <c r="N62" s="335" t="s">
        <v>740</v>
      </c>
    </row>
    <row r="63" spans="1:14">
      <c r="A63" s="335">
        <v>38784</v>
      </c>
      <c r="C63" s="335" t="s">
        <v>2096</v>
      </c>
      <c r="D63" s="335" t="s">
        <v>632</v>
      </c>
      <c r="G63" s="335" t="s">
        <v>359</v>
      </c>
      <c r="I63" s="335">
        <v>1361</v>
      </c>
      <c r="J63" s="335">
        <v>12</v>
      </c>
      <c r="K63" s="335">
        <v>113.42</v>
      </c>
      <c r="L63" s="250"/>
      <c r="M63" s="335" t="s">
        <v>967</v>
      </c>
      <c r="N63" s="335" t="s">
        <v>968</v>
      </c>
    </row>
    <row r="64" spans="1:14">
      <c r="A64" s="335">
        <v>38865</v>
      </c>
      <c r="C64" s="335" t="s">
        <v>2315</v>
      </c>
      <c r="D64" s="335" t="s">
        <v>378</v>
      </c>
      <c r="G64" s="335" t="s">
        <v>88</v>
      </c>
      <c r="I64" s="335">
        <v>4896</v>
      </c>
      <c r="J64" s="335">
        <v>45</v>
      </c>
      <c r="K64" s="335">
        <v>108.8</v>
      </c>
      <c r="L64" s="250"/>
      <c r="M64" s="335" t="s">
        <v>967</v>
      </c>
      <c r="N64" s="335" t="s">
        <v>968</v>
      </c>
    </row>
    <row r="65" spans="1:14">
      <c r="A65" s="335">
        <v>38920</v>
      </c>
      <c r="C65" s="335" t="s">
        <v>2483</v>
      </c>
      <c r="D65" s="335" t="s">
        <v>378</v>
      </c>
      <c r="G65" s="335" t="s">
        <v>2052</v>
      </c>
      <c r="I65" s="335">
        <v>2914</v>
      </c>
      <c r="J65" s="335">
        <v>28</v>
      </c>
      <c r="K65" s="335">
        <v>104.07</v>
      </c>
      <c r="L65" s="250"/>
      <c r="M65" s="335" t="s">
        <v>739</v>
      </c>
      <c r="N65" s="335" t="s">
        <v>740</v>
      </c>
    </row>
    <row r="66" spans="1:14">
      <c r="A66" s="335">
        <v>38806</v>
      </c>
      <c r="C66" s="335" t="s">
        <v>1623</v>
      </c>
      <c r="D66" s="335" t="s">
        <v>1883</v>
      </c>
      <c r="G66" s="335" t="s">
        <v>88</v>
      </c>
      <c r="I66" s="335">
        <v>3229</v>
      </c>
      <c r="J66" s="335">
        <v>32</v>
      </c>
      <c r="K66" s="335">
        <v>100.91</v>
      </c>
      <c r="L66" s="250"/>
      <c r="M66" s="335" t="s">
        <v>1206</v>
      </c>
      <c r="N66" s="335" t="s">
        <v>1175</v>
      </c>
    </row>
    <row r="67" spans="1:14">
      <c r="A67" s="335">
        <v>38941</v>
      </c>
      <c r="C67" s="335" t="s">
        <v>2623</v>
      </c>
      <c r="D67" s="335" t="s">
        <v>2624</v>
      </c>
      <c r="G67" s="335" t="s">
        <v>88</v>
      </c>
      <c r="I67" s="335">
        <v>580</v>
      </c>
      <c r="J67" s="335">
        <v>6</v>
      </c>
      <c r="K67" s="335">
        <v>96.67</v>
      </c>
      <c r="L67" s="250"/>
      <c r="M67" s="335" t="s">
        <v>672</v>
      </c>
      <c r="N67" s="335" t="s">
        <v>673</v>
      </c>
    </row>
    <row r="68" spans="1:14">
      <c r="A68" s="335">
        <v>38922</v>
      </c>
      <c r="C68" s="335" t="s">
        <v>2477</v>
      </c>
      <c r="D68" s="335" t="s">
        <v>2478</v>
      </c>
      <c r="G68" s="335" t="s">
        <v>88</v>
      </c>
      <c r="I68" s="335">
        <v>2582</v>
      </c>
      <c r="J68" s="335">
        <v>27</v>
      </c>
      <c r="K68" s="335">
        <v>95.63</v>
      </c>
      <c r="L68" s="250"/>
      <c r="M68" s="335" t="s">
        <v>739</v>
      </c>
      <c r="N68" s="335" t="s">
        <v>740</v>
      </c>
    </row>
    <row r="69" spans="1:14">
      <c r="A69" s="335">
        <v>38893</v>
      </c>
      <c r="C69" s="335" t="s">
        <v>2402</v>
      </c>
      <c r="D69" s="335" t="s">
        <v>2403</v>
      </c>
      <c r="G69" s="335" t="s">
        <v>2052</v>
      </c>
      <c r="I69" s="335">
        <v>1739</v>
      </c>
      <c r="J69" s="335">
        <v>20</v>
      </c>
      <c r="K69" s="335">
        <v>86.95</v>
      </c>
      <c r="L69" s="250"/>
      <c r="M69" s="336" t="s">
        <v>82</v>
      </c>
      <c r="N69" s="335" t="s">
        <v>83</v>
      </c>
    </row>
    <row r="70" spans="1:14">
      <c r="A70" s="247"/>
      <c r="K70" s="249"/>
      <c r="L70" s="250"/>
    </row>
    <row r="71" spans="1:14">
      <c r="A71" s="247"/>
      <c r="K71" s="249"/>
      <c r="L71" s="250"/>
    </row>
    <row r="72" spans="1:14">
      <c r="A72" s="247"/>
      <c r="K72" s="249"/>
      <c r="L72" s="250"/>
    </row>
    <row r="73" spans="1:14">
      <c r="A73" s="247"/>
      <c r="K73" s="249"/>
      <c r="L73" s="250"/>
    </row>
    <row r="74" spans="1:14">
      <c r="A74" s="247"/>
      <c r="K74" s="249"/>
      <c r="L74" s="250"/>
    </row>
    <row r="75" spans="1:14">
      <c r="A75" s="247"/>
      <c r="K75" s="249"/>
      <c r="L75" s="250"/>
    </row>
    <row r="76" spans="1:14">
      <c r="A76" s="247"/>
      <c r="K76" s="249"/>
      <c r="L76" s="250"/>
    </row>
    <row r="77" spans="1:14">
      <c r="A77" s="247"/>
      <c r="K77" s="249"/>
      <c r="L77" s="250"/>
    </row>
    <row r="78" spans="1:14">
      <c r="A78" s="247"/>
      <c r="K78" s="249"/>
      <c r="L78" s="250"/>
    </row>
    <row r="79" spans="1:14">
      <c r="A79" s="247"/>
      <c r="K79" s="249"/>
      <c r="L79" s="250"/>
    </row>
    <row r="80" spans="1:14">
      <c r="A80" s="247"/>
      <c r="K80" s="249"/>
      <c r="L80" s="250"/>
    </row>
    <row r="81" spans="1:12">
      <c r="A81" s="247"/>
      <c r="K81" s="249"/>
      <c r="L81" s="250"/>
    </row>
    <row r="82" spans="1:12">
      <c r="A82" s="247"/>
      <c r="K82" s="249"/>
      <c r="L82" s="250"/>
    </row>
    <row r="83" spans="1:12">
      <c r="A83" s="247"/>
      <c r="K83" s="249"/>
      <c r="L83" s="250"/>
    </row>
    <row r="84" spans="1:12">
      <c r="A84" s="247"/>
      <c r="K84" s="249"/>
      <c r="L84" s="250"/>
    </row>
    <row r="85" spans="1:12">
      <c r="A85" s="247"/>
      <c r="K85" s="249"/>
      <c r="L85" s="250"/>
    </row>
    <row r="86" spans="1:12">
      <c r="A86" s="247"/>
      <c r="K86" s="249"/>
      <c r="L86" s="250"/>
    </row>
    <row r="87" spans="1:12">
      <c r="A87" s="247"/>
      <c r="K87" s="249"/>
      <c r="L87" s="250"/>
    </row>
    <row r="88" spans="1:12">
      <c r="A88" s="247"/>
      <c r="K88" s="249"/>
      <c r="L88" s="250"/>
    </row>
    <row r="89" spans="1:12">
      <c r="A89" s="247"/>
      <c r="K89" s="249"/>
      <c r="L89" s="250"/>
    </row>
    <row r="90" spans="1:12">
      <c r="A90" s="247"/>
      <c r="K90" s="249"/>
      <c r="L90" s="250"/>
    </row>
    <row r="91" spans="1:12">
      <c r="A91" s="247"/>
      <c r="K91" s="249"/>
      <c r="L91" s="250"/>
    </row>
    <row r="92" spans="1:12">
      <c r="A92" s="247"/>
      <c r="K92" s="249"/>
      <c r="L92" s="250"/>
    </row>
    <row r="93" spans="1:12">
      <c r="A93" s="247"/>
      <c r="K93" s="249"/>
      <c r="L93" s="250"/>
    </row>
    <row r="94" spans="1:12">
      <c r="A94" s="247"/>
      <c r="K94" s="249"/>
      <c r="L94" s="250"/>
    </row>
    <row r="95" spans="1:12">
      <c r="A95" s="247"/>
      <c r="K95" s="249"/>
      <c r="L95" s="250"/>
    </row>
    <row r="96" spans="1:12">
      <c r="A96" s="247"/>
      <c r="K96" s="249"/>
      <c r="L96" s="250"/>
    </row>
    <row r="97" spans="1:12">
      <c r="A97" s="247"/>
      <c r="K97" s="249"/>
      <c r="L97" s="250"/>
    </row>
    <row r="98" spans="1:12">
      <c r="A98" s="247"/>
      <c r="K98" s="249"/>
      <c r="L98" s="250"/>
    </row>
    <row r="99" spans="1:12">
      <c r="A99" s="247"/>
      <c r="K99" s="249"/>
      <c r="L99" s="250"/>
    </row>
    <row r="100" spans="1:12">
      <c r="A100" s="247"/>
      <c r="K100" s="249"/>
      <c r="L100" s="250"/>
    </row>
    <row r="101" spans="1:12">
      <c r="A101" s="247"/>
      <c r="K101" s="249"/>
      <c r="L101" s="250"/>
    </row>
  </sheetData>
  <hyperlinks>
    <hyperlink ref="M11" r:id="rId1" display="http://absolut-sports.com/" xr:uid="{9E42516B-645A-394F-A068-B5CD53209CFD}"/>
    <hyperlink ref="M12" r:id="rId2" display="http://absolut-sports.com/" xr:uid="{9352106A-8D08-1E45-9FBF-39F96D7EC5E6}"/>
    <hyperlink ref="M36" r:id="rId3" display="http://absolut-sports.com/" xr:uid="{B22557B5-D305-A646-A586-7B92E315294F}"/>
    <hyperlink ref="M38" r:id="rId4" display="http://absolut-sports.com/" xr:uid="{027DCF90-2F2B-E340-A3FE-9010616B02C2}"/>
    <hyperlink ref="M52" r:id="rId5" display="http://absolut-sports.com/" xr:uid="{31DE8860-76F6-2B46-8C75-B2AC47E545C2}"/>
    <hyperlink ref="M69" r:id="rId6" display="http://absolut-sports.com/" xr:uid="{23E1FCC6-5DB3-2B4B-A00D-A871F125E53C}"/>
  </hyperlinks>
  <pageMargins left="0.7" right="0.7" top="0.78740157499999996" bottom="0.78740157499999996" header="0.3" footer="0.3"/>
  <pageSetup paperSize="9" orientation="portrait" r:id="rId7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0000"/>
  </sheetPr>
  <dimension ref="A1:Q101"/>
  <sheetViews>
    <sheetView workbookViewId="0">
      <selection activeCell="O15" sqref="O15"/>
    </sheetView>
  </sheetViews>
  <sheetFormatPr baseColWidth="10" defaultColWidth="5.21875" defaultRowHeight="14.4"/>
  <cols>
    <col min="1" max="1" width="6.21875" style="248" bestFit="1" customWidth="1"/>
    <col min="2" max="2" width="7.44140625" style="248" bestFit="1" customWidth="1"/>
    <col min="3" max="3" width="13.21875" style="248" bestFit="1" customWidth="1"/>
    <col min="4" max="4" width="14.44140625" style="248" bestFit="1" customWidth="1"/>
    <col min="5" max="5" width="3.33203125" style="248" bestFit="1" customWidth="1"/>
    <col min="6" max="6" width="2.33203125" style="248" bestFit="1" customWidth="1"/>
    <col min="7" max="7" width="10.21875" style="248" bestFit="1" customWidth="1"/>
    <col min="8" max="8" width="1.6640625" style="248" bestFit="1" customWidth="1"/>
    <col min="9" max="9" width="5.21875" style="248" bestFit="1" customWidth="1"/>
    <col min="10" max="10" width="3.44140625" style="248" bestFit="1" customWidth="1"/>
    <col min="11" max="11" width="5.6640625" style="248" bestFit="1" customWidth="1"/>
    <col min="12" max="12" width="8.44140625" style="248" bestFit="1" customWidth="1"/>
    <col min="13" max="13" width="21.33203125" style="248" bestFit="1" customWidth="1"/>
    <col min="14" max="14" width="23.44140625" style="248" bestFit="1" customWidth="1"/>
    <col min="15" max="255" width="10.6640625" style="248" customWidth="1"/>
    <col min="256" max="16384" width="5.21875" style="248"/>
  </cols>
  <sheetData>
    <row r="1" spans="1:17">
      <c r="A1" s="247"/>
      <c r="K1" s="249"/>
      <c r="L1" s="250"/>
    </row>
    <row r="2" spans="1:17">
      <c r="A2" s="247"/>
      <c r="K2" s="249"/>
      <c r="L2" s="250"/>
      <c r="Q2" s="251" t="s">
        <v>2341</v>
      </c>
    </row>
    <row r="3" spans="1:17">
      <c r="A3" s="247"/>
      <c r="K3" s="249"/>
      <c r="L3" s="250"/>
    </row>
    <row r="4" spans="1:17">
      <c r="A4" s="247"/>
      <c r="K4" s="249"/>
      <c r="L4" s="250"/>
    </row>
    <row r="5" spans="1:17">
      <c r="A5" s="247"/>
      <c r="K5" s="249"/>
      <c r="L5" s="250"/>
    </row>
    <row r="6" spans="1:17">
      <c r="A6" s="247"/>
      <c r="K6" s="249"/>
      <c r="L6" s="250"/>
    </row>
    <row r="7" spans="1:17">
      <c r="A7" s="247"/>
      <c r="K7" s="249"/>
      <c r="L7" s="250"/>
    </row>
    <row r="8" spans="1:17">
      <c r="A8" s="247"/>
      <c r="K8" s="249"/>
      <c r="L8" s="250"/>
    </row>
    <row r="9" spans="1:17">
      <c r="A9" s="247"/>
      <c r="K9" s="249"/>
      <c r="L9" s="250"/>
    </row>
    <row r="10" spans="1:17">
      <c r="A10" s="247"/>
      <c r="K10" s="249"/>
      <c r="L10" s="250"/>
    </row>
    <row r="11" spans="1:17">
      <c r="A11" s="247"/>
      <c r="K11" s="249"/>
      <c r="L11" s="250"/>
    </row>
    <row r="12" spans="1:17">
      <c r="A12" s="247"/>
      <c r="K12" s="249"/>
      <c r="L12" s="250"/>
    </row>
    <row r="13" spans="1:17">
      <c r="A13" s="247"/>
      <c r="K13" s="249"/>
      <c r="L13" s="250"/>
    </row>
    <row r="14" spans="1:17">
      <c r="A14" s="247"/>
      <c r="K14" s="249"/>
      <c r="L14" s="250"/>
    </row>
    <row r="15" spans="1:17">
      <c r="A15" s="247"/>
      <c r="K15" s="249"/>
      <c r="L15" s="250"/>
    </row>
    <row r="16" spans="1:17">
      <c r="A16" s="247"/>
      <c r="K16" s="249"/>
      <c r="L16" s="250"/>
    </row>
    <row r="17" spans="1:12">
      <c r="A17" s="247"/>
      <c r="K17" s="249"/>
      <c r="L17" s="250"/>
    </row>
    <row r="18" spans="1:12">
      <c r="A18" s="247"/>
      <c r="K18" s="249"/>
      <c r="L18" s="250"/>
    </row>
    <row r="19" spans="1:12">
      <c r="A19" s="247"/>
      <c r="K19" s="249"/>
      <c r="L19" s="250"/>
    </row>
    <row r="20" spans="1:12">
      <c r="A20" s="247"/>
      <c r="K20" s="249"/>
      <c r="L20" s="250"/>
    </row>
    <row r="21" spans="1:12">
      <c r="A21" s="247"/>
      <c r="K21" s="249"/>
      <c r="L21" s="250"/>
    </row>
    <row r="22" spans="1:12">
      <c r="A22" s="247"/>
      <c r="K22" s="249"/>
      <c r="L22" s="250"/>
    </row>
    <row r="23" spans="1:12">
      <c r="A23" s="247"/>
      <c r="K23" s="249"/>
      <c r="L23" s="250"/>
    </row>
    <row r="24" spans="1:12">
      <c r="A24" s="247"/>
      <c r="K24" s="249"/>
      <c r="L24" s="250"/>
    </row>
    <row r="25" spans="1:12">
      <c r="A25" s="247"/>
      <c r="K25" s="249"/>
      <c r="L25" s="250"/>
    </row>
    <row r="26" spans="1:12">
      <c r="A26" s="247"/>
      <c r="K26" s="249"/>
      <c r="L26" s="250"/>
    </row>
    <row r="27" spans="1:12">
      <c r="A27" s="247"/>
      <c r="K27" s="249"/>
      <c r="L27" s="250"/>
    </row>
    <row r="28" spans="1:12">
      <c r="A28" s="247"/>
      <c r="K28" s="249"/>
      <c r="L28" s="250"/>
    </row>
    <row r="29" spans="1:12">
      <c r="A29" s="247"/>
      <c r="K29" s="249"/>
      <c r="L29" s="250"/>
    </row>
    <row r="30" spans="1:12">
      <c r="A30" s="247"/>
      <c r="K30" s="249"/>
      <c r="L30" s="250"/>
    </row>
    <row r="31" spans="1:12">
      <c r="A31" s="247"/>
      <c r="K31" s="249"/>
      <c r="L31" s="250"/>
    </row>
    <row r="32" spans="1:12">
      <c r="A32" s="247"/>
      <c r="K32" s="249"/>
      <c r="L32" s="250"/>
    </row>
    <row r="33" spans="1:12">
      <c r="A33" s="247"/>
      <c r="K33" s="249"/>
      <c r="L33" s="250"/>
    </row>
    <row r="34" spans="1:12">
      <c r="A34" s="247"/>
      <c r="K34" s="249"/>
      <c r="L34" s="250"/>
    </row>
    <row r="35" spans="1:12">
      <c r="A35" s="247"/>
      <c r="K35" s="249"/>
      <c r="L35" s="250"/>
    </row>
    <row r="36" spans="1:12">
      <c r="A36" s="247"/>
      <c r="K36" s="249"/>
      <c r="L36" s="250"/>
    </row>
    <row r="37" spans="1:12">
      <c r="A37" s="247"/>
      <c r="K37" s="249"/>
      <c r="L37" s="250"/>
    </row>
    <row r="38" spans="1:12">
      <c r="A38" s="247"/>
      <c r="K38" s="249"/>
      <c r="L38" s="250"/>
    </row>
    <row r="39" spans="1:12">
      <c r="A39" s="247"/>
      <c r="K39" s="249"/>
      <c r="L39" s="250"/>
    </row>
    <row r="40" spans="1:12">
      <c r="A40" s="247"/>
      <c r="K40" s="249"/>
      <c r="L40" s="250"/>
    </row>
    <row r="41" spans="1:12">
      <c r="A41" s="247"/>
      <c r="K41" s="249"/>
      <c r="L41" s="250"/>
    </row>
    <row r="42" spans="1:12">
      <c r="A42" s="247"/>
      <c r="K42" s="249"/>
      <c r="L42" s="250"/>
    </row>
    <row r="43" spans="1:12">
      <c r="A43" s="247"/>
      <c r="K43" s="249"/>
      <c r="L43" s="250"/>
    </row>
    <row r="44" spans="1:12">
      <c r="A44" s="247"/>
      <c r="K44" s="249"/>
      <c r="L44" s="250"/>
    </row>
    <row r="45" spans="1:12">
      <c r="A45" s="247"/>
      <c r="K45" s="249"/>
      <c r="L45" s="250"/>
    </row>
    <row r="46" spans="1:12">
      <c r="A46" s="247"/>
      <c r="K46" s="249"/>
      <c r="L46" s="250"/>
    </row>
    <row r="47" spans="1:12">
      <c r="A47" s="247"/>
      <c r="K47" s="249"/>
      <c r="L47" s="250"/>
    </row>
    <row r="48" spans="1:12">
      <c r="A48" s="247"/>
      <c r="K48" s="249"/>
      <c r="L48" s="250"/>
    </row>
    <row r="49" spans="1:12">
      <c r="A49" s="247"/>
      <c r="K49" s="249"/>
      <c r="L49" s="250"/>
    </row>
    <row r="50" spans="1:12">
      <c r="A50" s="247"/>
      <c r="K50" s="249"/>
      <c r="L50" s="250"/>
    </row>
    <row r="51" spans="1:12">
      <c r="A51" s="247"/>
      <c r="K51" s="249"/>
      <c r="L51" s="250"/>
    </row>
    <row r="52" spans="1:12">
      <c r="A52" s="247"/>
      <c r="K52" s="249"/>
      <c r="L52" s="250"/>
    </row>
    <row r="53" spans="1:12">
      <c r="A53" s="247"/>
      <c r="K53" s="249"/>
      <c r="L53" s="250"/>
    </row>
    <row r="54" spans="1:12">
      <c r="A54" s="247"/>
      <c r="K54" s="249"/>
      <c r="L54" s="250"/>
    </row>
    <row r="55" spans="1:12">
      <c r="A55" s="247"/>
      <c r="K55" s="249"/>
      <c r="L55" s="250"/>
    </row>
    <row r="56" spans="1:12">
      <c r="A56" s="247"/>
      <c r="K56" s="249"/>
      <c r="L56" s="250"/>
    </row>
    <row r="57" spans="1:12">
      <c r="A57" s="247"/>
      <c r="K57" s="249"/>
      <c r="L57" s="250"/>
    </row>
    <row r="58" spans="1:12">
      <c r="A58" s="247"/>
      <c r="K58" s="249"/>
      <c r="L58" s="250"/>
    </row>
    <row r="59" spans="1:12">
      <c r="A59" s="247"/>
      <c r="K59" s="249"/>
      <c r="L59" s="250"/>
    </row>
    <row r="60" spans="1:12">
      <c r="A60" s="247"/>
      <c r="K60" s="249"/>
      <c r="L60" s="250"/>
    </row>
    <row r="61" spans="1:12">
      <c r="A61" s="247"/>
      <c r="K61" s="249"/>
      <c r="L61" s="250"/>
    </row>
    <row r="62" spans="1:12">
      <c r="A62" s="247"/>
      <c r="K62" s="249"/>
      <c r="L62" s="250"/>
    </row>
    <row r="63" spans="1:12">
      <c r="A63" s="247"/>
      <c r="K63" s="249"/>
      <c r="L63" s="250"/>
    </row>
    <row r="64" spans="1:12">
      <c r="A64" s="247"/>
      <c r="K64" s="249"/>
      <c r="L64" s="250"/>
    </row>
    <row r="65" spans="1:12">
      <c r="A65" s="247"/>
      <c r="K65" s="249"/>
      <c r="L65" s="250"/>
    </row>
    <row r="66" spans="1:12">
      <c r="A66" s="247"/>
      <c r="K66" s="249"/>
      <c r="L66" s="250"/>
    </row>
    <row r="67" spans="1:12">
      <c r="A67" s="247"/>
      <c r="K67" s="249"/>
      <c r="L67" s="250"/>
    </row>
    <row r="68" spans="1:12">
      <c r="A68" s="247"/>
      <c r="K68" s="249"/>
      <c r="L68" s="250"/>
    </row>
    <row r="69" spans="1:12">
      <c r="A69" s="247"/>
      <c r="K69" s="249"/>
      <c r="L69" s="250"/>
    </row>
    <row r="70" spans="1:12">
      <c r="A70" s="247"/>
      <c r="K70" s="249"/>
      <c r="L70" s="250"/>
    </row>
    <row r="71" spans="1:12">
      <c r="A71" s="247"/>
      <c r="K71" s="249"/>
      <c r="L71" s="250"/>
    </row>
    <row r="72" spans="1:12">
      <c r="A72" s="247"/>
      <c r="K72" s="249"/>
      <c r="L72" s="250"/>
    </row>
    <row r="73" spans="1:12">
      <c r="A73" s="247"/>
      <c r="K73" s="249"/>
      <c r="L73" s="250"/>
    </row>
    <row r="74" spans="1:12">
      <c r="A74" s="247"/>
      <c r="K74" s="249"/>
      <c r="L74" s="250"/>
    </row>
    <row r="75" spans="1:12">
      <c r="A75" s="247"/>
      <c r="K75" s="249"/>
      <c r="L75" s="250"/>
    </row>
    <row r="76" spans="1:12">
      <c r="A76" s="247"/>
      <c r="K76" s="249"/>
      <c r="L76" s="250"/>
    </row>
    <row r="77" spans="1:12">
      <c r="A77" s="247"/>
      <c r="K77" s="249"/>
      <c r="L77" s="250"/>
    </row>
    <row r="78" spans="1:12">
      <c r="A78" s="247"/>
      <c r="K78" s="249"/>
      <c r="L78" s="250"/>
    </row>
    <row r="79" spans="1:12">
      <c r="A79" s="247"/>
      <c r="K79" s="249"/>
      <c r="L79" s="250"/>
    </row>
    <row r="80" spans="1:12">
      <c r="A80" s="247"/>
      <c r="K80" s="249"/>
      <c r="L80" s="250"/>
    </row>
    <row r="81" spans="1:12">
      <c r="A81" s="247"/>
      <c r="K81" s="249"/>
      <c r="L81" s="250"/>
    </row>
    <row r="82" spans="1:12">
      <c r="A82" s="247"/>
      <c r="K82" s="249"/>
      <c r="L82" s="250"/>
    </row>
    <row r="83" spans="1:12">
      <c r="A83" s="247"/>
      <c r="K83" s="249"/>
      <c r="L83" s="250"/>
    </row>
    <row r="84" spans="1:12">
      <c r="A84" s="247"/>
      <c r="K84" s="249"/>
      <c r="L84" s="250"/>
    </row>
    <row r="85" spans="1:12">
      <c r="A85" s="247"/>
      <c r="K85" s="249"/>
      <c r="L85" s="250"/>
    </row>
    <row r="86" spans="1:12">
      <c r="A86" s="247"/>
      <c r="K86" s="249"/>
      <c r="L86" s="250"/>
    </row>
    <row r="87" spans="1:12">
      <c r="A87" s="247"/>
      <c r="K87" s="249"/>
      <c r="L87" s="250"/>
    </row>
    <row r="88" spans="1:12">
      <c r="A88" s="247"/>
      <c r="K88" s="249"/>
      <c r="L88" s="250"/>
    </row>
    <row r="89" spans="1:12">
      <c r="A89" s="247"/>
      <c r="K89" s="249"/>
      <c r="L89" s="250"/>
    </row>
    <row r="90" spans="1:12">
      <c r="A90" s="247"/>
      <c r="K90" s="249"/>
      <c r="L90" s="250"/>
    </row>
    <row r="91" spans="1:12">
      <c r="A91" s="247"/>
      <c r="K91" s="249"/>
      <c r="L91" s="250"/>
    </row>
    <row r="92" spans="1:12">
      <c r="A92" s="247"/>
      <c r="K92" s="249"/>
      <c r="L92" s="250"/>
    </row>
    <row r="93" spans="1:12">
      <c r="A93" s="247"/>
      <c r="K93" s="249"/>
      <c r="L93" s="250"/>
    </row>
    <row r="94" spans="1:12">
      <c r="A94" s="247"/>
      <c r="K94" s="249"/>
      <c r="L94" s="250"/>
    </row>
    <row r="95" spans="1:12">
      <c r="A95" s="247"/>
      <c r="K95" s="249"/>
      <c r="L95" s="250"/>
    </row>
    <row r="96" spans="1:12">
      <c r="A96" s="247"/>
      <c r="K96" s="249"/>
      <c r="L96" s="250"/>
    </row>
    <row r="97" spans="1:12">
      <c r="A97" s="247"/>
      <c r="K97" s="249"/>
      <c r="L97" s="250"/>
    </row>
    <row r="98" spans="1:12">
      <c r="A98" s="247"/>
      <c r="K98" s="249"/>
      <c r="L98" s="250"/>
    </row>
    <row r="99" spans="1:12">
      <c r="A99" s="247"/>
      <c r="K99" s="249"/>
      <c r="L99" s="250"/>
    </row>
    <row r="100" spans="1:12">
      <c r="A100" s="247"/>
      <c r="K100" s="249"/>
      <c r="L100" s="250"/>
    </row>
    <row r="101" spans="1:12">
      <c r="A101" s="247"/>
      <c r="K101" s="249"/>
      <c r="L101" s="250"/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AD200"/>
  <sheetViews>
    <sheetView showGridLines="0" view="pageBreakPreview" zoomScaleNormal="100" zoomScaleSheetLayoutView="100" workbookViewId="0">
      <selection activeCell="D34" sqref="D34"/>
    </sheetView>
  </sheetViews>
  <sheetFormatPr baseColWidth="10" defaultRowHeight="13.2"/>
  <cols>
    <col min="1" max="1" width="4.44140625" customWidth="1"/>
    <col min="2" max="2" width="20.6640625" customWidth="1"/>
    <col min="3" max="3" width="8.6640625" customWidth="1"/>
    <col min="4" max="4" width="7.4414062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4414062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6">
        <f>Schlüssel!$M$1</f>
        <v>45211</v>
      </c>
      <c r="N1" s="406"/>
      <c r="O1" s="406"/>
      <c r="AD1" s="76" t="s">
        <v>1814</v>
      </c>
    </row>
    <row r="2" spans="1:30" ht="17.25" customHeight="1" thickBot="1">
      <c r="A2" s="53"/>
      <c r="B2" s="54">
        <v>1</v>
      </c>
      <c r="C2" s="35" t="s">
        <v>1787</v>
      </c>
      <c r="D2" s="35"/>
      <c r="E2" s="72" t="str">
        <f>Schlüssel!$C$2</f>
        <v>Brunnthal Max Munich</v>
      </c>
      <c r="G2" s="66"/>
      <c r="H2" s="66"/>
      <c r="I2" s="66"/>
      <c r="J2" s="66"/>
      <c r="L2" s="66"/>
      <c r="M2" s="34" t="s">
        <v>1785</v>
      </c>
      <c r="N2" s="38">
        <v>1</v>
      </c>
      <c r="O2" s="33"/>
      <c r="AD2" s="77">
        <v>9</v>
      </c>
    </row>
    <row r="3" spans="1:30" ht="15.75" customHeight="1" thickBot="1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3.8" thickBot="1">
      <c r="A4" s="6"/>
      <c r="B4" s="7"/>
      <c r="C4" s="43"/>
      <c r="D4" s="43"/>
      <c r="E4" s="47" t="s">
        <v>10</v>
      </c>
      <c r="F4" s="7">
        <f>VLOOKUP(B2,Schlüssel!$A$5:$DZ$12,13)</f>
        <v>9</v>
      </c>
      <c r="G4" s="51" t="s">
        <v>10</v>
      </c>
      <c r="H4" s="7">
        <f>VLOOKUP(B2,Schlüssel!$A$5:$DZ$12,14)</f>
        <v>15</v>
      </c>
      <c r="I4" s="51" t="s">
        <v>10</v>
      </c>
      <c r="J4" s="7">
        <f>VLOOKUP(B2,Schlüssel!$A$5:$DZ$12,15)</f>
        <v>11</v>
      </c>
      <c r="K4" s="51" t="s">
        <v>10</v>
      </c>
      <c r="L4" s="7">
        <f>VLOOKUP(B2,Schlüssel!$A$5:$DZ$12,16)</f>
        <v>13</v>
      </c>
      <c r="M4" s="51" t="s">
        <v>10</v>
      </c>
      <c r="N4" s="57">
        <f>VLOOKUP(B2,Schlüssel!$A$5:$DZ$12,17)</f>
        <v>10</v>
      </c>
    </row>
    <row r="5" spans="1:30" ht="20.25" customHeight="1">
      <c r="B5" s="44" t="s">
        <v>1</v>
      </c>
      <c r="C5" s="208"/>
      <c r="D5" s="45"/>
      <c r="E5" s="407" t="s">
        <v>1793</v>
      </c>
      <c r="F5" s="408"/>
      <c r="G5" s="407" t="s">
        <v>1794</v>
      </c>
      <c r="H5" s="408"/>
      <c r="I5" s="407" t="s">
        <v>1795</v>
      </c>
      <c r="J5" s="408"/>
      <c r="K5" s="407" t="s">
        <v>1796</v>
      </c>
      <c r="L5" s="408"/>
      <c r="M5" s="407" t="s">
        <v>1797</v>
      </c>
      <c r="N5" s="408"/>
      <c r="O5" s="409" t="s">
        <v>1792</v>
      </c>
      <c r="P5" s="410"/>
    </row>
    <row r="6" spans="1:30" ht="15" customHeight="1" thickBot="1">
      <c r="B6" s="9" t="s">
        <v>1798</v>
      </c>
      <c r="C6" s="48" t="s">
        <v>1799</v>
      </c>
      <c r="D6" s="48" t="s">
        <v>2264</v>
      </c>
      <c r="E6" s="49" t="s">
        <v>1800</v>
      </c>
      <c r="F6" s="49" t="s">
        <v>1801</v>
      </c>
      <c r="G6" s="49" t="s">
        <v>1800</v>
      </c>
      <c r="H6" s="49" t="s">
        <v>1801</v>
      </c>
      <c r="I6" s="49" t="s">
        <v>1800</v>
      </c>
      <c r="J6" s="49" t="s">
        <v>1801</v>
      </c>
      <c r="K6" s="49" t="s">
        <v>1800</v>
      </c>
      <c r="L6" s="49" t="s">
        <v>1801</v>
      </c>
      <c r="M6" s="49" t="s">
        <v>1800</v>
      </c>
      <c r="N6" s="49" t="s">
        <v>1801</v>
      </c>
      <c r="O6" s="49" t="s">
        <v>1800</v>
      </c>
      <c r="P6" s="10" t="s">
        <v>1801</v>
      </c>
    </row>
    <row r="7" spans="1:30" ht="16.95" customHeight="1">
      <c r="A7" s="403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14"/>
      <c r="F7" s="212"/>
      <c r="G7" s="14"/>
      <c r="H7" s="400"/>
      <c r="I7" s="14"/>
      <c r="J7" s="400"/>
      <c r="K7" s="14"/>
      <c r="L7" s="400"/>
      <c r="M7" s="14"/>
      <c r="N7" s="400"/>
      <c r="O7" s="14"/>
      <c r="P7" s="400"/>
    </row>
    <row r="8" spans="1:30" ht="16.95" customHeight="1">
      <c r="A8" s="404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15"/>
      <c r="F8" s="213"/>
      <c r="G8" s="15"/>
      <c r="H8" s="401"/>
      <c r="I8" s="15"/>
      <c r="J8" s="401"/>
      <c r="K8" s="15"/>
      <c r="L8" s="401"/>
      <c r="M8" s="15"/>
      <c r="N8" s="401"/>
      <c r="O8" s="15"/>
      <c r="P8" s="401"/>
    </row>
    <row r="9" spans="1:30" ht="16.95" customHeight="1" thickBot="1">
      <c r="A9" s="405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9"/>
      <c r="F9" s="214"/>
      <c r="G9" s="9"/>
      <c r="H9" s="402"/>
      <c r="I9" s="9"/>
      <c r="J9" s="402"/>
      <c r="K9" s="9"/>
      <c r="L9" s="402"/>
      <c r="M9" s="9"/>
      <c r="N9" s="402"/>
      <c r="O9" s="9"/>
      <c r="P9" s="402"/>
    </row>
    <row r="10" spans="1:30" ht="16.95" customHeight="1">
      <c r="A10" s="403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14"/>
      <c r="F10" s="400"/>
      <c r="G10" s="14"/>
      <c r="H10" s="400"/>
      <c r="I10" s="14"/>
      <c r="J10" s="400"/>
      <c r="K10" s="14"/>
      <c r="L10" s="400"/>
      <c r="M10" s="14"/>
      <c r="N10" s="400"/>
      <c r="O10" s="14"/>
      <c r="P10" s="400"/>
    </row>
    <row r="11" spans="1:30" ht="16.95" customHeight="1">
      <c r="A11" s="404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15"/>
      <c r="F11" s="401"/>
      <c r="G11" s="15"/>
      <c r="H11" s="401"/>
      <c r="I11" s="15"/>
      <c r="J11" s="401"/>
      <c r="K11" s="15"/>
      <c r="L11" s="401"/>
      <c r="M11" s="15"/>
      <c r="N11" s="401"/>
      <c r="O11" s="15"/>
      <c r="P11" s="401"/>
    </row>
    <row r="12" spans="1:30" ht="16.95" customHeight="1" thickBot="1">
      <c r="A12" s="405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9"/>
      <c r="F12" s="402"/>
      <c r="G12" s="9"/>
      <c r="H12" s="402"/>
      <c r="I12" s="9"/>
      <c r="J12" s="402"/>
      <c r="K12" s="9"/>
      <c r="L12" s="402"/>
      <c r="M12" s="9"/>
      <c r="N12" s="402"/>
      <c r="O12" s="9"/>
      <c r="P12" s="402"/>
    </row>
    <row r="13" spans="1:30" ht="16.95" customHeight="1">
      <c r="A13" s="403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14"/>
      <c r="F13" s="400"/>
      <c r="G13" s="14"/>
      <c r="H13" s="400"/>
      <c r="I13" s="14"/>
      <c r="J13" s="400"/>
      <c r="K13" s="14"/>
      <c r="L13" s="400"/>
      <c r="M13" s="14"/>
      <c r="N13" s="400"/>
      <c r="O13" s="14"/>
      <c r="P13" s="400"/>
    </row>
    <row r="14" spans="1:30" ht="16.95" customHeight="1">
      <c r="A14" s="404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15"/>
      <c r="F14" s="401"/>
      <c r="G14" s="15"/>
      <c r="H14" s="401"/>
      <c r="I14" s="15"/>
      <c r="J14" s="401"/>
      <c r="K14" s="15"/>
      <c r="L14" s="401"/>
      <c r="M14" s="15"/>
      <c r="N14" s="401"/>
      <c r="O14" s="15"/>
      <c r="P14" s="401"/>
    </row>
    <row r="15" spans="1:30" ht="16.95" customHeight="1" thickBot="1">
      <c r="A15" s="405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9"/>
      <c r="F15" s="402"/>
      <c r="G15" s="9"/>
      <c r="H15" s="402"/>
      <c r="I15" s="9"/>
      <c r="J15" s="402"/>
      <c r="K15" s="9"/>
      <c r="L15" s="402"/>
      <c r="M15" s="9"/>
      <c r="N15" s="402"/>
      <c r="O15" s="9"/>
      <c r="P15" s="402"/>
    </row>
    <row r="16" spans="1:30" ht="27.75" customHeight="1" thickBot="1">
      <c r="B16" s="11"/>
      <c r="C16" s="25"/>
      <c r="D16" s="204"/>
      <c r="E16" s="16"/>
      <c r="F16" s="12"/>
      <c r="G16" s="16"/>
      <c r="H16" s="12"/>
      <c r="I16" s="16"/>
      <c r="J16" s="12"/>
      <c r="K16" s="16"/>
      <c r="L16" s="12"/>
      <c r="M16" s="16"/>
      <c r="N16" s="12"/>
      <c r="O16" s="16"/>
      <c r="P16" s="12"/>
    </row>
    <row r="17" spans="1:30" ht="24" customHeight="1" thickBot="1">
      <c r="B17" s="8"/>
      <c r="C17" s="1"/>
      <c r="D17" s="1"/>
      <c r="E17" s="1"/>
      <c r="F17" s="23"/>
      <c r="G17" s="1"/>
      <c r="H17" s="23"/>
      <c r="I17" s="1"/>
      <c r="J17" s="23"/>
      <c r="K17" s="1"/>
      <c r="L17" s="23"/>
      <c r="M17" s="1"/>
      <c r="N17" s="23"/>
      <c r="O17" s="1"/>
      <c r="P17" s="23"/>
    </row>
    <row r="18" spans="1:30" ht="11.25" customHeight="1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>
      <c r="B19" s="211" t="s">
        <v>1790</v>
      </c>
      <c r="C19" s="210"/>
      <c r="D19" s="42"/>
      <c r="E19" s="398">
        <f>VLOOKUP(B2,Schlüssel!$A$5:$K$12,3)</f>
        <v>2</v>
      </c>
      <c r="F19" s="398"/>
      <c r="G19" s="398">
        <f>VLOOKUP(B2,Schlüssel!$A$5:$K$12,4)</f>
        <v>3</v>
      </c>
      <c r="H19" s="398"/>
      <c r="I19" s="398">
        <f>VLOOKUP(B2,Schlüssel!$A$5:$K$12,5)</f>
        <v>8</v>
      </c>
      <c r="J19" s="398"/>
      <c r="K19" s="398">
        <f>VLOOKUP(B2,Schlüssel!$A$5:$K$12,6)</f>
        <v>5</v>
      </c>
      <c r="L19" s="398"/>
      <c r="M19" s="398">
        <f>VLOOKUP(B2,Schlüssel!$A$5:$K$12,7)</f>
        <v>7</v>
      </c>
      <c r="N19" s="398"/>
      <c r="O19" s="399"/>
      <c r="P19" s="399"/>
    </row>
    <row r="20" spans="1:30" ht="28.5" customHeight="1">
      <c r="B20" s="4"/>
      <c r="C20" s="1"/>
      <c r="D20" s="1"/>
      <c r="E20" s="395" t="str">
        <f>VLOOKUP(E19,Schlüssel!$A$5:$K$12,2)</f>
        <v>Highroller Rosenheim 1</v>
      </c>
      <c r="F20" s="396"/>
      <c r="G20" s="395" t="str">
        <f>VLOOKUP(G19,Schlüssel!$A$5:$K$12,2)</f>
        <v>Highroller Rosenheim 2</v>
      </c>
      <c r="H20" s="396"/>
      <c r="I20" s="395" t="str">
        <f>VLOOKUP(I19,Schlüssel!$A$5:$K$12,2)</f>
        <v>EMAX 1</v>
      </c>
      <c r="J20" s="396"/>
      <c r="K20" s="395" t="str">
        <f>VLOOKUP(K19,Schlüssel!$A$5:$K$12,2)</f>
        <v>Berchtesgaden 1</v>
      </c>
      <c r="L20" s="396"/>
      <c r="M20" s="395" t="str">
        <f>VLOOKUP(M19,Schlüssel!$A$5:$K$12,2)</f>
        <v>BK München 1</v>
      </c>
      <c r="N20" s="396"/>
      <c r="O20" s="397"/>
      <c r="P20" s="397"/>
    </row>
    <row r="21" spans="1:30" ht="12" customHeight="1">
      <c r="B21" s="4"/>
      <c r="C21" s="1"/>
      <c r="D21" s="1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53"/>
      <c r="P21" s="353"/>
    </row>
    <row r="22" spans="1:30" ht="16.2" customHeight="1">
      <c r="B22" s="39" t="s">
        <v>2266</v>
      </c>
      <c r="C22" s="209"/>
      <c r="D22" s="40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3"/>
      <c r="P22" s="393"/>
    </row>
    <row r="23" spans="1:30" ht="16.2" customHeight="1">
      <c r="B23" s="39" t="s">
        <v>2267</v>
      </c>
      <c r="C23" s="209"/>
      <c r="D23" s="40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3"/>
      <c r="P23" s="393"/>
    </row>
    <row r="24" spans="1:30" ht="16.2" customHeight="1">
      <c r="B24" s="39" t="s">
        <v>2268</v>
      </c>
      <c r="C24" s="209"/>
      <c r="D24" s="40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3"/>
      <c r="P24" s="393"/>
    </row>
    <row r="25" spans="1:30" ht="16.2" customHeight="1">
      <c r="B25" s="41" t="s">
        <v>1792</v>
      </c>
      <c r="C25" s="210"/>
      <c r="D25" s="42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41"/>
      <c r="P25" s="341"/>
    </row>
    <row r="26" spans="1:30" ht="21" customHeight="1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6">
        <f>Schlüssel!$M$1</f>
        <v>45211</v>
      </c>
      <c r="N26" s="406"/>
      <c r="O26" s="406"/>
      <c r="AD26" s="76"/>
    </row>
    <row r="27" spans="1:30" ht="17.25" customHeight="1" thickBot="1">
      <c r="A27" s="53"/>
      <c r="B27" s="54">
        <f>+B2+1</f>
        <v>2</v>
      </c>
      <c r="C27" s="35" t="s">
        <v>1787</v>
      </c>
      <c r="D27" s="35"/>
      <c r="E27" s="72" t="str">
        <f>Schlüssel!$C$2</f>
        <v>Brunnthal Max Munich</v>
      </c>
      <c r="G27" s="66"/>
      <c r="H27" s="66"/>
      <c r="I27" s="66"/>
      <c r="J27" s="66"/>
      <c r="L27" s="66"/>
      <c r="M27" s="34" t="s">
        <v>1785</v>
      </c>
      <c r="N27" s="38">
        <v>1</v>
      </c>
      <c r="O27" s="33"/>
      <c r="AD27" s="77"/>
    </row>
    <row r="28" spans="1:30" ht="15.75" customHeight="1" thickBot="1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3.8" thickBot="1">
      <c r="A29" s="6"/>
      <c r="B29" s="7"/>
      <c r="C29" s="43"/>
      <c r="D29" s="43"/>
      <c r="E29" s="47" t="s">
        <v>10</v>
      </c>
      <c r="F29" s="7">
        <f>VLOOKUP(B27,Schlüssel!$A$5:$DZ$12,13)</f>
        <v>10</v>
      </c>
      <c r="G29" s="51" t="s">
        <v>10</v>
      </c>
      <c r="H29" s="7">
        <f>VLOOKUP(B27,Schlüssel!$A$5:$DZ$12,14)</f>
        <v>13</v>
      </c>
      <c r="I29" s="51" t="s">
        <v>10</v>
      </c>
      <c r="J29" s="7">
        <f>VLOOKUP(B27,Schlüssel!$A$5:$DZ$12,15)</f>
        <v>15</v>
      </c>
      <c r="K29" s="51" t="s">
        <v>10</v>
      </c>
      <c r="L29" s="7">
        <f>VLOOKUP(B27,Schlüssel!$A$5:$DZ$12,16)</f>
        <v>12</v>
      </c>
      <c r="M29" s="51" t="s">
        <v>10</v>
      </c>
      <c r="N29" s="57">
        <f>VLOOKUP(B27,Schlüssel!$A$5:$DZ$12,17)</f>
        <v>16</v>
      </c>
    </row>
    <row r="30" spans="1:30" ht="20.25" customHeight="1">
      <c r="B30" s="44" t="s">
        <v>1</v>
      </c>
      <c r="C30" s="45"/>
      <c r="D30" s="45"/>
      <c r="E30" s="407" t="s">
        <v>1793</v>
      </c>
      <c r="F30" s="408"/>
      <c r="G30" s="407" t="s">
        <v>1794</v>
      </c>
      <c r="H30" s="408"/>
      <c r="I30" s="407" t="s">
        <v>1795</v>
      </c>
      <c r="J30" s="408"/>
      <c r="K30" s="407" t="s">
        <v>1796</v>
      </c>
      <c r="L30" s="408"/>
      <c r="M30" s="407" t="s">
        <v>1797</v>
      </c>
      <c r="N30" s="408"/>
      <c r="O30" s="409" t="s">
        <v>1792</v>
      </c>
      <c r="P30" s="410"/>
    </row>
    <row r="31" spans="1:30" ht="15" customHeight="1" thickBot="1">
      <c r="B31" s="9" t="s">
        <v>1798</v>
      </c>
      <c r="C31" s="48" t="s">
        <v>1799</v>
      </c>
      <c r="D31" s="48" t="s">
        <v>2264</v>
      </c>
      <c r="E31" s="49" t="s">
        <v>1800</v>
      </c>
      <c r="F31" s="49" t="s">
        <v>1801</v>
      </c>
      <c r="G31" s="49" t="s">
        <v>1800</v>
      </c>
      <c r="H31" s="49" t="s">
        <v>1801</v>
      </c>
      <c r="I31" s="49" t="s">
        <v>1800</v>
      </c>
      <c r="J31" s="49" t="s">
        <v>1801</v>
      </c>
      <c r="K31" s="49" t="s">
        <v>1800</v>
      </c>
      <c r="L31" s="49" t="s">
        <v>1801</v>
      </c>
      <c r="M31" s="49" t="s">
        <v>1800</v>
      </c>
      <c r="N31" s="49" t="s">
        <v>1801</v>
      </c>
      <c r="O31" s="49" t="s">
        <v>1800</v>
      </c>
      <c r="P31" s="10" t="s">
        <v>1801</v>
      </c>
    </row>
    <row r="32" spans="1:30" ht="16.95" customHeight="1">
      <c r="A32" s="403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14"/>
      <c r="F32" s="400"/>
      <c r="G32" s="14"/>
      <c r="H32" s="400"/>
      <c r="I32" s="14"/>
      <c r="J32" s="400"/>
      <c r="K32" s="14"/>
      <c r="L32" s="400"/>
      <c r="M32" s="14"/>
      <c r="N32" s="400"/>
      <c r="O32" s="14"/>
      <c r="P32" s="400"/>
    </row>
    <row r="33" spans="1:16" ht="16.95" customHeight="1">
      <c r="A33" s="404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15"/>
      <c r="F33" s="401"/>
      <c r="G33" s="15"/>
      <c r="H33" s="401"/>
      <c r="I33" s="15"/>
      <c r="J33" s="401"/>
      <c r="K33" s="15"/>
      <c r="L33" s="401"/>
      <c r="M33" s="15"/>
      <c r="N33" s="401"/>
      <c r="O33" s="15"/>
      <c r="P33" s="401"/>
    </row>
    <row r="34" spans="1:16" ht="16.95" customHeight="1" thickBot="1">
      <c r="A34" s="405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9"/>
      <c r="F34" s="402"/>
      <c r="G34" s="9"/>
      <c r="H34" s="402"/>
      <c r="I34" s="9"/>
      <c r="J34" s="402"/>
      <c r="K34" s="9"/>
      <c r="L34" s="402"/>
      <c r="M34" s="9"/>
      <c r="N34" s="402"/>
      <c r="O34" s="9"/>
      <c r="P34" s="402"/>
    </row>
    <row r="35" spans="1:16" ht="16.95" customHeight="1">
      <c r="A35" s="403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14"/>
      <c r="F35" s="400"/>
      <c r="G35" s="14"/>
      <c r="H35" s="400"/>
      <c r="I35" s="14"/>
      <c r="J35" s="400"/>
      <c r="K35" s="14"/>
      <c r="L35" s="400"/>
      <c r="M35" s="14"/>
      <c r="N35" s="400"/>
      <c r="O35" s="14"/>
      <c r="P35" s="400"/>
    </row>
    <row r="36" spans="1:16" ht="16.95" customHeight="1">
      <c r="A36" s="404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15"/>
      <c r="F36" s="401"/>
      <c r="G36" s="15"/>
      <c r="H36" s="401"/>
      <c r="I36" s="15"/>
      <c r="J36" s="401"/>
      <c r="K36" s="15"/>
      <c r="L36" s="401"/>
      <c r="M36" s="15"/>
      <c r="N36" s="401"/>
      <c r="O36" s="15"/>
      <c r="P36" s="401"/>
    </row>
    <row r="37" spans="1:16" ht="16.95" customHeight="1" thickBot="1">
      <c r="A37" s="405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9"/>
      <c r="F37" s="402"/>
      <c r="G37" s="9"/>
      <c r="H37" s="402"/>
      <c r="I37" s="9"/>
      <c r="J37" s="402"/>
      <c r="K37" s="9"/>
      <c r="L37" s="402"/>
      <c r="M37" s="9"/>
      <c r="N37" s="402"/>
      <c r="O37" s="9"/>
      <c r="P37" s="402"/>
    </row>
    <row r="38" spans="1:16" ht="16.95" customHeight="1">
      <c r="A38" s="403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14"/>
      <c r="F38" s="400"/>
      <c r="G38" s="14"/>
      <c r="H38" s="400"/>
      <c r="I38" s="14"/>
      <c r="J38" s="400"/>
      <c r="K38" s="14"/>
      <c r="L38" s="400"/>
      <c r="M38" s="14"/>
      <c r="N38" s="400"/>
      <c r="O38" s="14"/>
      <c r="P38" s="400"/>
    </row>
    <row r="39" spans="1:16" ht="16.95" customHeight="1">
      <c r="A39" s="404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15"/>
      <c r="F39" s="401"/>
      <c r="G39" s="15"/>
      <c r="H39" s="401"/>
      <c r="I39" s="15"/>
      <c r="J39" s="401"/>
      <c r="K39" s="15"/>
      <c r="L39" s="401"/>
      <c r="M39" s="15"/>
      <c r="N39" s="401"/>
      <c r="O39" s="15"/>
      <c r="P39" s="401"/>
    </row>
    <row r="40" spans="1:16" ht="16.95" customHeight="1" thickBot="1">
      <c r="A40" s="405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9"/>
      <c r="F40" s="402"/>
      <c r="G40" s="9"/>
      <c r="H40" s="402"/>
      <c r="I40" s="9"/>
      <c r="J40" s="402"/>
      <c r="K40" s="9"/>
      <c r="L40" s="402"/>
      <c r="M40" s="9"/>
      <c r="N40" s="402"/>
      <c r="O40" s="9"/>
      <c r="P40" s="402"/>
    </row>
    <row r="41" spans="1:16" ht="27.75" customHeight="1" thickBot="1">
      <c r="B41" s="11"/>
      <c r="C41" s="25"/>
      <c r="D41" s="204"/>
      <c r="E41" s="16"/>
      <c r="F41" s="12"/>
      <c r="G41" s="16"/>
      <c r="H41" s="12"/>
      <c r="I41" s="16"/>
      <c r="J41" s="12"/>
      <c r="K41" s="16"/>
      <c r="L41" s="12"/>
      <c r="M41" s="16"/>
      <c r="N41" s="12"/>
      <c r="O41" s="16"/>
      <c r="P41" s="12"/>
    </row>
    <row r="42" spans="1:16" ht="24" customHeight="1" thickBot="1">
      <c r="B42" s="8"/>
      <c r="C42" s="1"/>
      <c r="D42" s="1"/>
      <c r="E42" s="1"/>
      <c r="F42" s="23"/>
      <c r="G42" s="1"/>
      <c r="H42" s="23"/>
      <c r="I42" s="1"/>
      <c r="J42" s="23"/>
      <c r="K42" s="1"/>
      <c r="L42" s="23"/>
      <c r="M42" s="1"/>
      <c r="N42" s="23"/>
      <c r="O42" s="1"/>
      <c r="P42" s="23"/>
    </row>
    <row r="43" spans="1:16" ht="11.25" customHeight="1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>
      <c r="B44" s="211" t="s">
        <v>1790</v>
      </c>
      <c r="C44" s="210"/>
      <c r="D44" s="42"/>
      <c r="E44" s="398">
        <f>VLOOKUP(B27,Schlüssel!$A$5:$K$12,3)</f>
        <v>1</v>
      </c>
      <c r="F44" s="398"/>
      <c r="G44" s="398">
        <f>VLOOKUP(B27,Schlüssel!$A$5:$K$12,4)</f>
        <v>4</v>
      </c>
      <c r="H44" s="398"/>
      <c r="I44" s="398">
        <f>VLOOKUP(B27,Schlüssel!$A$5:$K$12,5)</f>
        <v>6</v>
      </c>
      <c r="J44" s="398"/>
      <c r="K44" s="398">
        <f>VLOOKUP(B27,Schlüssel!$A$5:$K$12,6)</f>
        <v>7</v>
      </c>
      <c r="L44" s="398"/>
      <c r="M44" s="398">
        <f>VLOOKUP(B27,Schlüssel!$A$5:$K$12,7)</f>
        <v>5</v>
      </c>
      <c r="N44" s="398"/>
      <c r="O44" s="399"/>
      <c r="P44" s="399"/>
    </row>
    <row r="45" spans="1:16" ht="28.5" customHeight="1">
      <c r="B45" s="4"/>
      <c r="C45" s="1"/>
      <c r="D45" s="1"/>
      <c r="E45" s="395" t="str">
        <f>VLOOKUP(E44,Schlüssel!$A$5:$K$12,2)</f>
        <v>Bad Tölz 1</v>
      </c>
      <c r="F45" s="396"/>
      <c r="G45" s="395" t="str">
        <f>VLOOKUP(G44,Schlüssel!$A$5:$K$12,2)</f>
        <v>Highroller Rosenheim 3</v>
      </c>
      <c r="H45" s="396"/>
      <c r="I45" s="395" t="str">
        <f>VLOOKUP(I44,Schlüssel!$A$5:$K$12,2)</f>
        <v>Bowling Jugend Bayern 1</v>
      </c>
      <c r="J45" s="396"/>
      <c r="K45" s="395" t="str">
        <f>VLOOKUP(K44,Schlüssel!$A$5:$K$12,2)</f>
        <v>BK München 1</v>
      </c>
      <c r="L45" s="396"/>
      <c r="M45" s="395" t="str">
        <f>VLOOKUP(M44,Schlüssel!$A$5:$K$12,2)</f>
        <v>Berchtesgaden 1</v>
      </c>
      <c r="N45" s="396"/>
      <c r="O45" s="397"/>
      <c r="P45" s="397"/>
    </row>
    <row r="46" spans="1:16" ht="12" customHeight="1">
      <c r="B46" s="4"/>
      <c r="C46" s="1"/>
      <c r="D46" s="1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53"/>
      <c r="P46" s="353"/>
    </row>
    <row r="47" spans="1:16" ht="16.2" customHeight="1">
      <c r="B47" s="39" t="s">
        <v>2266</v>
      </c>
      <c r="C47" s="209"/>
      <c r="D47" s="40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3"/>
      <c r="P47" s="393"/>
    </row>
    <row r="48" spans="1:16" ht="16.2" customHeight="1">
      <c r="B48" s="39" t="s">
        <v>2267</v>
      </c>
      <c r="C48" s="209"/>
      <c r="D48" s="40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3"/>
      <c r="P48" s="393"/>
    </row>
    <row r="49" spans="1:30" ht="16.2" customHeight="1">
      <c r="B49" s="39" t="s">
        <v>2268</v>
      </c>
      <c r="C49" s="209"/>
      <c r="D49" s="40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3"/>
      <c r="P49" s="393"/>
    </row>
    <row r="50" spans="1:30" ht="16.2" customHeight="1">
      <c r="B50" s="41" t="s">
        <v>1792</v>
      </c>
      <c r="C50" s="210"/>
      <c r="D50" s="42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41"/>
      <c r="P50" s="341"/>
    </row>
    <row r="51" spans="1:30" ht="21" customHeight="1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6">
        <f>Schlüssel!$M$1</f>
        <v>45211</v>
      </c>
      <c r="N51" s="406"/>
      <c r="O51" s="406"/>
      <c r="AD51" s="76"/>
    </row>
    <row r="52" spans="1:30" ht="17.25" customHeight="1" thickBot="1">
      <c r="A52" s="53"/>
      <c r="B52" s="54">
        <f>+B27+1</f>
        <v>3</v>
      </c>
      <c r="C52" s="35" t="s">
        <v>1787</v>
      </c>
      <c r="D52" s="35"/>
      <c r="E52" s="72" t="str">
        <f>Schlüssel!$C$2</f>
        <v>Brunnthal Max Munich</v>
      </c>
      <c r="G52" s="66"/>
      <c r="H52" s="66"/>
      <c r="I52" s="66"/>
      <c r="J52" s="66"/>
      <c r="L52" s="66"/>
      <c r="M52" s="34" t="s">
        <v>1785</v>
      </c>
      <c r="N52" s="38">
        <v>1</v>
      </c>
      <c r="O52" s="33"/>
      <c r="AD52" s="77"/>
    </row>
    <row r="53" spans="1:30" ht="15.75" customHeight="1" thickBot="1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3.8" thickBot="1">
      <c r="A54" s="6"/>
      <c r="B54" s="7"/>
      <c r="C54" s="43"/>
      <c r="D54" s="43"/>
      <c r="E54" s="47" t="s">
        <v>10</v>
      </c>
      <c r="F54" s="7">
        <f>VLOOKUP(B52,Schlüssel!$A$5:$DZ$12,13)</f>
        <v>11</v>
      </c>
      <c r="G54" s="51" t="s">
        <v>10</v>
      </c>
      <c r="H54" s="7">
        <f>VLOOKUP(B52,Schlüssel!$A$5:$DZ$12,14)</f>
        <v>16</v>
      </c>
      <c r="I54" s="51" t="s">
        <v>10</v>
      </c>
      <c r="J54" s="7">
        <f>VLOOKUP(B52,Schlüssel!$A$5:$DZ$12,15)</f>
        <v>14</v>
      </c>
      <c r="K54" s="51" t="s">
        <v>10</v>
      </c>
      <c r="L54" s="7">
        <f>VLOOKUP(B52,Schlüssel!$A$5:$DZ$12,16)</f>
        <v>9</v>
      </c>
      <c r="M54" s="51" t="s">
        <v>10</v>
      </c>
      <c r="N54" s="57">
        <f>VLOOKUP(B52,Schlüssel!$A$5:$DZ$12,17)</f>
        <v>13</v>
      </c>
    </row>
    <row r="55" spans="1:30" ht="20.25" customHeight="1">
      <c r="B55" s="44" t="s">
        <v>1</v>
      </c>
      <c r="C55" s="45"/>
      <c r="D55" s="45"/>
      <c r="E55" s="407" t="s">
        <v>1793</v>
      </c>
      <c r="F55" s="408"/>
      <c r="G55" s="407" t="s">
        <v>1794</v>
      </c>
      <c r="H55" s="408"/>
      <c r="I55" s="407" t="s">
        <v>1795</v>
      </c>
      <c r="J55" s="408"/>
      <c r="K55" s="407" t="s">
        <v>1796</v>
      </c>
      <c r="L55" s="408"/>
      <c r="M55" s="407" t="s">
        <v>1797</v>
      </c>
      <c r="N55" s="408"/>
      <c r="O55" s="409" t="s">
        <v>1792</v>
      </c>
      <c r="P55" s="410"/>
    </row>
    <row r="56" spans="1:30" ht="15" customHeight="1" thickBot="1">
      <c r="B56" s="9" t="s">
        <v>1798</v>
      </c>
      <c r="C56" s="48" t="s">
        <v>1799</v>
      </c>
      <c r="D56" s="48" t="s">
        <v>2264</v>
      </c>
      <c r="E56" s="49" t="s">
        <v>1800</v>
      </c>
      <c r="F56" s="49" t="s">
        <v>1801</v>
      </c>
      <c r="G56" s="49" t="s">
        <v>1800</v>
      </c>
      <c r="H56" s="49" t="s">
        <v>1801</v>
      </c>
      <c r="I56" s="49" t="s">
        <v>1800</v>
      </c>
      <c r="J56" s="49" t="s">
        <v>1801</v>
      </c>
      <c r="K56" s="49" t="s">
        <v>1800</v>
      </c>
      <c r="L56" s="49" t="s">
        <v>1801</v>
      </c>
      <c r="M56" s="49" t="s">
        <v>1800</v>
      </c>
      <c r="N56" s="49" t="s">
        <v>1801</v>
      </c>
      <c r="O56" s="49" t="s">
        <v>1800</v>
      </c>
      <c r="P56" s="10" t="s">
        <v>1801</v>
      </c>
    </row>
    <row r="57" spans="1:30" ht="16.95" customHeight="1">
      <c r="A57" s="403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14"/>
      <c r="F57" s="400"/>
      <c r="G57" s="14"/>
      <c r="H57" s="400"/>
      <c r="I57" s="14"/>
      <c r="J57" s="400"/>
      <c r="K57" s="14"/>
      <c r="L57" s="400"/>
      <c r="M57" s="14"/>
      <c r="N57" s="400"/>
      <c r="O57" s="14"/>
      <c r="P57" s="400"/>
    </row>
    <row r="58" spans="1:30" ht="16.95" customHeight="1">
      <c r="A58" s="404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15"/>
      <c r="F58" s="401"/>
      <c r="G58" s="15"/>
      <c r="H58" s="401"/>
      <c r="I58" s="15"/>
      <c r="J58" s="401"/>
      <c r="K58" s="15"/>
      <c r="L58" s="401"/>
      <c r="M58" s="15"/>
      <c r="N58" s="401"/>
      <c r="O58" s="15"/>
      <c r="P58" s="401"/>
    </row>
    <row r="59" spans="1:30" ht="16.95" customHeight="1" thickBot="1">
      <c r="A59" s="405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9"/>
      <c r="F59" s="402"/>
      <c r="G59" s="9"/>
      <c r="H59" s="402"/>
      <c r="I59" s="9"/>
      <c r="J59" s="402"/>
      <c r="K59" s="9"/>
      <c r="L59" s="402"/>
      <c r="M59" s="9"/>
      <c r="N59" s="402"/>
      <c r="O59" s="9"/>
      <c r="P59" s="402"/>
    </row>
    <row r="60" spans="1:30" ht="16.95" customHeight="1">
      <c r="A60" s="403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14"/>
      <c r="F60" s="400"/>
      <c r="G60" s="14"/>
      <c r="H60" s="400"/>
      <c r="I60" s="14"/>
      <c r="J60" s="400"/>
      <c r="K60" s="14"/>
      <c r="L60" s="400"/>
      <c r="M60" s="14"/>
      <c r="N60" s="400"/>
      <c r="O60" s="14"/>
      <c r="P60" s="400"/>
    </row>
    <row r="61" spans="1:30" ht="16.95" customHeight="1">
      <c r="A61" s="404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15"/>
      <c r="F61" s="401"/>
      <c r="G61" s="15"/>
      <c r="H61" s="401"/>
      <c r="I61" s="15"/>
      <c r="J61" s="401"/>
      <c r="K61" s="15"/>
      <c r="L61" s="401"/>
      <c r="M61" s="15"/>
      <c r="N61" s="401"/>
      <c r="O61" s="15"/>
      <c r="P61" s="401"/>
    </row>
    <row r="62" spans="1:30" ht="16.95" customHeight="1" thickBot="1">
      <c r="A62" s="405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9"/>
      <c r="F62" s="402"/>
      <c r="G62" s="9"/>
      <c r="H62" s="402"/>
      <c r="I62" s="9"/>
      <c r="J62" s="402"/>
      <c r="K62" s="9"/>
      <c r="L62" s="402"/>
      <c r="M62" s="9"/>
      <c r="N62" s="402"/>
      <c r="O62" s="9"/>
      <c r="P62" s="402"/>
    </row>
    <row r="63" spans="1:30" ht="16.95" customHeight="1">
      <c r="A63" s="403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14"/>
      <c r="F63" s="400"/>
      <c r="G63" s="14"/>
      <c r="H63" s="400"/>
      <c r="I63" s="14"/>
      <c r="J63" s="400"/>
      <c r="K63" s="14"/>
      <c r="L63" s="400"/>
      <c r="M63" s="14"/>
      <c r="N63" s="400"/>
      <c r="O63" s="14"/>
      <c r="P63" s="400"/>
    </row>
    <row r="64" spans="1:30" ht="16.95" customHeight="1">
      <c r="A64" s="404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15"/>
      <c r="F64" s="401"/>
      <c r="G64" s="15"/>
      <c r="H64" s="401"/>
      <c r="I64" s="15"/>
      <c r="J64" s="401"/>
      <c r="K64" s="15"/>
      <c r="L64" s="401"/>
      <c r="M64" s="15"/>
      <c r="N64" s="401"/>
      <c r="O64" s="15"/>
      <c r="P64" s="401"/>
    </row>
    <row r="65" spans="1:30" ht="16.95" customHeight="1" thickBot="1">
      <c r="A65" s="405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9"/>
      <c r="F65" s="402"/>
      <c r="G65" s="9"/>
      <c r="H65" s="402"/>
      <c r="I65" s="9"/>
      <c r="J65" s="402"/>
      <c r="K65" s="9"/>
      <c r="L65" s="402"/>
      <c r="M65" s="9"/>
      <c r="N65" s="402"/>
      <c r="O65" s="9"/>
      <c r="P65" s="402"/>
    </row>
    <row r="66" spans="1:30" ht="27.75" customHeight="1" thickBot="1">
      <c r="B66" s="11"/>
      <c r="C66" s="25"/>
      <c r="D66" s="204"/>
      <c r="E66" s="16"/>
      <c r="F66" s="12"/>
      <c r="G66" s="16"/>
      <c r="H66" s="12"/>
      <c r="I66" s="16"/>
      <c r="J66" s="12"/>
      <c r="K66" s="16"/>
      <c r="L66" s="12"/>
      <c r="M66" s="16"/>
      <c r="N66" s="12"/>
      <c r="O66" s="16"/>
      <c r="P66" s="12"/>
    </row>
    <row r="67" spans="1:30" ht="24" customHeight="1" thickBot="1">
      <c r="B67" s="8"/>
      <c r="C67" s="1"/>
      <c r="D67" s="1"/>
      <c r="E67" s="1"/>
      <c r="F67" s="23"/>
      <c r="G67" s="1"/>
      <c r="H67" s="23"/>
      <c r="I67" s="1"/>
      <c r="J67" s="23"/>
      <c r="K67" s="1"/>
      <c r="L67" s="23"/>
      <c r="M67" s="1"/>
      <c r="N67" s="23"/>
      <c r="O67" s="1"/>
      <c r="P67" s="23"/>
    </row>
    <row r="68" spans="1:30" ht="11.25" customHeight="1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>
      <c r="B69" s="211" t="s">
        <v>1790</v>
      </c>
      <c r="C69" s="210"/>
      <c r="D69" s="42"/>
      <c r="E69" s="398">
        <f>VLOOKUP(B52,Schlüssel!$A$5:$K$12,3)</f>
        <v>4</v>
      </c>
      <c r="F69" s="398"/>
      <c r="G69" s="398">
        <f>VLOOKUP(B52,Schlüssel!$A$5:$K$12,4)</f>
        <v>1</v>
      </c>
      <c r="H69" s="398"/>
      <c r="I69" s="398">
        <f>VLOOKUP(B52,Schlüssel!$A$5:$K$12,5)</f>
        <v>7</v>
      </c>
      <c r="J69" s="398"/>
      <c r="K69" s="398">
        <f>VLOOKUP(B52,Schlüssel!$A$5:$K$12,6)</f>
        <v>6</v>
      </c>
      <c r="L69" s="398"/>
      <c r="M69" s="398">
        <f>VLOOKUP(B52,Schlüssel!$A$5:$K$12,7)</f>
        <v>8</v>
      </c>
      <c r="N69" s="398"/>
      <c r="O69" s="399"/>
      <c r="P69" s="399"/>
    </row>
    <row r="70" spans="1:30" ht="28.5" customHeight="1">
      <c r="B70" s="4"/>
      <c r="C70" s="1"/>
      <c r="D70" s="1"/>
      <c r="E70" s="395" t="str">
        <f>VLOOKUP(E69,Schlüssel!$A$5:$K$12,2)</f>
        <v>Highroller Rosenheim 3</v>
      </c>
      <c r="F70" s="396"/>
      <c r="G70" s="395" t="str">
        <f>VLOOKUP(G69,Schlüssel!$A$5:$K$12,2)</f>
        <v>Bad Tölz 1</v>
      </c>
      <c r="H70" s="396"/>
      <c r="I70" s="395" t="str">
        <f>VLOOKUP(I69,Schlüssel!$A$5:$K$12,2)</f>
        <v>BK München 1</v>
      </c>
      <c r="J70" s="396"/>
      <c r="K70" s="395" t="str">
        <f>VLOOKUP(K69,Schlüssel!$A$5:$K$12,2)</f>
        <v>Bowling Jugend Bayern 1</v>
      </c>
      <c r="L70" s="396"/>
      <c r="M70" s="395" t="str">
        <f>VLOOKUP(M69,Schlüssel!$A$5:$K$12,2)</f>
        <v>EMAX 1</v>
      </c>
      <c r="N70" s="396"/>
      <c r="O70" s="397"/>
      <c r="P70" s="397"/>
    </row>
    <row r="71" spans="1:30" ht="12" customHeight="1">
      <c r="B71" s="4"/>
      <c r="C71" s="1"/>
      <c r="D71" s="1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53"/>
      <c r="P71" s="353"/>
    </row>
    <row r="72" spans="1:30" ht="16.2" customHeight="1">
      <c r="B72" s="39" t="s">
        <v>2266</v>
      </c>
      <c r="C72" s="209"/>
      <c r="D72" s="40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3"/>
      <c r="P72" s="393"/>
    </row>
    <row r="73" spans="1:30" ht="16.2" customHeight="1">
      <c r="B73" s="39" t="s">
        <v>2267</v>
      </c>
      <c r="C73" s="209"/>
      <c r="D73" s="40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3"/>
      <c r="P73" s="393"/>
    </row>
    <row r="74" spans="1:30" ht="16.2" customHeight="1">
      <c r="B74" s="39" t="s">
        <v>2268</v>
      </c>
      <c r="C74" s="209"/>
      <c r="D74" s="40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3"/>
      <c r="P74" s="393"/>
    </row>
    <row r="75" spans="1:30" ht="16.2" customHeight="1">
      <c r="B75" s="41" t="s">
        <v>1792</v>
      </c>
      <c r="C75" s="210"/>
      <c r="D75" s="42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41"/>
      <c r="P75" s="341"/>
    </row>
    <row r="76" spans="1:30" ht="21" customHeight="1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6">
        <f>Schlüssel!$M$1</f>
        <v>45211</v>
      </c>
      <c r="N76" s="406"/>
      <c r="O76" s="406"/>
      <c r="AD76" s="76"/>
    </row>
    <row r="77" spans="1:30" ht="17.25" customHeight="1" thickBot="1">
      <c r="A77" s="53"/>
      <c r="B77" s="54">
        <f>+B52+1</f>
        <v>4</v>
      </c>
      <c r="C77" s="35" t="s">
        <v>1787</v>
      </c>
      <c r="D77" s="35"/>
      <c r="E77" s="72" t="str">
        <f>Schlüssel!$C$2</f>
        <v>Brunnthal Max Munich</v>
      </c>
      <c r="G77" s="66"/>
      <c r="H77" s="66"/>
      <c r="I77" s="66"/>
      <c r="J77" s="66"/>
      <c r="L77" s="66"/>
      <c r="M77" s="34" t="s">
        <v>1785</v>
      </c>
      <c r="N77" s="38">
        <v>1</v>
      </c>
      <c r="O77" s="33"/>
      <c r="AD77" s="77"/>
    </row>
    <row r="78" spans="1:30" ht="15.75" customHeight="1" thickBot="1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3.8" thickBot="1">
      <c r="A79" s="6"/>
      <c r="B79" s="7"/>
      <c r="C79" s="43"/>
      <c r="D79" s="43"/>
      <c r="E79" s="47" t="s">
        <v>10</v>
      </c>
      <c r="F79" s="7">
        <f>VLOOKUP(B77,Schlüssel!$A$5:$DZ$12,13)</f>
        <v>12</v>
      </c>
      <c r="G79" s="51" t="s">
        <v>10</v>
      </c>
      <c r="H79" s="7">
        <f>VLOOKUP(B77,Schlüssel!$A$5:$DZ$12,14)</f>
        <v>14</v>
      </c>
      <c r="I79" s="51" t="s">
        <v>10</v>
      </c>
      <c r="J79" s="7">
        <f>VLOOKUP(B77,Schlüssel!$A$5:$DZ$12,15)</f>
        <v>10</v>
      </c>
      <c r="K79" s="51" t="s">
        <v>10</v>
      </c>
      <c r="L79" s="7">
        <f>VLOOKUP(B77,Schlüssel!$A$5:$DZ$12,16)</f>
        <v>16</v>
      </c>
      <c r="M79" s="51" t="s">
        <v>10</v>
      </c>
      <c r="N79" s="57">
        <f>VLOOKUP(B77,Schlüssel!$A$5:$DZ$12,17)</f>
        <v>11</v>
      </c>
    </row>
    <row r="80" spans="1:30" ht="20.25" customHeight="1">
      <c r="B80" s="44" t="s">
        <v>1</v>
      </c>
      <c r="C80" s="45"/>
      <c r="D80" s="45"/>
      <c r="E80" s="407" t="s">
        <v>1793</v>
      </c>
      <c r="F80" s="408"/>
      <c r="G80" s="407" t="s">
        <v>1794</v>
      </c>
      <c r="H80" s="408"/>
      <c r="I80" s="407" t="s">
        <v>1795</v>
      </c>
      <c r="J80" s="408"/>
      <c r="K80" s="407" t="s">
        <v>1796</v>
      </c>
      <c r="L80" s="408"/>
      <c r="M80" s="407" t="s">
        <v>1797</v>
      </c>
      <c r="N80" s="408"/>
      <c r="O80" s="409" t="s">
        <v>1792</v>
      </c>
      <c r="P80" s="410"/>
    </row>
    <row r="81" spans="1:16" ht="15" customHeight="1" thickBot="1">
      <c r="B81" s="9" t="s">
        <v>1798</v>
      </c>
      <c r="C81" s="48" t="s">
        <v>1799</v>
      </c>
      <c r="D81" s="48" t="s">
        <v>2264</v>
      </c>
      <c r="E81" s="49" t="s">
        <v>1800</v>
      </c>
      <c r="F81" s="49" t="s">
        <v>1801</v>
      </c>
      <c r="G81" s="49" t="s">
        <v>1800</v>
      </c>
      <c r="H81" s="49" t="s">
        <v>1801</v>
      </c>
      <c r="I81" s="49" t="s">
        <v>1800</v>
      </c>
      <c r="J81" s="49" t="s">
        <v>1801</v>
      </c>
      <c r="K81" s="49" t="s">
        <v>1800</v>
      </c>
      <c r="L81" s="49" t="s">
        <v>1801</v>
      </c>
      <c r="M81" s="49" t="s">
        <v>1800</v>
      </c>
      <c r="N81" s="49" t="s">
        <v>1801</v>
      </c>
      <c r="O81" s="49" t="s">
        <v>1800</v>
      </c>
      <c r="P81" s="10" t="s">
        <v>1801</v>
      </c>
    </row>
    <row r="82" spans="1:16" ht="16.95" customHeight="1">
      <c r="A82" s="403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14"/>
      <c r="F82" s="400"/>
      <c r="G82" s="14"/>
      <c r="H82" s="400"/>
      <c r="I82" s="14"/>
      <c r="J82" s="400"/>
      <c r="K82" s="14"/>
      <c r="L82" s="400"/>
      <c r="M82" s="14"/>
      <c r="N82" s="400"/>
      <c r="O82" s="14"/>
      <c r="P82" s="400"/>
    </row>
    <row r="83" spans="1:16" ht="16.95" customHeight="1">
      <c r="A83" s="404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15"/>
      <c r="F83" s="401"/>
      <c r="G83" s="15"/>
      <c r="H83" s="401"/>
      <c r="I83" s="15"/>
      <c r="J83" s="401"/>
      <c r="K83" s="15"/>
      <c r="L83" s="401"/>
      <c r="M83" s="15"/>
      <c r="N83" s="401"/>
      <c r="O83" s="15"/>
      <c r="P83" s="401"/>
    </row>
    <row r="84" spans="1:16" ht="16.95" customHeight="1" thickBot="1">
      <c r="A84" s="405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9"/>
      <c r="F84" s="402"/>
      <c r="G84" s="9"/>
      <c r="H84" s="402"/>
      <c r="I84" s="9"/>
      <c r="J84" s="402"/>
      <c r="K84" s="9"/>
      <c r="L84" s="402"/>
      <c r="M84" s="9"/>
      <c r="N84" s="402"/>
      <c r="O84" s="9"/>
      <c r="P84" s="402"/>
    </row>
    <row r="85" spans="1:16" ht="16.95" customHeight="1">
      <c r="A85" s="403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14"/>
      <c r="F85" s="400"/>
      <c r="G85" s="14"/>
      <c r="H85" s="400"/>
      <c r="I85" s="14"/>
      <c r="J85" s="400"/>
      <c r="K85" s="14"/>
      <c r="L85" s="400"/>
      <c r="M85" s="14"/>
      <c r="N85" s="400"/>
      <c r="O85" s="14"/>
      <c r="P85" s="400"/>
    </row>
    <row r="86" spans="1:16" ht="16.95" customHeight="1">
      <c r="A86" s="404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15"/>
      <c r="F86" s="401"/>
      <c r="G86" s="15"/>
      <c r="H86" s="401"/>
      <c r="I86" s="15"/>
      <c r="J86" s="401"/>
      <c r="K86" s="15"/>
      <c r="L86" s="401"/>
      <c r="M86" s="15"/>
      <c r="N86" s="401"/>
      <c r="O86" s="15"/>
      <c r="P86" s="401"/>
    </row>
    <row r="87" spans="1:16" ht="16.95" customHeight="1" thickBot="1">
      <c r="A87" s="405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9"/>
      <c r="F87" s="402"/>
      <c r="G87" s="9"/>
      <c r="H87" s="402"/>
      <c r="I87" s="9"/>
      <c r="J87" s="402"/>
      <c r="K87" s="9"/>
      <c r="L87" s="402"/>
      <c r="M87" s="9"/>
      <c r="N87" s="402"/>
      <c r="O87" s="9"/>
      <c r="P87" s="402"/>
    </row>
    <row r="88" spans="1:16" ht="16.95" customHeight="1">
      <c r="A88" s="403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14"/>
      <c r="F88" s="400"/>
      <c r="G88" s="14"/>
      <c r="H88" s="400"/>
      <c r="I88" s="14"/>
      <c r="J88" s="400"/>
      <c r="K88" s="14"/>
      <c r="L88" s="400"/>
      <c r="M88" s="14"/>
      <c r="N88" s="400"/>
      <c r="O88" s="14"/>
      <c r="P88" s="400"/>
    </row>
    <row r="89" spans="1:16" ht="16.95" customHeight="1">
      <c r="A89" s="404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15"/>
      <c r="F89" s="401"/>
      <c r="G89" s="15"/>
      <c r="H89" s="401"/>
      <c r="I89" s="15"/>
      <c r="J89" s="401"/>
      <c r="K89" s="15"/>
      <c r="L89" s="401"/>
      <c r="M89" s="15"/>
      <c r="N89" s="401"/>
      <c r="O89" s="15"/>
      <c r="P89" s="401"/>
    </row>
    <row r="90" spans="1:16" ht="16.95" customHeight="1" thickBot="1">
      <c r="A90" s="405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9"/>
      <c r="F90" s="402"/>
      <c r="G90" s="9"/>
      <c r="H90" s="402"/>
      <c r="I90" s="9"/>
      <c r="J90" s="402"/>
      <c r="K90" s="9"/>
      <c r="L90" s="402"/>
      <c r="M90" s="9"/>
      <c r="N90" s="402"/>
      <c r="O90" s="9"/>
      <c r="P90" s="402"/>
    </row>
    <row r="91" spans="1:16" ht="27.75" customHeight="1" thickBot="1">
      <c r="B91" s="11"/>
      <c r="C91" s="25"/>
      <c r="D91" s="204"/>
      <c r="E91" s="16"/>
      <c r="F91" s="12"/>
      <c r="G91" s="16"/>
      <c r="H91" s="12"/>
      <c r="I91" s="16"/>
      <c r="J91" s="12"/>
      <c r="K91" s="16"/>
      <c r="L91" s="12"/>
      <c r="M91" s="16"/>
      <c r="N91" s="12"/>
      <c r="O91" s="16"/>
      <c r="P91" s="12"/>
    </row>
    <row r="92" spans="1:16" ht="24" customHeight="1" thickBot="1">
      <c r="B92" s="8"/>
      <c r="C92" s="1"/>
      <c r="D92" s="1"/>
      <c r="E92" s="1"/>
      <c r="F92" s="23"/>
      <c r="G92" s="1"/>
      <c r="H92" s="23"/>
      <c r="I92" s="1"/>
      <c r="J92" s="23"/>
      <c r="K92" s="1"/>
      <c r="L92" s="23"/>
      <c r="M92" s="1"/>
      <c r="N92" s="23"/>
      <c r="O92" s="1"/>
      <c r="P92" s="23"/>
    </row>
    <row r="93" spans="1:16" ht="11.25" customHeight="1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>
      <c r="B94" s="211" t="s">
        <v>1790</v>
      </c>
      <c r="C94" s="210"/>
      <c r="D94" s="42"/>
      <c r="E94" s="398">
        <f>VLOOKUP(B77,Schlüssel!$A$5:$K$12,3)</f>
        <v>3</v>
      </c>
      <c r="F94" s="398"/>
      <c r="G94" s="398">
        <f>VLOOKUP(B77,Schlüssel!$A$5:$K$12,4)</f>
        <v>2</v>
      </c>
      <c r="H94" s="398"/>
      <c r="I94" s="398">
        <f>VLOOKUP(B77,Schlüssel!$A$5:$K$12,5)</f>
        <v>5</v>
      </c>
      <c r="J94" s="398"/>
      <c r="K94" s="398">
        <f>VLOOKUP(B77,Schlüssel!$A$5:$K$12,6)</f>
        <v>8</v>
      </c>
      <c r="L94" s="398"/>
      <c r="M94" s="398">
        <f>VLOOKUP(B77,Schlüssel!$A$5:$K$12,7)</f>
        <v>6</v>
      </c>
      <c r="N94" s="398"/>
      <c r="O94" s="399"/>
      <c r="P94" s="399"/>
    </row>
    <row r="95" spans="1:16" ht="28.5" customHeight="1">
      <c r="B95" s="4"/>
      <c r="C95" s="1"/>
      <c r="D95" s="1"/>
      <c r="E95" s="395" t="str">
        <f>VLOOKUP(E94,Schlüssel!$A$5:$K$12,2)</f>
        <v>Highroller Rosenheim 2</v>
      </c>
      <c r="F95" s="396"/>
      <c r="G95" s="395" t="str">
        <f>VLOOKUP(G94,Schlüssel!$A$5:$K$12,2)</f>
        <v>Highroller Rosenheim 1</v>
      </c>
      <c r="H95" s="396"/>
      <c r="I95" s="395" t="str">
        <f>VLOOKUP(I94,Schlüssel!$A$5:$K$12,2)</f>
        <v>Berchtesgaden 1</v>
      </c>
      <c r="J95" s="396"/>
      <c r="K95" s="395" t="str">
        <f>VLOOKUP(K94,Schlüssel!$A$5:$K$12,2)</f>
        <v>EMAX 1</v>
      </c>
      <c r="L95" s="396"/>
      <c r="M95" s="395" t="str">
        <f>VLOOKUP(M94,Schlüssel!$A$5:$K$12,2)</f>
        <v>Bowling Jugend Bayern 1</v>
      </c>
      <c r="N95" s="396"/>
      <c r="O95" s="397"/>
      <c r="P95" s="397"/>
    </row>
    <row r="96" spans="1:16" ht="12" customHeight="1">
      <c r="B96" s="4"/>
      <c r="C96" s="1"/>
      <c r="D96" s="1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53"/>
      <c r="P96" s="353"/>
    </row>
    <row r="97" spans="1:30" ht="16.2" customHeight="1">
      <c r="B97" s="39" t="s">
        <v>2266</v>
      </c>
      <c r="C97" s="209"/>
      <c r="D97" s="40"/>
      <c r="E97" s="392"/>
      <c r="F97" s="392"/>
      <c r="G97" s="392"/>
      <c r="H97" s="392"/>
      <c r="I97" s="392"/>
      <c r="J97" s="392"/>
      <c r="K97" s="392"/>
      <c r="L97" s="392"/>
      <c r="M97" s="392"/>
      <c r="N97" s="392"/>
      <c r="O97" s="393"/>
      <c r="P97" s="393"/>
    </row>
    <row r="98" spans="1:30" ht="16.2" customHeight="1">
      <c r="B98" s="39" t="s">
        <v>2267</v>
      </c>
      <c r="C98" s="209"/>
      <c r="D98" s="40"/>
      <c r="E98" s="392"/>
      <c r="F98" s="392"/>
      <c r="G98" s="392"/>
      <c r="H98" s="392"/>
      <c r="I98" s="392"/>
      <c r="J98" s="392"/>
      <c r="K98" s="392"/>
      <c r="L98" s="392"/>
      <c r="M98" s="392"/>
      <c r="N98" s="392"/>
      <c r="O98" s="393"/>
      <c r="P98" s="393"/>
    </row>
    <row r="99" spans="1:30" ht="16.2" customHeight="1">
      <c r="B99" s="39" t="s">
        <v>2268</v>
      </c>
      <c r="C99" s="209"/>
      <c r="D99" s="40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3"/>
      <c r="P99" s="393"/>
    </row>
    <row r="100" spans="1:30" ht="16.2" customHeight="1">
      <c r="B100" s="41" t="s">
        <v>1792</v>
      </c>
      <c r="C100" s="210"/>
      <c r="D100" s="42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41"/>
      <c r="P100" s="341"/>
    </row>
    <row r="101" spans="1:30" ht="21" customHeight="1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6">
        <f>Schlüssel!$M$1</f>
        <v>45211</v>
      </c>
      <c r="N101" s="406"/>
      <c r="O101" s="406"/>
      <c r="AD101" s="76"/>
    </row>
    <row r="102" spans="1:30" ht="17.25" customHeight="1" thickBot="1">
      <c r="A102" s="53"/>
      <c r="B102" s="54">
        <f>+B77+1</f>
        <v>5</v>
      </c>
      <c r="C102" s="35" t="s">
        <v>1787</v>
      </c>
      <c r="D102" s="35"/>
      <c r="E102" s="72" t="str">
        <f>Schlüssel!$C$2</f>
        <v>Brunnthal Max Munich</v>
      </c>
      <c r="G102" s="66"/>
      <c r="H102" s="66"/>
      <c r="I102" s="66"/>
      <c r="J102" s="66"/>
      <c r="L102" s="66"/>
      <c r="M102" s="34" t="s">
        <v>1785</v>
      </c>
      <c r="N102" s="38">
        <v>1</v>
      </c>
      <c r="O102" s="33"/>
      <c r="AD102" s="77"/>
    </row>
    <row r="103" spans="1:30" ht="15.75" customHeight="1" thickBot="1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3.8" thickBot="1">
      <c r="A104" s="6"/>
      <c r="B104" s="7"/>
      <c r="C104" s="43"/>
      <c r="D104" s="43"/>
      <c r="E104" s="47" t="s">
        <v>10</v>
      </c>
      <c r="F104" s="7">
        <f>VLOOKUP(B102,Schlüssel!$A$5:$DZ$12,13)</f>
        <v>13</v>
      </c>
      <c r="G104" s="51" t="s">
        <v>10</v>
      </c>
      <c r="H104" s="7">
        <f>VLOOKUP(B102,Schlüssel!$A$5:$DZ$12,14)</f>
        <v>11</v>
      </c>
      <c r="I104" s="51" t="s">
        <v>10</v>
      </c>
      <c r="J104" s="7">
        <f>VLOOKUP(B102,Schlüssel!$A$5:$DZ$12,15)</f>
        <v>9</v>
      </c>
      <c r="K104" s="51" t="s">
        <v>10</v>
      </c>
      <c r="L104" s="7">
        <f>VLOOKUP(B102,Schlüssel!$A$5:$DZ$12,16)</f>
        <v>14</v>
      </c>
      <c r="M104" s="51" t="s">
        <v>10</v>
      </c>
      <c r="N104" s="57">
        <f>VLOOKUP(B102,Schlüssel!$A$5:$DZ$12,17)</f>
        <v>15</v>
      </c>
    </row>
    <row r="105" spans="1:30" ht="20.25" customHeight="1">
      <c r="B105" s="44" t="s">
        <v>1</v>
      </c>
      <c r="C105" s="45"/>
      <c r="D105" s="45"/>
      <c r="E105" s="407" t="s">
        <v>1793</v>
      </c>
      <c r="F105" s="408"/>
      <c r="G105" s="407" t="s">
        <v>1794</v>
      </c>
      <c r="H105" s="408"/>
      <c r="I105" s="407" t="s">
        <v>1795</v>
      </c>
      <c r="J105" s="408"/>
      <c r="K105" s="407" t="s">
        <v>1796</v>
      </c>
      <c r="L105" s="408"/>
      <c r="M105" s="407" t="s">
        <v>1797</v>
      </c>
      <c r="N105" s="408"/>
      <c r="O105" s="409" t="s">
        <v>1792</v>
      </c>
      <c r="P105" s="410"/>
    </row>
    <row r="106" spans="1:30" ht="15" customHeight="1" thickBot="1">
      <c r="B106" s="9" t="s">
        <v>1798</v>
      </c>
      <c r="C106" s="48" t="s">
        <v>1799</v>
      </c>
      <c r="D106" s="48" t="s">
        <v>2264</v>
      </c>
      <c r="E106" s="49" t="s">
        <v>1800</v>
      </c>
      <c r="F106" s="49" t="s">
        <v>1801</v>
      </c>
      <c r="G106" s="49" t="s">
        <v>1800</v>
      </c>
      <c r="H106" s="49" t="s">
        <v>1801</v>
      </c>
      <c r="I106" s="49" t="s">
        <v>1800</v>
      </c>
      <c r="J106" s="49" t="s">
        <v>1801</v>
      </c>
      <c r="K106" s="49" t="s">
        <v>1800</v>
      </c>
      <c r="L106" s="49" t="s">
        <v>1801</v>
      </c>
      <c r="M106" s="49" t="s">
        <v>1800</v>
      </c>
      <c r="N106" s="49" t="s">
        <v>1801</v>
      </c>
      <c r="O106" s="49" t="s">
        <v>1800</v>
      </c>
      <c r="P106" s="10" t="s">
        <v>1801</v>
      </c>
    </row>
    <row r="107" spans="1:30" ht="16.95" customHeight="1">
      <c r="A107" s="403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14"/>
      <c r="F107" s="400"/>
      <c r="G107" s="14"/>
      <c r="H107" s="400"/>
      <c r="I107" s="14"/>
      <c r="J107" s="400"/>
      <c r="K107" s="14"/>
      <c r="L107" s="400"/>
      <c r="M107" s="14"/>
      <c r="N107" s="400"/>
      <c r="O107" s="14"/>
      <c r="P107" s="400"/>
    </row>
    <row r="108" spans="1:30" ht="16.95" customHeight="1">
      <c r="A108" s="404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15"/>
      <c r="F108" s="401"/>
      <c r="G108" s="15"/>
      <c r="H108" s="401"/>
      <c r="I108" s="15"/>
      <c r="J108" s="401"/>
      <c r="K108" s="15"/>
      <c r="L108" s="401"/>
      <c r="M108" s="15"/>
      <c r="N108" s="401"/>
      <c r="O108" s="15"/>
      <c r="P108" s="401"/>
    </row>
    <row r="109" spans="1:30" ht="16.95" customHeight="1" thickBot="1">
      <c r="A109" s="405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9"/>
      <c r="F109" s="402"/>
      <c r="G109" s="9"/>
      <c r="H109" s="402"/>
      <c r="I109" s="9"/>
      <c r="J109" s="402"/>
      <c r="K109" s="9"/>
      <c r="L109" s="402"/>
      <c r="M109" s="9"/>
      <c r="N109" s="402"/>
      <c r="O109" s="9"/>
      <c r="P109" s="402"/>
    </row>
    <row r="110" spans="1:30" ht="16.95" customHeight="1">
      <c r="A110" s="403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14"/>
      <c r="F110" s="400"/>
      <c r="G110" s="14"/>
      <c r="H110" s="400"/>
      <c r="I110" s="14"/>
      <c r="J110" s="400"/>
      <c r="K110" s="14"/>
      <c r="L110" s="400"/>
      <c r="M110" s="14"/>
      <c r="N110" s="400"/>
      <c r="O110" s="14"/>
      <c r="P110" s="400"/>
    </row>
    <row r="111" spans="1:30" ht="16.95" customHeight="1">
      <c r="A111" s="404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15"/>
      <c r="F111" s="401"/>
      <c r="G111" s="15"/>
      <c r="H111" s="401"/>
      <c r="I111" s="15"/>
      <c r="J111" s="401"/>
      <c r="K111" s="15"/>
      <c r="L111" s="401"/>
      <c r="M111" s="15"/>
      <c r="N111" s="401"/>
      <c r="O111" s="15"/>
      <c r="P111" s="401"/>
    </row>
    <row r="112" spans="1:30" ht="16.95" customHeight="1" thickBot="1">
      <c r="A112" s="405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9"/>
      <c r="F112" s="402"/>
      <c r="G112" s="9"/>
      <c r="H112" s="402"/>
      <c r="I112" s="9"/>
      <c r="J112" s="402"/>
      <c r="K112" s="9"/>
      <c r="L112" s="402"/>
      <c r="M112" s="9"/>
      <c r="N112" s="402"/>
      <c r="O112" s="9"/>
      <c r="P112" s="402"/>
    </row>
    <row r="113" spans="1:30" ht="16.95" customHeight="1">
      <c r="A113" s="403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14"/>
      <c r="F113" s="400"/>
      <c r="G113" s="14"/>
      <c r="H113" s="400"/>
      <c r="I113" s="14"/>
      <c r="J113" s="400"/>
      <c r="K113" s="14"/>
      <c r="L113" s="400"/>
      <c r="M113" s="14"/>
      <c r="N113" s="400"/>
      <c r="O113" s="14"/>
      <c r="P113" s="400"/>
    </row>
    <row r="114" spans="1:30" ht="16.95" customHeight="1">
      <c r="A114" s="404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15"/>
      <c r="F114" s="401"/>
      <c r="G114" s="15"/>
      <c r="H114" s="401"/>
      <c r="I114" s="15"/>
      <c r="J114" s="401"/>
      <c r="K114" s="15"/>
      <c r="L114" s="401"/>
      <c r="M114" s="15"/>
      <c r="N114" s="401"/>
      <c r="O114" s="15"/>
      <c r="P114" s="401"/>
    </row>
    <row r="115" spans="1:30" ht="16.95" customHeight="1" thickBot="1">
      <c r="A115" s="405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9"/>
      <c r="F115" s="402"/>
      <c r="G115" s="9"/>
      <c r="H115" s="402"/>
      <c r="I115" s="9"/>
      <c r="J115" s="402"/>
      <c r="K115" s="9"/>
      <c r="L115" s="402"/>
      <c r="M115" s="9"/>
      <c r="N115" s="402"/>
      <c r="O115" s="9"/>
      <c r="P115" s="402"/>
    </row>
    <row r="116" spans="1:30" ht="27.75" customHeight="1" thickBot="1">
      <c r="B116" s="11"/>
      <c r="C116" s="25"/>
      <c r="D116" s="204"/>
      <c r="E116" s="16"/>
      <c r="F116" s="12"/>
      <c r="G116" s="16"/>
      <c r="H116" s="12"/>
      <c r="I116" s="16"/>
      <c r="J116" s="12"/>
      <c r="K116" s="16"/>
      <c r="L116" s="12"/>
      <c r="M116" s="16"/>
      <c r="N116" s="12"/>
      <c r="O116" s="16"/>
      <c r="P116" s="12"/>
    </row>
    <row r="117" spans="1:30" ht="24" customHeight="1" thickBot="1">
      <c r="B117" s="8"/>
      <c r="C117" s="1"/>
      <c r="D117" s="1"/>
      <c r="E117" s="1"/>
      <c r="F117" s="23"/>
      <c r="G117" s="1"/>
      <c r="H117" s="23"/>
      <c r="I117" s="1"/>
      <c r="J117" s="23"/>
      <c r="K117" s="1"/>
      <c r="L117" s="23"/>
      <c r="M117" s="1"/>
      <c r="N117" s="23"/>
      <c r="O117" s="1"/>
      <c r="P117" s="23"/>
    </row>
    <row r="118" spans="1:30" ht="11.25" customHeight="1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>
      <c r="B119" s="211" t="s">
        <v>1790</v>
      </c>
      <c r="C119" s="210"/>
      <c r="D119" s="42"/>
      <c r="E119" s="398">
        <f>VLOOKUP(B102,Schlüssel!$A$5:$K$12,3)</f>
        <v>6</v>
      </c>
      <c r="F119" s="398"/>
      <c r="G119" s="398">
        <f>VLOOKUP(B102,Schlüssel!$A$5:$K$12,4)</f>
        <v>7</v>
      </c>
      <c r="H119" s="398"/>
      <c r="I119" s="398">
        <f>VLOOKUP(B102,Schlüssel!$A$5:$K$12,5)</f>
        <v>4</v>
      </c>
      <c r="J119" s="398"/>
      <c r="K119" s="398">
        <f>VLOOKUP(B102,Schlüssel!$A$5:$K$12,6)</f>
        <v>1</v>
      </c>
      <c r="L119" s="398"/>
      <c r="M119" s="398">
        <f>VLOOKUP(B102,Schlüssel!$A$5:$K$12,7)</f>
        <v>2</v>
      </c>
      <c r="N119" s="398"/>
      <c r="O119" s="399"/>
      <c r="P119" s="399"/>
    </row>
    <row r="120" spans="1:30" ht="28.5" customHeight="1">
      <c r="B120" s="4"/>
      <c r="C120" s="1"/>
      <c r="D120" s="1"/>
      <c r="E120" s="395" t="str">
        <f>VLOOKUP(E119,Schlüssel!$A$5:$K$12,2)</f>
        <v>Bowling Jugend Bayern 1</v>
      </c>
      <c r="F120" s="396"/>
      <c r="G120" s="395" t="str">
        <f>VLOOKUP(G119,Schlüssel!$A$5:$K$12,2)</f>
        <v>BK München 1</v>
      </c>
      <c r="H120" s="396"/>
      <c r="I120" s="395" t="str">
        <f>VLOOKUP(I119,Schlüssel!$A$5:$K$12,2)</f>
        <v>Highroller Rosenheim 3</v>
      </c>
      <c r="J120" s="396"/>
      <c r="K120" s="395" t="str">
        <f>VLOOKUP(K119,Schlüssel!$A$5:$K$12,2)</f>
        <v>Bad Tölz 1</v>
      </c>
      <c r="L120" s="396"/>
      <c r="M120" s="395" t="str">
        <f>VLOOKUP(M119,Schlüssel!$A$5:$K$12,2)</f>
        <v>Highroller Rosenheim 1</v>
      </c>
      <c r="N120" s="396"/>
      <c r="O120" s="397"/>
      <c r="P120" s="397"/>
    </row>
    <row r="121" spans="1:30" ht="12" customHeight="1">
      <c r="B121" s="4"/>
      <c r="C121" s="1"/>
      <c r="D121" s="1"/>
      <c r="E121" s="394"/>
      <c r="F121" s="394"/>
      <c r="G121" s="394"/>
      <c r="H121" s="394"/>
      <c r="I121" s="394"/>
      <c r="J121" s="394"/>
      <c r="K121" s="394"/>
      <c r="L121" s="394"/>
      <c r="M121" s="394"/>
      <c r="N121" s="394"/>
      <c r="O121" s="353"/>
      <c r="P121" s="353"/>
    </row>
    <row r="122" spans="1:30" ht="16.2" customHeight="1">
      <c r="B122" s="39" t="s">
        <v>2266</v>
      </c>
      <c r="C122" s="209"/>
      <c r="D122" s="40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3"/>
      <c r="P122" s="393"/>
    </row>
    <row r="123" spans="1:30" ht="16.2" customHeight="1">
      <c r="B123" s="39" t="s">
        <v>2267</v>
      </c>
      <c r="C123" s="209"/>
      <c r="D123" s="40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3"/>
      <c r="P123" s="393"/>
    </row>
    <row r="124" spans="1:30" ht="16.2" customHeight="1">
      <c r="B124" s="39" t="s">
        <v>2268</v>
      </c>
      <c r="C124" s="209"/>
      <c r="D124" s="40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3"/>
      <c r="P124" s="393"/>
    </row>
    <row r="125" spans="1:30" ht="16.2" customHeight="1">
      <c r="B125" s="41" t="s">
        <v>1792</v>
      </c>
      <c r="C125" s="210"/>
      <c r="D125" s="42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41"/>
      <c r="P125" s="341"/>
    </row>
    <row r="126" spans="1:30" ht="21" customHeight="1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6">
        <f>Schlüssel!$M$1</f>
        <v>45211</v>
      </c>
      <c r="N126" s="406"/>
      <c r="O126" s="406"/>
      <c r="AD126" s="76"/>
    </row>
    <row r="127" spans="1:30" ht="17.25" customHeight="1" thickBot="1">
      <c r="A127" s="53"/>
      <c r="B127" s="54">
        <f>+B102+1</f>
        <v>6</v>
      </c>
      <c r="C127" s="35" t="s">
        <v>1787</v>
      </c>
      <c r="D127" s="35"/>
      <c r="E127" s="72" t="str">
        <f>Schlüssel!$C$2</f>
        <v>Brunnthal Max Munich</v>
      </c>
      <c r="G127" s="66"/>
      <c r="H127" s="66"/>
      <c r="I127" s="66"/>
      <c r="J127" s="66"/>
      <c r="L127" s="66"/>
      <c r="M127" s="34" t="s">
        <v>1785</v>
      </c>
      <c r="N127" s="38">
        <v>1</v>
      </c>
      <c r="O127" s="33"/>
      <c r="AD127" s="77"/>
    </row>
    <row r="128" spans="1:30" ht="15.75" customHeight="1" thickBot="1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3.8" thickBot="1">
      <c r="A129" s="6"/>
      <c r="B129" s="7"/>
      <c r="C129" s="43"/>
      <c r="D129" s="43"/>
      <c r="E129" s="47" t="s">
        <v>10</v>
      </c>
      <c r="F129" s="7">
        <f>VLOOKUP(B127,Schlüssel!$A$5:$DZ$12,13)</f>
        <v>14</v>
      </c>
      <c r="G129" s="51" t="s">
        <v>10</v>
      </c>
      <c r="H129" s="7">
        <f>VLOOKUP(B127,Schlüssel!$A$5:$DZ$12,14)</f>
        <v>9</v>
      </c>
      <c r="I129" s="51" t="s">
        <v>10</v>
      </c>
      <c r="J129" s="7">
        <f>VLOOKUP(B127,Schlüssel!$A$5:$DZ$12,15)</f>
        <v>16</v>
      </c>
      <c r="K129" s="51" t="s">
        <v>10</v>
      </c>
      <c r="L129" s="7">
        <f>VLOOKUP(B127,Schlüssel!$A$5:$DZ$12,16)</f>
        <v>10</v>
      </c>
      <c r="M129" s="51" t="s">
        <v>10</v>
      </c>
      <c r="N129" s="57">
        <f>VLOOKUP(B127,Schlüssel!$A$5:$DZ$12,17)</f>
        <v>12</v>
      </c>
    </row>
    <row r="130" spans="1:16" ht="20.25" customHeight="1">
      <c r="B130" s="44" t="s">
        <v>1</v>
      </c>
      <c r="C130" s="45"/>
      <c r="D130" s="45"/>
      <c r="E130" s="407" t="s">
        <v>1793</v>
      </c>
      <c r="F130" s="408"/>
      <c r="G130" s="407" t="s">
        <v>1794</v>
      </c>
      <c r="H130" s="408"/>
      <c r="I130" s="407" t="s">
        <v>1795</v>
      </c>
      <c r="J130" s="408"/>
      <c r="K130" s="407" t="s">
        <v>1796</v>
      </c>
      <c r="L130" s="408"/>
      <c r="M130" s="407" t="s">
        <v>1797</v>
      </c>
      <c r="N130" s="408"/>
      <c r="O130" s="409" t="s">
        <v>1792</v>
      </c>
      <c r="P130" s="410"/>
    </row>
    <row r="131" spans="1:16" ht="15" customHeight="1" thickBot="1">
      <c r="B131" s="9" t="s">
        <v>1798</v>
      </c>
      <c r="C131" s="48" t="s">
        <v>1799</v>
      </c>
      <c r="D131" s="48" t="s">
        <v>2264</v>
      </c>
      <c r="E131" s="49" t="s">
        <v>1800</v>
      </c>
      <c r="F131" s="49" t="s">
        <v>1801</v>
      </c>
      <c r="G131" s="49" t="s">
        <v>1800</v>
      </c>
      <c r="H131" s="49" t="s">
        <v>1801</v>
      </c>
      <c r="I131" s="49" t="s">
        <v>1800</v>
      </c>
      <c r="J131" s="49" t="s">
        <v>1801</v>
      </c>
      <c r="K131" s="49" t="s">
        <v>1800</v>
      </c>
      <c r="L131" s="49" t="s">
        <v>1801</v>
      </c>
      <c r="M131" s="49" t="s">
        <v>1800</v>
      </c>
      <c r="N131" s="49" t="s">
        <v>1801</v>
      </c>
      <c r="O131" s="49" t="s">
        <v>1800</v>
      </c>
      <c r="P131" s="10" t="s">
        <v>1801</v>
      </c>
    </row>
    <row r="132" spans="1:16" ht="16.95" customHeight="1">
      <c r="A132" s="403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14"/>
      <c r="F132" s="400"/>
      <c r="G132" s="14"/>
      <c r="H132" s="400"/>
      <c r="I132" s="14"/>
      <c r="J132" s="400"/>
      <c r="K132" s="14"/>
      <c r="L132" s="400"/>
      <c r="M132" s="14"/>
      <c r="N132" s="400"/>
      <c r="O132" s="14"/>
      <c r="P132" s="400"/>
    </row>
    <row r="133" spans="1:16" ht="16.95" customHeight="1">
      <c r="A133" s="404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15"/>
      <c r="F133" s="401"/>
      <c r="G133" s="15"/>
      <c r="H133" s="401"/>
      <c r="I133" s="15"/>
      <c r="J133" s="401"/>
      <c r="K133" s="15"/>
      <c r="L133" s="401"/>
      <c r="M133" s="15"/>
      <c r="N133" s="401"/>
      <c r="O133" s="15"/>
      <c r="P133" s="401"/>
    </row>
    <row r="134" spans="1:16" ht="16.95" customHeight="1" thickBot="1">
      <c r="A134" s="405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9"/>
      <c r="F134" s="402"/>
      <c r="G134" s="9"/>
      <c r="H134" s="402"/>
      <c r="I134" s="9"/>
      <c r="J134" s="402"/>
      <c r="K134" s="9"/>
      <c r="L134" s="402"/>
      <c r="M134" s="9"/>
      <c r="N134" s="402"/>
      <c r="O134" s="9"/>
      <c r="P134" s="402"/>
    </row>
    <row r="135" spans="1:16" ht="16.95" customHeight="1">
      <c r="A135" s="403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14"/>
      <c r="F135" s="400"/>
      <c r="G135" s="14"/>
      <c r="H135" s="400"/>
      <c r="I135" s="14"/>
      <c r="J135" s="400"/>
      <c r="K135" s="14"/>
      <c r="L135" s="400"/>
      <c r="M135" s="14"/>
      <c r="N135" s="400"/>
      <c r="O135" s="14"/>
      <c r="P135" s="400"/>
    </row>
    <row r="136" spans="1:16" ht="16.95" customHeight="1">
      <c r="A136" s="404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15"/>
      <c r="F136" s="401"/>
      <c r="G136" s="15"/>
      <c r="H136" s="401"/>
      <c r="I136" s="15"/>
      <c r="J136" s="401"/>
      <c r="K136" s="15"/>
      <c r="L136" s="401"/>
      <c r="M136" s="15"/>
      <c r="N136" s="401"/>
      <c r="O136" s="15"/>
      <c r="P136" s="401"/>
    </row>
    <row r="137" spans="1:16" ht="16.95" customHeight="1" thickBot="1">
      <c r="A137" s="405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9"/>
      <c r="F137" s="402"/>
      <c r="G137" s="9"/>
      <c r="H137" s="402"/>
      <c r="I137" s="9"/>
      <c r="J137" s="402"/>
      <c r="K137" s="9"/>
      <c r="L137" s="402"/>
      <c r="M137" s="9"/>
      <c r="N137" s="402"/>
      <c r="O137" s="9"/>
      <c r="P137" s="402"/>
    </row>
    <row r="138" spans="1:16" ht="16.95" customHeight="1">
      <c r="A138" s="403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14"/>
      <c r="F138" s="400"/>
      <c r="G138" s="14"/>
      <c r="H138" s="400"/>
      <c r="I138" s="14"/>
      <c r="J138" s="400"/>
      <c r="K138" s="14"/>
      <c r="L138" s="400"/>
      <c r="M138" s="14"/>
      <c r="N138" s="400"/>
      <c r="O138" s="14"/>
      <c r="P138" s="400"/>
    </row>
    <row r="139" spans="1:16" ht="16.95" customHeight="1">
      <c r="A139" s="404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15"/>
      <c r="F139" s="401"/>
      <c r="G139" s="15"/>
      <c r="H139" s="401"/>
      <c r="I139" s="15"/>
      <c r="J139" s="401"/>
      <c r="K139" s="15"/>
      <c r="L139" s="401"/>
      <c r="M139" s="15"/>
      <c r="N139" s="401"/>
      <c r="O139" s="15"/>
      <c r="P139" s="401"/>
    </row>
    <row r="140" spans="1:16" ht="16.95" customHeight="1" thickBot="1">
      <c r="A140" s="405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9"/>
      <c r="F140" s="402"/>
      <c r="G140" s="9"/>
      <c r="H140" s="402"/>
      <c r="I140" s="9"/>
      <c r="J140" s="402"/>
      <c r="K140" s="9"/>
      <c r="L140" s="402"/>
      <c r="M140" s="9"/>
      <c r="N140" s="402"/>
      <c r="O140" s="9"/>
      <c r="P140" s="402"/>
    </row>
    <row r="141" spans="1:16" ht="27.75" customHeight="1" thickBot="1">
      <c r="B141" s="11"/>
      <c r="C141" s="25"/>
      <c r="D141" s="204"/>
      <c r="E141" s="16"/>
      <c r="F141" s="12"/>
      <c r="G141" s="16"/>
      <c r="H141" s="12"/>
      <c r="I141" s="16"/>
      <c r="J141" s="12"/>
      <c r="K141" s="16"/>
      <c r="L141" s="12"/>
      <c r="M141" s="16"/>
      <c r="N141" s="12"/>
      <c r="O141" s="16"/>
      <c r="P141" s="12"/>
    </row>
    <row r="142" spans="1:16" ht="24" customHeight="1" thickBot="1">
      <c r="B142" s="8"/>
      <c r="C142" s="1"/>
      <c r="D142" s="1"/>
      <c r="E142" s="1"/>
      <c r="F142" s="23"/>
      <c r="G142" s="1"/>
      <c r="H142" s="23"/>
      <c r="I142" s="1"/>
      <c r="J142" s="23"/>
      <c r="K142" s="1"/>
      <c r="L142" s="23"/>
      <c r="M142" s="1"/>
      <c r="N142" s="23"/>
      <c r="O142" s="1"/>
      <c r="P142" s="23"/>
    </row>
    <row r="143" spans="1:16" ht="11.25" customHeight="1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>
      <c r="B144" s="211" t="s">
        <v>1790</v>
      </c>
      <c r="C144" s="210"/>
      <c r="D144" s="42"/>
      <c r="E144" s="398">
        <f>VLOOKUP(B127,Schlüssel!$A$5:$K$12,3)</f>
        <v>5</v>
      </c>
      <c r="F144" s="398"/>
      <c r="G144" s="398">
        <f>VLOOKUP(B127,Schlüssel!$A$5:$K$12,4)</f>
        <v>8</v>
      </c>
      <c r="H144" s="398"/>
      <c r="I144" s="398">
        <f>VLOOKUP(B127,Schlüssel!$A$5:$K$12,5)</f>
        <v>2</v>
      </c>
      <c r="J144" s="398"/>
      <c r="K144" s="398">
        <f>VLOOKUP(B127,Schlüssel!$A$5:$K$12,6)</f>
        <v>3</v>
      </c>
      <c r="L144" s="398"/>
      <c r="M144" s="398">
        <f>VLOOKUP(B127,Schlüssel!$A$5:$K$12,7)</f>
        <v>4</v>
      </c>
      <c r="N144" s="398"/>
      <c r="O144" s="399"/>
      <c r="P144" s="399"/>
    </row>
    <row r="145" spans="1:30" ht="28.5" customHeight="1">
      <c r="B145" s="4"/>
      <c r="C145" s="1"/>
      <c r="D145" s="1"/>
      <c r="E145" s="395" t="str">
        <f>VLOOKUP(E144,Schlüssel!$A$5:$K$12,2)</f>
        <v>Berchtesgaden 1</v>
      </c>
      <c r="F145" s="396"/>
      <c r="G145" s="395" t="str">
        <f>VLOOKUP(G144,Schlüssel!$A$5:$K$12,2)</f>
        <v>EMAX 1</v>
      </c>
      <c r="H145" s="396"/>
      <c r="I145" s="395" t="str">
        <f>VLOOKUP(I144,Schlüssel!$A$5:$K$12,2)</f>
        <v>Highroller Rosenheim 1</v>
      </c>
      <c r="J145" s="396"/>
      <c r="K145" s="395" t="str">
        <f>VLOOKUP(K144,Schlüssel!$A$5:$K$12,2)</f>
        <v>Highroller Rosenheim 2</v>
      </c>
      <c r="L145" s="396"/>
      <c r="M145" s="395" t="str">
        <f>VLOOKUP(M144,Schlüssel!$A$5:$K$12,2)</f>
        <v>Highroller Rosenheim 3</v>
      </c>
      <c r="N145" s="396"/>
      <c r="O145" s="397"/>
      <c r="P145" s="397"/>
    </row>
    <row r="146" spans="1:30" ht="12" customHeight="1">
      <c r="B146" s="4"/>
      <c r="C146" s="1"/>
      <c r="D146" s="1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53"/>
      <c r="P146" s="353"/>
    </row>
    <row r="147" spans="1:30" ht="16.2" customHeight="1">
      <c r="B147" s="39" t="s">
        <v>2266</v>
      </c>
      <c r="C147" s="209"/>
      <c r="D147" s="40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3"/>
      <c r="P147" s="393"/>
    </row>
    <row r="148" spans="1:30" ht="16.2" customHeight="1">
      <c r="B148" s="39" t="s">
        <v>2267</v>
      </c>
      <c r="C148" s="209"/>
      <c r="D148" s="40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3"/>
      <c r="P148" s="393"/>
    </row>
    <row r="149" spans="1:30" ht="16.2" customHeight="1">
      <c r="B149" s="39" t="s">
        <v>2268</v>
      </c>
      <c r="C149" s="209"/>
      <c r="D149" s="40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3"/>
      <c r="P149" s="393"/>
    </row>
    <row r="150" spans="1:30" ht="16.2" customHeight="1">
      <c r="B150" s="41" t="s">
        <v>1792</v>
      </c>
      <c r="C150" s="210"/>
      <c r="D150" s="42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41"/>
      <c r="P150" s="341"/>
    </row>
    <row r="151" spans="1:30" ht="21" customHeight="1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6">
        <f>Schlüssel!$M$1</f>
        <v>45211</v>
      </c>
      <c r="N151" s="406"/>
      <c r="O151" s="406"/>
      <c r="AD151" s="76"/>
    </row>
    <row r="152" spans="1:30" ht="17.25" customHeight="1" thickBot="1">
      <c r="A152" s="53"/>
      <c r="B152" s="54">
        <f>+B127+1</f>
        <v>7</v>
      </c>
      <c r="C152" s="35" t="s">
        <v>1787</v>
      </c>
      <c r="D152" s="35"/>
      <c r="E152" s="72" t="str">
        <f>Schlüssel!$C$2</f>
        <v>Brunnthal Max Munich</v>
      </c>
      <c r="G152" s="66"/>
      <c r="H152" s="66"/>
      <c r="I152" s="66"/>
      <c r="J152" s="66"/>
      <c r="L152" s="66"/>
      <c r="M152" s="34" t="s">
        <v>1785</v>
      </c>
      <c r="N152" s="38">
        <v>1</v>
      </c>
      <c r="O152" s="33"/>
      <c r="AD152" s="77"/>
    </row>
    <row r="153" spans="1:30" ht="15.75" customHeight="1" thickBot="1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3.8" thickBot="1">
      <c r="A154" s="6"/>
      <c r="B154" s="7"/>
      <c r="C154" s="43"/>
      <c r="D154" s="43"/>
      <c r="E154" s="47" t="s">
        <v>10</v>
      </c>
      <c r="F154" s="7">
        <f>VLOOKUP(B152,Schlüssel!$A$5:$DZ$12,13)</f>
        <v>15</v>
      </c>
      <c r="G154" s="51" t="s">
        <v>10</v>
      </c>
      <c r="H154" s="7">
        <f>VLOOKUP(B152,Schlüssel!$A$5:$DZ$12,14)</f>
        <v>12</v>
      </c>
      <c r="I154" s="51" t="s">
        <v>10</v>
      </c>
      <c r="J154" s="7">
        <f>VLOOKUP(B152,Schlüssel!$A$5:$DZ$12,15)</f>
        <v>13</v>
      </c>
      <c r="K154" s="51" t="s">
        <v>10</v>
      </c>
      <c r="L154" s="7">
        <f>VLOOKUP(B152,Schlüssel!$A$5:$DZ$12,16)</f>
        <v>11</v>
      </c>
      <c r="M154" s="51" t="s">
        <v>10</v>
      </c>
      <c r="N154" s="57">
        <f>VLOOKUP(B152,Schlüssel!$A$5:$DZ$12,17)</f>
        <v>9</v>
      </c>
    </row>
    <row r="155" spans="1:30" ht="20.25" customHeight="1">
      <c r="B155" s="44" t="s">
        <v>1</v>
      </c>
      <c r="C155" s="45"/>
      <c r="D155" s="45"/>
      <c r="E155" s="407" t="s">
        <v>1793</v>
      </c>
      <c r="F155" s="408"/>
      <c r="G155" s="407" t="s">
        <v>1794</v>
      </c>
      <c r="H155" s="408"/>
      <c r="I155" s="407" t="s">
        <v>1795</v>
      </c>
      <c r="J155" s="408"/>
      <c r="K155" s="407" t="s">
        <v>1796</v>
      </c>
      <c r="L155" s="408"/>
      <c r="M155" s="407" t="s">
        <v>1797</v>
      </c>
      <c r="N155" s="408"/>
      <c r="O155" s="409" t="s">
        <v>1792</v>
      </c>
      <c r="P155" s="410"/>
    </row>
    <row r="156" spans="1:30" ht="15" customHeight="1" thickBot="1">
      <c r="B156" s="9" t="s">
        <v>1798</v>
      </c>
      <c r="C156" s="48" t="s">
        <v>1799</v>
      </c>
      <c r="D156" s="48" t="s">
        <v>2264</v>
      </c>
      <c r="E156" s="49" t="s">
        <v>1800</v>
      </c>
      <c r="F156" s="49" t="s">
        <v>1801</v>
      </c>
      <c r="G156" s="49" t="s">
        <v>1800</v>
      </c>
      <c r="H156" s="49" t="s">
        <v>1801</v>
      </c>
      <c r="I156" s="49" t="s">
        <v>1800</v>
      </c>
      <c r="J156" s="49" t="s">
        <v>1801</v>
      </c>
      <c r="K156" s="49" t="s">
        <v>1800</v>
      </c>
      <c r="L156" s="49" t="s">
        <v>1801</v>
      </c>
      <c r="M156" s="49" t="s">
        <v>1800</v>
      </c>
      <c r="N156" s="49" t="s">
        <v>1801</v>
      </c>
      <c r="O156" s="49" t="s">
        <v>1800</v>
      </c>
      <c r="P156" s="10" t="s">
        <v>1801</v>
      </c>
    </row>
    <row r="157" spans="1:30" ht="16.95" customHeight="1">
      <c r="A157" s="403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14"/>
      <c r="F157" s="400"/>
      <c r="G157" s="14"/>
      <c r="H157" s="400"/>
      <c r="I157" s="14"/>
      <c r="J157" s="400"/>
      <c r="K157" s="14"/>
      <c r="L157" s="400"/>
      <c r="M157" s="14"/>
      <c r="N157" s="400"/>
      <c r="O157" s="14"/>
      <c r="P157" s="400"/>
    </row>
    <row r="158" spans="1:30" ht="16.95" customHeight="1">
      <c r="A158" s="404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15"/>
      <c r="F158" s="401"/>
      <c r="G158" s="15"/>
      <c r="H158" s="401"/>
      <c r="I158" s="15"/>
      <c r="J158" s="401"/>
      <c r="K158" s="15"/>
      <c r="L158" s="401"/>
      <c r="M158" s="15"/>
      <c r="N158" s="401"/>
      <c r="O158" s="15"/>
      <c r="P158" s="401"/>
    </row>
    <row r="159" spans="1:30" ht="16.95" customHeight="1" thickBot="1">
      <c r="A159" s="405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9"/>
      <c r="F159" s="402"/>
      <c r="G159" s="9"/>
      <c r="H159" s="402"/>
      <c r="I159" s="9"/>
      <c r="J159" s="402"/>
      <c r="K159" s="9"/>
      <c r="L159" s="402"/>
      <c r="M159" s="9"/>
      <c r="N159" s="402"/>
      <c r="O159" s="9"/>
      <c r="P159" s="402"/>
    </row>
    <row r="160" spans="1:30" ht="16.95" customHeight="1">
      <c r="A160" s="403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14"/>
      <c r="F160" s="400"/>
      <c r="G160" s="14"/>
      <c r="H160" s="400"/>
      <c r="I160" s="14"/>
      <c r="J160" s="400"/>
      <c r="K160" s="14"/>
      <c r="L160" s="400"/>
      <c r="M160" s="14"/>
      <c r="N160" s="400"/>
      <c r="O160" s="14"/>
      <c r="P160" s="400"/>
    </row>
    <row r="161" spans="1:30" ht="16.95" customHeight="1">
      <c r="A161" s="404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15"/>
      <c r="F161" s="401"/>
      <c r="G161" s="15"/>
      <c r="H161" s="401"/>
      <c r="I161" s="15"/>
      <c r="J161" s="401"/>
      <c r="K161" s="15"/>
      <c r="L161" s="401"/>
      <c r="M161" s="15"/>
      <c r="N161" s="401"/>
      <c r="O161" s="15"/>
      <c r="P161" s="401"/>
    </row>
    <row r="162" spans="1:30" ht="16.95" customHeight="1" thickBot="1">
      <c r="A162" s="405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9"/>
      <c r="F162" s="402"/>
      <c r="G162" s="9"/>
      <c r="H162" s="402"/>
      <c r="I162" s="9"/>
      <c r="J162" s="402"/>
      <c r="K162" s="9"/>
      <c r="L162" s="402"/>
      <c r="M162" s="9"/>
      <c r="N162" s="402"/>
      <c r="O162" s="9"/>
      <c r="P162" s="402"/>
    </row>
    <row r="163" spans="1:30" ht="16.95" customHeight="1">
      <c r="A163" s="403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14"/>
      <c r="F163" s="400"/>
      <c r="G163" s="14"/>
      <c r="H163" s="400"/>
      <c r="I163" s="14"/>
      <c r="J163" s="400"/>
      <c r="K163" s="14"/>
      <c r="L163" s="400"/>
      <c r="M163" s="14"/>
      <c r="N163" s="400"/>
      <c r="O163" s="14"/>
      <c r="P163" s="400"/>
    </row>
    <row r="164" spans="1:30" ht="16.95" customHeight="1">
      <c r="A164" s="404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15"/>
      <c r="F164" s="401"/>
      <c r="G164" s="15"/>
      <c r="H164" s="401"/>
      <c r="I164" s="15"/>
      <c r="J164" s="401"/>
      <c r="K164" s="15"/>
      <c r="L164" s="401"/>
      <c r="M164" s="15"/>
      <c r="N164" s="401"/>
      <c r="O164" s="15"/>
      <c r="P164" s="401"/>
    </row>
    <row r="165" spans="1:30" ht="16.95" customHeight="1" thickBot="1">
      <c r="A165" s="405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9"/>
      <c r="F165" s="402"/>
      <c r="G165" s="9"/>
      <c r="H165" s="402"/>
      <c r="I165" s="9"/>
      <c r="J165" s="402"/>
      <c r="K165" s="9"/>
      <c r="L165" s="402"/>
      <c r="M165" s="9"/>
      <c r="N165" s="402"/>
      <c r="O165" s="9"/>
      <c r="P165" s="402"/>
    </row>
    <row r="166" spans="1:30" ht="27.75" customHeight="1" thickBot="1">
      <c r="B166" s="11"/>
      <c r="C166" s="25"/>
      <c r="D166" s="204"/>
      <c r="E166" s="16"/>
      <c r="F166" s="12"/>
      <c r="G166" s="16"/>
      <c r="H166" s="12"/>
      <c r="I166" s="16"/>
      <c r="J166" s="12"/>
      <c r="K166" s="16"/>
      <c r="L166" s="12"/>
      <c r="M166" s="16"/>
      <c r="N166" s="12"/>
      <c r="O166" s="16"/>
      <c r="P166" s="12"/>
    </row>
    <row r="167" spans="1:30" ht="24" customHeight="1" thickBot="1">
      <c r="B167" s="8"/>
      <c r="C167" s="1"/>
      <c r="D167" s="1"/>
      <c r="E167" s="1"/>
      <c r="F167" s="23"/>
      <c r="G167" s="1"/>
      <c r="H167" s="23"/>
      <c r="I167" s="1"/>
      <c r="J167" s="23"/>
      <c r="K167" s="1"/>
      <c r="L167" s="23"/>
      <c r="M167" s="1"/>
      <c r="N167" s="23"/>
      <c r="O167" s="1"/>
      <c r="P167" s="23"/>
    </row>
    <row r="168" spans="1:30" ht="11.25" customHeight="1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>
      <c r="B169" s="211" t="s">
        <v>1790</v>
      </c>
      <c r="C169" s="210"/>
      <c r="D169" s="42"/>
      <c r="E169" s="398">
        <f>VLOOKUP(B152,Schlüssel!$A$5:$K$12,3)</f>
        <v>8</v>
      </c>
      <c r="F169" s="398"/>
      <c r="G169" s="398">
        <f>VLOOKUP(B152,Schlüssel!$A$5:$K$12,4)</f>
        <v>5</v>
      </c>
      <c r="H169" s="398"/>
      <c r="I169" s="398">
        <f>VLOOKUP(B152,Schlüssel!$A$5:$K$12,5)</f>
        <v>3</v>
      </c>
      <c r="J169" s="398"/>
      <c r="K169" s="398">
        <f>VLOOKUP(B152,Schlüssel!$A$5:$K$12,6)</f>
        <v>2</v>
      </c>
      <c r="L169" s="398"/>
      <c r="M169" s="398">
        <f>VLOOKUP(B152,Schlüssel!$A$5:$K$12,7)</f>
        <v>1</v>
      </c>
      <c r="N169" s="398"/>
      <c r="O169" s="399"/>
      <c r="P169" s="399"/>
    </row>
    <row r="170" spans="1:30" ht="28.5" customHeight="1">
      <c r="B170" s="4"/>
      <c r="C170" s="1"/>
      <c r="D170" s="1"/>
      <c r="E170" s="395" t="str">
        <f>VLOOKUP(E169,Schlüssel!$A$5:$K$12,2)</f>
        <v>EMAX 1</v>
      </c>
      <c r="F170" s="396"/>
      <c r="G170" s="395" t="str">
        <f>VLOOKUP(G169,Schlüssel!$A$5:$K$12,2)</f>
        <v>Berchtesgaden 1</v>
      </c>
      <c r="H170" s="396"/>
      <c r="I170" s="395" t="str">
        <f>VLOOKUP(I169,Schlüssel!$A$5:$K$12,2)</f>
        <v>Highroller Rosenheim 2</v>
      </c>
      <c r="J170" s="396"/>
      <c r="K170" s="395" t="str">
        <f>VLOOKUP(K169,Schlüssel!$A$5:$K$12,2)</f>
        <v>Highroller Rosenheim 1</v>
      </c>
      <c r="L170" s="396"/>
      <c r="M170" s="395" t="str">
        <f>VLOOKUP(M169,Schlüssel!$A$5:$K$12,2)</f>
        <v>Bad Tölz 1</v>
      </c>
      <c r="N170" s="396"/>
      <c r="O170" s="397"/>
      <c r="P170" s="397"/>
    </row>
    <row r="171" spans="1:30" ht="12" customHeight="1">
      <c r="B171" s="4"/>
      <c r="C171" s="1"/>
      <c r="D171" s="1"/>
      <c r="E171" s="394"/>
      <c r="F171" s="394"/>
      <c r="G171" s="394"/>
      <c r="H171" s="394"/>
      <c r="I171" s="394"/>
      <c r="J171" s="394"/>
      <c r="K171" s="394"/>
      <c r="L171" s="394"/>
      <c r="M171" s="394"/>
      <c r="N171" s="394"/>
      <c r="O171" s="353"/>
      <c r="P171" s="353"/>
    </row>
    <row r="172" spans="1:30" ht="16.2" customHeight="1">
      <c r="B172" s="39" t="s">
        <v>2266</v>
      </c>
      <c r="C172" s="209"/>
      <c r="D172" s="40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/>
      <c r="O172" s="393"/>
      <c r="P172" s="393"/>
    </row>
    <row r="173" spans="1:30" ht="16.2" customHeight="1">
      <c r="B173" s="39" t="s">
        <v>2267</v>
      </c>
      <c r="C173" s="209"/>
      <c r="D173" s="40"/>
      <c r="E173" s="392"/>
      <c r="F173" s="392"/>
      <c r="G173" s="392"/>
      <c r="H173" s="392"/>
      <c r="I173" s="392"/>
      <c r="J173" s="392"/>
      <c r="K173" s="392"/>
      <c r="L173" s="392"/>
      <c r="M173" s="392"/>
      <c r="N173" s="392"/>
      <c r="O173" s="393"/>
      <c r="P173" s="393"/>
    </row>
    <row r="174" spans="1:30" ht="16.2" customHeight="1">
      <c r="B174" s="39" t="s">
        <v>2268</v>
      </c>
      <c r="C174" s="209"/>
      <c r="D174" s="40"/>
      <c r="E174" s="392"/>
      <c r="F174" s="392"/>
      <c r="G174" s="392"/>
      <c r="H174" s="392"/>
      <c r="I174" s="392"/>
      <c r="J174" s="392"/>
      <c r="K174" s="392"/>
      <c r="L174" s="392"/>
      <c r="M174" s="392"/>
      <c r="N174" s="392"/>
      <c r="O174" s="393"/>
      <c r="P174" s="393"/>
    </row>
    <row r="175" spans="1:30" ht="16.2" customHeight="1">
      <c r="B175" s="41" t="s">
        <v>1792</v>
      </c>
      <c r="C175" s="210"/>
      <c r="D175" s="42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41"/>
      <c r="P175" s="341"/>
    </row>
    <row r="176" spans="1:30" ht="21" customHeight="1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6">
        <f>Schlüssel!$M$1</f>
        <v>45211</v>
      </c>
      <c r="N176" s="406"/>
      <c r="O176" s="406"/>
      <c r="AD176" s="76"/>
    </row>
    <row r="177" spans="1:30" ht="17.25" customHeight="1" thickBot="1">
      <c r="A177" s="53"/>
      <c r="B177" s="54">
        <f>+B152+1</f>
        <v>8</v>
      </c>
      <c r="C177" s="35" t="s">
        <v>1787</v>
      </c>
      <c r="D177" s="35"/>
      <c r="E177" s="72" t="str">
        <f>Schlüssel!$C$2</f>
        <v>Brunnthal Max Munich</v>
      </c>
      <c r="G177" s="66"/>
      <c r="H177" s="66"/>
      <c r="I177" s="66"/>
      <c r="J177" s="66"/>
      <c r="L177" s="66"/>
      <c r="M177" s="34" t="s">
        <v>1785</v>
      </c>
      <c r="N177" s="38">
        <v>1</v>
      </c>
      <c r="O177" s="33"/>
      <c r="AD177" s="77"/>
    </row>
    <row r="178" spans="1:30" ht="15.75" customHeight="1" thickBot="1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3.8" thickBot="1">
      <c r="A179" s="6"/>
      <c r="B179" s="7"/>
      <c r="C179" s="43"/>
      <c r="D179" s="43"/>
      <c r="E179" s="47" t="s">
        <v>10</v>
      </c>
      <c r="F179" s="7">
        <f>VLOOKUP(B177,Schlüssel!$A$5:$DZ$12,13)</f>
        <v>16</v>
      </c>
      <c r="G179" s="51" t="s">
        <v>10</v>
      </c>
      <c r="H179" s="7">
        <f>VLOOKUP(B177,Schlüssel!$A$5:$DZ$12,14)</f>
        <v>10</v>
      </c>
      <c r="I179" s="51" t="s">
        <v>10</v>
      </c>
      <c r="J179" s="7">
        <f>VLOOKUP(B177,Schlüssel!$A$5:$DZ$12,15)</f>
        <v>12</v>
      </c>
      <c r="K179" s="51" t="s">
        <v>10</v>
      </c>
      <c r="L179" s="7">
        <f>VLOOKUP(B177,Schlüssel!$A$5:$DZ$12,16)</f>
        <v>15</v>
      </c>
      <c r="M179" s="51" t="s">
        <v>10</v>
      </c>
      <c r="N179" s="57">
        <f>VLOOKUP(B177,Schlüssel!$A$5:$DZ$12,17)</f>
        <v>14</v>
      </c>
    </row>
    <row r="180" spans="1:30" ht="20.25" customHeight="1">
      <c r="B180" s="44" t="s">
        <v>1</v>
      </c>
      <c r="C180" s="45"/>
      <c r="D180" s="45"/>
      <c r="E180" s="407" t="s">
        <v>1793</v>
      </c>
      <c r="F180" s="408"/>
      <c r="G180" s="407" t="s">
        <v>1794</v>
      </c>
      <c r="H180" s="408"/>
      <c r="I180" s="407" t="s">
        <v>1795</v>
      </c>
      <c r="J180" s="408"/>
      <c r="K180" s="407" t="s">
        <v>1796</v>
      </c>
      <c r="L180" s="408"/>
      <c r="M180" s="407" t="s">
        <v>1797</v>
      </c>
      <c r="N180" s="408"/>
      <c r="O180" s="409" t="s">
        <v>1792</v>
      </c>
      <c r="P180" s="410"/>
    </row>
    <row r="181" spans="1:30" ht="15" customHeight="1" thickBot="1">
      <c r="B181" s="9" t="s">
        <v>1798</v>
      </c>
      <c r="C181" s="48" t="s">
        <v>1799</v>
      </c>
      <c r="D181" s="48" t="s">
        <v>2264</v>
      </c>
      <c r="E181" s="49" t="s">
        <v>1800</v>
      </c>
      <c r="F181" s="49" t="s">
        <v>1801</v>
      </c>
      <c r="G181" s="49" t="s">
        <v>1800</v>
      </c>
      <c r="H181" s="49" t="s">
        <v>1801</v>
      </c>
      <c r="I181" s="49" t="s">
        <v>1800</v>
      </c>
      <c r="J181" s="49" t="s">
        <v>1801</v>
      </c>
      <c r="K181" s="49" t="s">
        <v>1800</v>
      </c>
      <c r="L181" s="49" t="s">
        <v>1801</v>
      </c>
      <c r="M181" s="49" t="s">
        <v>1800</v>
      </c>
      <c r="N181" s="49" t="s">
        <v>1801</v>
      </c>
      <c r="O181" s="49" t="s">
        <v>1800</v>
      </c>
      <c r="P181" s="10" t="s">
        <v>1801</v>
      </c>
    </row>
    <row r="182" spans="1:30" ht="16.95" customHeight="1">
      <c r="A182" s="403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14"/>
      <c r="F182" s="400"/>
      <c r="G182" s="14"/>
      <c r="H182" s="400"/>
      <c r="I182" s="14"/>
      <c r="J182" s="400"/>
      <c r="K182" s="14"/>
      <c r="L182" s="400"/>
      <c r="M182" s="14"/>
      <c r="N182" s="400"/>
      <c r="O182" s="14"/>
      <c r="P182" s="400"/>
    </row>
    <row r="183" spans="1:30" ht="16.95" customHeight="1">
      <c r="A183" s="404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15"/>
      <c r="F183" s="401"/>
      <c r="G183" s="15"/>
      <c r="H183" s="401"/>
      <c r="I183" s="15"/>
      <c r="J183" s="401"/>
      <c r="K183" s="15"/>
      <c r="L183" s="401"/>
      <c r="M183" s="15"/>
      <c r="N183" s="401"/>
      <c r="O183" s="15"/>
      <c r="P183" s="401"/>
    </row>
    <row r="184" spans="1:30" ht="16.95" customHeight="1" thickBot="1">
      <c r="A184" s="405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9"/>
      <c r="F184" s="402"/>
      <c r="G184" s="9"/>
      <c r="H184" s="402"/>
      <c r="I184" s="9"/>
      <c r="J184" s="402"/>
      <c r="K184" s="9"/>
      <c r="L184" s="402"/>
      <c r="M184" s="9"/>
      <c r="N184" s="402"/>
      <c r="O184" s="9"/>
      <c r="P184" s="402"/>
    </row>
    <row r="185" spans="1:30" ht="16.95" customHeight="1">
      <c r="A185" s="403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14"/>
      <c r="F185" s="400"/>
      <c r="G185" s="14"/>
      <c r="H185" s="400"/>
      <c r="I185" s="14"/>
      <c r="J185" s="400"/>
      <c r="K185" s="14"/>
      <c r="L185" s="400"/>
      <c r="M185" s="14"/>
      <c r="N185" s="400"/>
      <c r="O185" s="14"/>
      <c r="P185" s="400"/>
    </row>
    <row r="186" spans="1:30" ht="16.95" customHeight="1">
      <c r="A186" s="404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15"/>
      <c r="F186" s="401"/>
      <c r="G186" s="15"/>
      <c r="H186" s="401"/>
      <c r="I186" s="15"/>
      <c r="J186" s="401"/>
      <c r="K186" s="15"/>
      <c r="L186" s="401"/>
      <c r="M186" s="15"/>
      <c r="N186" s="401"/>
      <c r="O186" s="15"/>
      <c r="P186" s="401"/>
    </row>
    <row r="187" spans="1:30" ht="16.95" customHeight="1" thickBot="1">
      <c r="A187" s="405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9"/>
      <c r="F187" s="402"/>
      <c r="G187" s="9"/>
      <c r="H187" s="402"/>
      <c r="I187" s="9"/>
      <c r="J187" s="402"/>
      <c r="K187" s="9"/>
      <c r="L187" s="402"/>
      <c r="M187" s="9"/>
      <c r="N187" s="402"/>
      <c r="O187" s="9"/>
      <c r="P187" s="402"/>
    </row>
    <row r="188" spans="1:30" ht="16.95" customHeight="1">
      <c r="A188" s="403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14"/>
      <c r="F188" s="400"/>
      <c r="G188" s="14"/>
      <c r="H188" s="400"/>
      <c r="I188" s="14"/>
      <c r="J188" s="400"/>
      <c r="K188" s="14"/>
      <c r="L188" s="400"/>
      <c r="M188" s="14"/>
      <c r="N188" s="400"/>
      <c r="O188" s="14"/>
      <c r="P188" s="400"/>
    </row>
    <row r="189" spans="1:30" ht="16.95" customHeight="1">
      <c r="A189" s="404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15"/>
      <c r="F189" s="401"/>
      <c r="G189" s="15"/>
      <c r="H189" s="401"/>
      <c r="I189" s="15"/>
      <c r="J189" s="401"/>
      <c r="K189" s="15"/>
      <c r="L189" s="401"/>
      <c r="M189" s="15"/>
      <c r="N189" s="401"/>
      <c r="O189" s="15"/>
      <c r="P189" s="401"/>
    </row>
    <row r="190" spans="1:30" ht="16.95" customHeight="1" thickBot="1">
      <c r="A190" s="405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9"/>
      <c r="F190" s="402"/>
      <c r="G190" s="9"/>
      <c r="H190" s="402"/>
      <c r="I190" s="9"/>
      <c r="J190" s="402"/>
      <c r="K190" s="9"/>
      <c r="L190" s="402"/>
      <c r="M190" s="9"/>
      <c r="N190" s="402"/>
      <c r="O190" s="9"/>
      <c r="P190" s="402"/>
    </row>
    <row r="191" spans="1:30" ht="27.75" customHeight="1" thickBot="1">
      <c r="B191" s="11"/>
      <c r="C191" s="25"/>
      <c r="D191" s="204"/>
      <c r="E191" s="16"/>
      <c r="F191" s="12"/>
      <c r="G191" s="16"/>
      <c r="H191" s="12"/>
      <c r="I191" s="16"/>
      <c r="J191" s="12"/>
      <c r="K191" s="16"/>
      <c r="L191" s="12"/>
      <c r="M191" s="16"/>
      <c r="N191" s="12"/>
      <c r="O191" s="16"/>
      <c r="P191" s="12"/>
    </row>
    <row r="192" spans="1:30" ht="24" customHeight="1" thickBot="1">
      <c r="B192" s="8"/>
      <c r="C192" s="1"/>
      <c r="D192" s="1"/>
      <c r="E192" s="1"/>
      <c r="F192" s="23"/>
      <c r="G192" s="1"/>
      <c r="H192" s="23"/>
      <c r="I192" s="1"/>
      <c r="J192" s="23"/>
      <c r="K192" s="1"/>
      <c r="L192" s="23"/>
      <c r="M192" s="1"/>
      <c r="N192" s="23"/>
      <c r="O192" s="1"/>
      <c r="P192" s="23"/>
    </row>
    <row r="193" spans="2:16" ht="11.25" customHeight="1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>
      <c r="B194" s="211" t="s">
        <v>1790</v>
      </c>
      <c r="C194" s="210"/>
      <c r="D194" s="42"/>
      <c r="E194" s="398">
        <f>VLOOKUP(B177,Schlüssel!$A$5:$K$12,3)</f>
        <v>7</v>
      </c>
      <c r="F194" s="398"/>
      <c r="G194" s="398">
        <f>VLOOKUP(B177,Schlüssel!$A$5:$K$12,4)</f>
        <v>6</v>
      </c>
      <c r="H194" s="398"/>
      <c r="I194" s="398">
        <f>VLOOKUP(B177,Schlüssel!$A$5:$K$12,5)</f>
        <v>1</v>
      </c>
      <c r="J194" s="398"/>
      <c r="K194" s="398">
        <f>VLOOKUP(B177,Schlüssel!$A$5:$K$12,6)</f>
        <v>4</v>
      </c>
      <c r="L194" s="398"/>
      <c r="M194" s="398">
        <f>VLOOKUP(B177,Schlüssel!$A$5:$K$12,7)</f>
        <v>3</v>
      </c>
      <c r="N194" s="398"/>
      <c r="O194" s="399"/>
      <c r="P194" s="399"/>
    </row>
    <row r="195" spans="2:16" ht="28.5" customHeight="1">
      <c r="B195" s="4"/>
      <c r="C195" s="1"/>
      <c r="D195" s="1"/>
      <c r="E195" s="395" t="str">
        <f>VLOOKUP(E194,Schlüssel!$A$5:$K$12,2)</f>
        <v>BK München 1</v>
      </c>
      <c r="F195" s="396"/>
      <c r="G195" s="395" t="str">
        <f>VLOOKUP(G194,Schlüssel!$A$5:$K$12,2)</f>
        <v>Bowling Jugend Bayern 1</v>
      </c>
      <c r="H195" s="396"/>
      <c r="I195" s="395" t="str">
        <f>VLOOKUP(I194,Schlüssel!$A$5:$K$12,2)</f>
        <v>Bad Tölz 1</v>
      </c>
      <c r="J195" s="396"/>
      <c r="K195" s="395" t="str">
        <f>VLOOKUP(K194,Schlüssel!$A$5:$K$12,2)</f>
        <v>Highroller Rosenheim 3</v>
      </c>
      <c r="L195" s="396"/>
      <c r="M195" s="395" t="str">
        <f>VLOOKUP(M194,Schlüssel!$A$5:$K$12,2)</f>
        <v>Highroller Rosenheim 2</v>
      </c>
      <c r="N195" s="396"/>
      <c r="O195" s="397"/>
      <c r="P195" s="397"/>
    </row>
    <row r="196" spans="2:16" ht="12" customHeight="1">
      <c r="B196" s="4"/>
      <c r="C196" s="1"/>
      <c r="D196" s="1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53"/>
      <c r="P196" s="353"/>
    </row>
    <row r="197" spans="2:16" ht="16.2" customHeight="1">
      <c r="B197" s="39" t="s">
        <v>2266</v>
      </c>
      <c r="C197" s="209"/>
      <c r="D197" s="40"/>
      <c r="E197" s="392"/>
      <c r="F197" s="392"/>
      <c r="G197" s="392"/>
      <c r="H197" s="392"/>
      <c r="I197" s="392"/>
      <c r="J197" s="392"/>
      <c r="K197" s="392"/>
      <c r="L197" s="392"/>
      <c r="M197" s="392"/>
      <c r="N197" s="392"/>
      <c r="O197" s="393"/>
      <c r="P197" s="393"/>
    </row>
    <row r="198" spans="2:16" ht="16.2" customHeight="1">
      <c r="B198" s="39" t="s">
        <v>2267</v>
      </c>
      <c r="C198" s="209"/>
      <c r="D198" s="40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/>
      <c r="O198" s="393"/>
      <c r="P198" s="393"/>
    </row>
    <row r="199" spans="2:16" ht="16.2" customHeight="1">
      <c r="B199" s="39" t="s">
        <v>2268</v>
      </c>
      <c r="C199" s="209"/>
      <c r="D199" s="40"/>
      <c r="E199" s="392"/>
      <c r="F199" s="392"/>
      <c r="G199" s="392"/>
      <c r="H199" s="392"/>
      <c r="I199" s="392"/>
      <c r="J199" s="392"/>
      <c r="K199" s="392"/>
      <c r="L199" s="392"/>
      <c r="M199" s="392"/>
      <c r="N199" s="392"/>
      <c r="O199" s="393"/>
      <c r="P199" s="393"/>
    </row>
    <row r="200" spans="2:16" ht="16.2" customHeight="1">
      <c r="B200" s="41" t="s">
        <v>1792</v>
      </c>
      <c r="C200" s="210"/>
      <c r="D200" s="42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41"/>
      <c r="P200" s="341"/>
    </row>
  </sheetData>
  <sheetProtection password="D19C" sheet="1" objects="1" scenarios="1" formatCells="0" formatColumns="0" formatRows="0"/>
  <mergeCells count="559">
    <mergeCell ref="E200:F200"/>
    <mergeCell ref="G200:H200"/>
    <mergeCell ref="I200:J200"/>
    <mergeCell ref="K200:L200"/>
    <mergeCell ref="M200:N200"/>
    <mergeCell ref="O200:P200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A185:A187"/>
    <mergeCell ref="F185:F187"/>
    <mergeCell ref="H185:H187"/>
    <mergeCell ref="J185:J187"/>
    <mergeCell ref="L185:L187"/>
    <mergeCell ref="N185:N187"/>
    <mergeCell ref="P185:P187"/>
    <mergeCell ref="A188:A190"/>
    <mergeCell ref="F188:F190"/>
    <mergeCell ref="H188:H190"/>
    <mergeCell ref="J188:J190"/>
    <mergeCell ref="L188:L190"/>
    <mergeCell ref="N188:N190"/>
    <mergeCell ref="P188:P190"/>
    <mergeCell ref="M176:O176"/>
    <mergeCell ref="E180:F180"/>
    <mergeCell ref="G180:H180"/>
    <mergeCell ref="I180:J180"/>
    <mergeCell ref="K180:L180"/>
    <mergeCell ref="M180:N180"/>
    <mergeCell ref="O180:P180"/>
    <mergeCell ref="A182:A184"/>
    <mergeCell ref="F182:F184"/>
    <mergeCell ref="H182:H184"/>
    <mergeCell ref="J182:J184"/>
    <mergeCell ref="L182:L184"/>
    <mergeCell ref="N182:N184"/>
    <mergeCell ref="P182:P184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A163:A165"/>
    <mergeCell ref="F163:F165"/>
    <mergeCell ref="H163:H165"/>
    <mergeCell ref="J163:J165"/>
    <mergeCell ref="L163:L165"/>
    <mergeCell ref="N163:N165"/>
    <mergeCell ref="P163:P165"/>
    <mergeCell ref="E169:F169"/>
    <mergeCell ref="G169:H169"/>
    <mergeCell ref="I169:J169"/>
    <mergeCell ref="K169:L169"/>
    <mergeCell ref="M169:N169"/>
    <mergeCell ref="O169:P169"/>
    <mergeCell ref="A157:A159"/>
    <mergeCell ref="F157:F159"/>
    <mergeCell ref="H157:H159"/>
    <mergeCell ref="J157:J159"/>
    <mergeCell ref="L157:L159"/>
    <mergeCell ref="N157:N159"/>
    <mergeCell ref="P157:P159"/>
    <mergeCell ref="A160:A162"/>
    <mergeCell ref="F160:F162"/>
    <mergeCell ref="H160:H162"/>
    <mergeCell ref="J160:J162"/>
    <mergeCell ref="L160:L162"/>
    <mergeCell ref="N160:N162"/>
    <mergeCell ref="P160:P162"/>
    <mergeCell ref="M151:O151"/>
    <mergeCell ref="E155:F155"/>
    <mergeCell ref="G155:H155"/>
    <mergeCell ref="I155:J155"/>
    <mergeCell ref="K155:L155"/>
    <mergeCell ref="M155:N155"/>
    <mergeCell ref="O155:P155"/>
    <mergeCell ref="K5:L5"/>
    <mergeCell ref="M5:N5"/>
    <mergeCell ref="N13:N15"/>
    <mergeCell ref="P13:P15"/>
    <mergeCell ref="P10:P12"/>
    <mergeCell ref="N10:N12"/>
    <mergeCell ref="O5:P5"/>
    <mergeCell ref="O20:P20"/>
    <mergeCell ref="O19:P19"/>
    <mergeCell ref="K23:L23"/>
    <mergeCell ref="M23:N23"/>
    <mergeCell ref="E22:F22"/>
    <mergeCell ref="G22:H22"/>
    <mergeCell ref="I22:J22"/>
    <mergeCell ref="K22:L22"/>
    <mergeCell ref="E5:F5"/>
    <mergeCell ref="G5:H5"/>
    <mergeCell ref="I5:J5"/>
    <mergeCell ref="E20:F20"/>
    <mergeCell ref="G20:H20"/>
    <mergeCell ref="I20:J20"/>
    <mergeCell ref="K20:L20"/>
    <mergeCell ref="M20:N20"/>
    <mergeCell ref="E19:F19"/>
    <mergeCell ref="G19:H19"/>
    <mergeCell ref="I19:J19"/>
    <mergeCell ref="K19:L19"/>
    <mergeCell ref="M19:N19"/>
    <mergeCell ref="O22:P22"/>
    <mergeCell ref="E21:F21"/>
    <mergeCell ref="G21:H21"/>
    <mergeCell ref="I21:J21"/>
    <mergeCell ref="K21:L21"/>
    <mergeCell ref="M21:N21"/>
    <mergeCell ref="O21:P21"/>
    <mergeCell ref="M26:O26"/>
    <mergeCell ref="A7:A9"/>
    <mergeCell ref="H7:H9"/>
    <mergeCell ref="J7:J9"/>
    <mergeCell ref="L7:L9"/>
    <mergeCell ref="N7:N9"/>
    <mergeCell ref="A13:A15"/>
    <mergeCell ref="A10:A12"/>
    <mergeCell ref="P7:P9"/>
    <mergeCell ref="F13:F15"/>
    <mergeCell ref="H13:H15"/>
    <mergeCell ref="J13:J15"/>
    <mergeCell ref="L13:L15"/>
    <mergeCell ref="F10:F12"/>
    <mergeCell ref="H10:H12"/>
    <mergeCell ref="J10:J12"/>
    <mergeCell ref="L10:L12"/>
    <mergeCell ref="E30:F30"/>
    <mergeCell ref="G30:H30"/>
    <mergeCell ref="I30:J30"/>
    <mergeCell ref="K30:L30"/>
    <mergeCell ref="M30:N30"/>
    <mergeCell ref="O30:P30"/>
    <mergeCell ref="M1:O1"/>
    <mergeCell ref="O25:P25"/>
    <mergeCell ref="E25:F25"/>
    <mergeCell ref="G25:H25"/>
    <mergeCell ref="I25:J25"/>
    <mergeCell ref="K25:L25"/>
    <mergeCell ref="M25:N25"/>
    <mergeCell ref="O24:P24"/>
    <mergeCell ref="O23:P23"/>
    <mergeCell ref="E24:F24"/>
    <mergeCell ref="G24:H24"/>
    <mergeCell ref="I24:J24"/>
    <mergeCell ref="K24:L24"/>
    <mergeCell ref="M24:N24"/>
    <mergeCell ref="E23:F23"/>
    <mergeCell ref="G23:H23"/>
    <mergeCell ref="I23:J23"/>
    <mergeCell ref="M22:N22"/>
    <mergeCell ref="P38:P40"/>
    <mergeCell ref="A38:A40"/>
    <mergeCell ref="F38:F40"/>
    <mergeCell ref="H38:H40"/>
    <mergeCell ref="J38:J40"/>
    <mergeCell ref="L38:L40"/>
    <mergeCell ref="N38:N40"/>
    <mergeCell ref="P32:P34"/>
    <mergeCell ref="A35:A37"/>
    <mergeCell ref="F35:F37"/>
    <mergeCell ref="H35:H37"/>
    <mergeCell ref="J35:J37"/>
    <mergeCell ref="L35:L37"/>
    <mergeCell ref="N35:N37"/>
    <mergeCell ref="P35:P37"/>
    <mergeCell ref="A32:A34"/>
    <mergeCell ref="F32:F34"/>
    <mergeCell ref="H32:H34"/>
    <mergeCell ref="J32:J34"/>
    <mergeCell ref="L32:L34"/>
    <mergeCell ref="N32:N34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O50:P50"/>
    <mergeCell ref="P63:P65"/>
    <mergeCell ref="A63:A65"/>
    <mergeCell ref="F63:F65"/>
    <mergeCell ref="H63:H65"/>
    <mergeCell ref="J63:J65"/>
    <mergeCell ref="L63:L65"/>
    <mergeCell ref="N63:N65"/>
    <mergeCell ref="P57:P59"/>
    <mergeCell ref="A60:A62"/>
    <mergeCell ref="F60:F62"/>
    <mergeCell ref="H60:H62"/>
    <mergeCell ref="J60:J62"/>
    <mergeCell ref="L60:L62"/>
    <mergeCell ref="N60:N62"/>
    <mergeCell ref="P60:P62"/>
    <mergeCell ref="A57:A59"/>
    <mergeCell ref="F57:F59"/>
    <mergeCell ref="H57:H59"/>
    <mergeCell ref="J57:J59"/>
    <mergeCell ref="L57:L59"/>
    <mergeCell ref="N57:N59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O75:P75"/>
    <mergeCell ref="P88:P90"/>
    <mergeCell ref="A88:A90"/>
    <mergeCell ref="F88:F90"/>
    <mergeCell ref="H88:H90"/>
    <mergeCell ref="J88:J90"/>
    <mergeCell ref="L88:L90"/>
    <mergeCell ref="N88:N90"/>
    <mergeCell ref="P82:P84"/>
    <mergeCell ref="A85:A87"/>
    <mergeCell ref="F85:F87"/>
    <mergeCell ref="H85:H87"/>
    <mergeCell ref="J85:J87"/>
    <mergeCell ref="L85:L87"/>
    <mergeCell ref="N85:N87"/>
    <mergeCell ref="P85:P87"/>
    <mergeCell ref="A82:A84"/>
    <mergeCell ref="F82:F84"/>
    <mergeCell ref="H82:H84"/>
    <mergeCell ref="J82:J84"/>
    <mergeCell ref="L82:L84"/>
    <mergeCell ref="N82:N84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O100:P100"/>
    <mergeCell ref="P113:P115"/>
    <mergeCell ref="A113:A115"/>
    <mergeCell ref="F113:F115"/>
    <mergeCell ref="H113:H115"/>
    <mergeCell ref="J113:J115"/>
    <mergeCell ref="L113:L115"/>
    <mergeCell ref="N113:N115"/>
    <mergeCell ref="P107:P109"/>
    <mergeCell ref="A110:A112"/>
    <mergeCell ref="F110:F112"/>
    <mergeCell ref="H110:H112"/>
    <mergeCell ref="J110:J112"/>
    <mergeCell ref="L110:L112"/>
    <mergeCell ref="N110:N112"/>
    <mergeCell ref="P110:P112"/>
    <mergeCell ref="A107:A109"/>
    <mergeCell ref="F107:F109"/>
    <mergeCell ref="H107:H109"/>
    <mergeCell ref="J107:J109"/>
    <mergeCell ref="L107:L109"/>
    <mergeCell ref="N107:N109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O125:P125"/>
    <mergeCell ref="P132:P134"/>
    <mergeCell ref="A135:A137"/>
    <mergeCell ref="F135:F137"/>
    <mergeCell ref="H135:H137"/>
    <mergeCell ref="J135:J137"/>
    <mergeCell ref="L135:L137"/>
    <mergeCell ref="N135:N137"/>
    <mergeCell ref="P135:P137"/>
    <mergeCell ref="A132:A134"/>
    <mergeCell ref="F132:F134"/>
    <mergeCell ref="H132:H134"/>
    <mergeCell ref="J132:J134"/>
    <mergeCell ref="L132:L134"/>
    <mergeCell ref="N132:N134"/>
    <mergeCell ref="E144:F144"/>
    <mergeCell ref="G144:H144"/>
    <mergeCell ref="I144:J144"/>
    <mergeCell ref="K144:L144"/>
    <mergeCell ref="M144:N144"/>
    <mergeCell ref="O144:P144"/>
    <mergeCell ref="P138:P140"/>
    <mergeCell ref="A138:A140"/>
    <mergeCell ref="F138:F140"/>
    <mergeCell ref="H138:H140"/>
    <mergeCell ref="J138:J140"/>
    <mergeCell ref="L138:L140"/>
    <mergeCell ref="N138:N140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</mergeCells>
  <conditionalFormatting sqref="D7:D15">
    <cfRule type="cellIs" dxfId="462" priority="22" stopIfTrue="1" operator="equal">
      <formula>0</formula>
    </cfRule>
  </conditionalFormatting>
  <conditionalFormatting sqref="D32:D40">
    <cfRule type="cellIs" dxfId="461" priority="19" stopIfTrue="1" operator="equal">
      <formula>0</formula>
    </cfRule>
  </conditionalFormatting>
  <conditionalFormatting sqref="D57:D65">
    <cfRule type="cellIs" dxfId="460" priority="16" stopIfTrue="1" operator="equal">
      <formula>0</formula>
    </cfRule>
  </conditionalFormatting>
  <conditionalFormatting sqref="D82:D90">
    <cfRule type="cellIs" dxfId="459" priority="13" stopIfTrue="1" operator="equal">
      <formula>0</formula>
    </cfRule>
  </conditionalFormatting>
  <conditionalFormatting sqref="D107:D115">
    <cfRule type="cellIs" dxfId="458" priority="10" stopIfTrue="1" operator="equal">
      <formula>0</formula>
    </cfRule>
  </conditionalFormatting>
  <conditionalFormatting sqref="D132:D140">
    <cfRule type="cellIs" dxfId="457" priority="7" stopIfTrue="1" operator="equal">
      <formula>0</formula>
    </cfRule>
  </conditionalFormatting>
  <conditionalFormatting sqref="D157:D165">
    <cfRule type="cellIs" dxfId="456" priority="4" stopIfTrue="1" operator="equal">
      <formula>0</formula>
    </cfRule>
  </conditionalFormatting>
  <conditionalFormatting sqref="D182:D190">
    <cfRule type="cellIs" dxfId="455" priority="1" stopIfTrue="1" operator="equal">
      <formula>0</formula>
    </cfRule>
  </conditionalFormatting>
  <printOptions horizontalCentered="1" verticalCentered="1"/>
  <pageMargins left="0" right="0" top="0" bottom="0.39370078740157483" header="0" footer="0.39370078740157483"/>
  <pageSetup paperSize="9" orientation="landscape" r:id="rId1"/>
  <headerFooter alignWithMargins="0">
    <oddFooter>&amp;C&amp;"Arial,Fett"&amp;14Alle Ergebnisse werden ohne Handicap eingetragen!</oddFooter>
  </headerFooter>
  <rowBreaks count="7" manualBreakCount="7">
    <brk id="25" max="14" man="1"/>
    <brk id="50" max="14" man="1"/>
    <brk id="75" max="14" man="1"/>
    <brk id="100" max="14" man="1"/>
    <brk id="125" max="14" man="1"/>
    <brk id="150" max="15" man="1"/>
    <brk id="175" max="15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0000"/>
  </sheetPr>
  <dimension ref="A1:Q101"/>
  <sheetViews>
    <sheetView workbookViewId="0">
      <selection activeCell="O15" sqref="O15"/>
    </sheetView>
  </sheetViews>
  <sheetFormatPr baseColWidth="10" defaultColWidth="5.21875" defaultRowHeight="14.4"/>
  <cols>
    <col min="1" max="1" width="6.21875" style="248" bestFit="1" customWidth="1"/>
    <col min="2" max="2" width="7.44140625" style="248" bestFit="1" customWidth="1"/>
    <col min="3" max="3" width="13.21875" style="248" bestFit="1" customWidth="1"/>
    <col min="4" max="4" width="14.44140625" style="248" bestFit="1" customWidth="1"/>
    <col min="5" max="5" width="3.33203125" style="248" bestFit="1" customWidth="1"/>
    <col min="6" max="6" width="2.33203125" style="248" bestFit="1" customWidth="1"/>
    <col min="7" max="7" width="10.21875" style="248" bestFit="1" customWidth="1"/>
    <col min="8" max="8" width="1.6640625" style="248" bestFit="1" customWidth="1"/>
    <col min="9" max="9" width="5.21875" style="248" bestFit="1" customWidth="1"/>
    <col min="10" max="10" width="3.44140625" style="248" bestFit="1" customWidth="1"/>
    <col min="11" max="11" width="5.6640625" style="248" bestFit="1" customWidth="1"/>
    <col min="12" max="12" width="8.44140625" style="248" bestFit="1" customWidth="1"/>
    <col min="13" max="13" width="21.33203125" style="248" bestFit="1" customWidth="1"/>
    <col min="14" max="14" width="23.44140625" style="248" bestFit="1" customWidth="1"/>
    <col min="15" max="255" width="10.6640625" style="248" customWidth="1"/>
    <col min="256" max="16384" width="5.21875" style="248"/>
  </cols>
  <sheetData>
    <row r="1" spans="1:17">
      <c r="A1" s="247"/>
      <c r="K1" s="249"/>
      <c r="L1" s="250"/>
    </row>
    <row r="2" spans="1:17">
      <c r="A2" s="247"/>
      <c r="K2" s="249"/>
      <c r="L2" s="250"/>
      <c r="Q2" s="251" t="s">
        <v>2383</v>
      </c>
    </row>
    <row r="3" spans="1:17">
      <c r="A3" s="247"/>
      <c r="K3" s="249"/>
      <c r="L3" s="250"/>
    </row>
    <row r="4" spans="1:17">
      <c r="A4" s="247"/>
      <c r="K4" s="249"/>
      <c r="L4" s="250"/>
    </row>
    <row r="5" spans="1:17">
      <c r="A5" s="247"/>
      <c r="K5" s="249"/>
      <c r="L5" s="250"/>
    </row>
    <row r="6" spans="1:17">
      <c r="A6" s="247"/>
      <c r="K6" s="249"/>
      <c r="L6" s="250"/>
    </row>
    <row r="7" spans="1:17">
      <c r="A7" s="247"/>
      <c r="K7" s="249"/>
      <c r="L7" s="250"/>
    </row>
    <row r="8" spans="1:17">
      <c r="A8" s="247"/>
      <c r="K8" s="249"/>
      <c r="L8" s="250"/>
    </row>
    <row r="9" spans="1:17">
      <c r="A9" s="247"/>
      <c r="K9" s="249"/>
      <c r="L9" s="250"/>
    </row>
    <row r="10" spans="1:17">
      <c r="A10" s="247"/>
      <c r="K10" s="249"/>
      <c r="L10" s="250"/>
    </row>
    <row r="11" spans="1:17">
      <c r="A11" s="247"/>
      <c r="K11" s="249"/>
      <c r="L11" s="250"/>
    </row>
    <row r="12" spans="1:17">
      <c r="A12" s="247"/>
      <c r="K12" s="249"/>
      <c r="L12" s="250"/>
    </row>
    <row r="13" spans="1:17">
      <c r="A13" s="247"/>
      <c r="K13" s="249"/>
      <c r="L13" s="250"/>
    </row>
    <row r="14" spans="1:17">
      <c r="A14" s="247"/>
      <c r="K14" s="249"/>
      <c r="L14" s="250"/>
    </row>
    <row r="15" spans="1:17">
      <c r="A15" s="247"/>
      <c r="K15" s="249"/>
      <c r="L15" s="250"/>
    </row>
    <row r="16" spans="1:17">
      <c r="A16" s="247"/>
      <c r="K16" s="249"/>
      <c r="L16" s="250"/>
    </row>
    <row r="17" spans="1:12">
      <c r="A17" s="247"/>
      <c r="K17" s="249"/>
      <c r="L17" s="250"/>
    </row>
    <row r="18" spans="1:12">
      <c r="A18" s="247"/>
      <c r="K18" s="249"/>
      <c r="L18" s="250"/>
    </row>
    <row r="19" spans="1:12">
      <c r="A19" s="247"/>
      <c r="K19" s="249"/>
      <c r="L19" s="250"/>
    </row>
    <row r="20" spans="1:12">
      <c r="A20" s="247"/>
      <c r="K20" s="249"/>
      <c r="L20" s="250"/>
    </row>
    <row r="21" spans="1:12">
      <c r="A21" s="247"/>
      <c r="K21" s="249"/>
      <c r="L21" s="250"/>
    </row>
    <row r="22" spans="1:12">
      <c r="A22" s="247"/>
      <c r="K22" s="249"/>
      <c r="L22" s="250"/>
    </row>
    <row r="23" spans="1:12">
      <c r="A23" s="247"/>
      <c r="K23" s="249"/>
      <c r="L23" s="250"/>
    </row>
    <row r="24" spans="1:12">
      <c r="A24" s="247"/>
      <c r="K24" s="249"/>
      <c r="L24" s="250"/>
    </row>
    <row r="25" spans="1:12">
      <c r="A25" s="247"/>
      <c r="K25" s="249"/>
      <c r="L25" s="250"/>
    </row>
    <row r="26" spans="1:12">
      <c r="A26" s="247"/>
      <c r="K26" s="249"/>
      <c r="L26" s="250"/>
    </row>
    <row r="27" spans="1:12">
      <c r="A27" s="247"/>
      <c r="K27" s="249"/>
      <c r="L27" s="250"/>
    </row>
    <row r="28" spans="1:12">
      <c r="A28" s="247"/>
      <c r="K28" s="249"/>
      <c r="L28" s="250"/>
    </row>
    <row r="29" spans="1:12">
      <c r="A29" s="247"/>
      <c r="K29" s="249"/>
      <c r="L29" s="250"/>
    </row>
    <row r="30" spans="1:12">
      <c r="A30" s="247"/>
      <c r="K30" s="249"/>
      <c r="L30" s="250"/>
    </row>
    <row r="31" spans="1:12">
      <c r="A31" s="247"/>
      <c r="K31" s="249"/>
      <c r="L31" s="250"/>
    </row>
    <row r="32" spans="1:12">
      <c r="A32" s="247"/>
      <c r="K32" s="249"/>
      <c r="L32" s="250"/>
    </row>
    <row r="33" spans="1:12">
      <c r="A33" s="247"/>
      <c r="K33" s="249"/>
      <c r="L33" s="250"/>
    </row>
    <row r="34" spans="1:12">
      <c r="A34" s="247"/>
      <c r="K34" s="249"/>
      <c r="L34" s="250"/>
    </row>
    <row r="35" spans="1:12">
      <c r="A35" s="247"/>
      <c r="K35" s="249"/>
      <c r="L35" s="250"/>
    </row>
    <row r="36" spans="1:12">
      <c r="A36" s="247"/>
      <c r="K36" s="249"/>
      <c r="L36" s="250"/>
    </row>
    <row r="37" spans="1:12">
      <c r="A37" s="247"/>
      <c r="K37" s="249"/>
      <c r="L37" s="250"/>
    </row>
    <row r="38" spans="1:12">
      <c r="A38" s="247"/>
      <c r="K38" s="249"/>
      <c r="L38" s="250"/>
    </row>
    <row r="39" spans="1:12">
      <c r="A39" s="247"/>
      <c r="K39" s="249"/>
      <c r="L39" s="250"/>
    </row>
    <row r="40" spans="1:12">
      <c r="A40" s="247"/>
      <c r="K40" s="249"/>
      <c r="L40" s="250"/>
    </row>
    <row r="41" spans="1:12">
      <c r="A41" s="247"/>
      <c r="K41" s="249"/>
      <c r="L41" s="250"/>
    </row>
    <row r="42" spans="1:12">
      <c r="A42" s="247"/>
      <c r="K42" s="249"/>
      <c r="L42" s="250"/>
    </row>
    <row r="43" spans="1:12">
      <c r="A43" s="247"/>
      <c r="K43" s="249"/>
      <c r="L43" s="250"/>
    </row>
    <row r="44" spans="1:12">
      <c r="A44" s="247"/>
      <c r="K44" s="249"/>
      <c r="L44" s="250"/>
    </row>
    <row r="45" spans="1:12">
      <c r="A45" s="247"/>
      <c r="K45" s="249"/>
      <c r="L45" s="250"/>
    </row>
    <row r="46" spans="1:12">
      <c r="A46" s="247"/>
      <c r="K46" s="249"/>
      <c r="L46" s="250"/>
    </row>
    <row r="47" spans="1:12">
      <c r="A47" s="247"/>
      <c r="K47" s="249"/>
      <c r="L47" s="250"/>
    </row>
    <row r="48" spans="1:12">
      <c r="A48" s="247"/>
      <c r="K48" s="249"/>
      <c r="L48" s="250"/>
    </row>
    <row r="49" spans="1:12">
      <c r="A49" s="247"/>
      <c r="K49" s="249"/>
      <c r="L49" s="250"/>
    </row>
    <row r="50" spans="1:12">
      <c r="A50" s="247"/>
      <c r="K50" s="249"/>
      <c r="L50" s="250"/>
    </row>
    <row r="51" spans="1:12">
      <c r="A51" s="247"/>
      <c r="K51" s="249"/>
      <c r="L51" s="250"/>
    </row>
    <row r="52" spans="1:12">
      <c r="A52" s="247"/>
      <c r="K52" s="249"/>
      <c r="L52" s="250"/>
    </row>
    <row r="53" spans="1:12">
      <c r="A53" s="247"/>
      <c r="K53" s="249"/>
      <c r="L53" s="250"/>
    </row>
    <row r="54" spans="1:12">
      <c r="A54" s="247"/>
      <c r="K54" s="249"/>
      <c r="L54" s="250"/>
    </row>
    <row r="55" spans="1:12">
      <c r="A55" s="247"/>
      <c r="K55" s="249"/>
      <c r="L55" s="250"/>
    </row>
    <row r="56" spans="1:12">
      <c r="A56" s="247"/>
      <c r="K56" s="249"/>
      <c r="L56" s="250"/>
    </row>
    <row r="57" spans="1:12">
      <c r="A57" s="247"/>
      <c r="K57" s="249"/>
      <c r="L57" s="250"/>
    </row>
    <row r="58" spans="1:12">
      <c r="A58" s="247"/>
      <c r="K58" s="249"/>
      <c r="L58" s="250"/>
    </row>
    <row r="59" spans="1:12">
      <c r="A59" s="247"/>
      <c r="K59" s="249"/>
      <c r="L59" s="250"/>
    </row>
    <row r="60" spans="1:12">
      <c r="A60" s="247"/>
      <c r="K60" s="249"/>
      <c r="L60" s="250"/>
    </row>
    <row r="61" spans="1:12">
      <c r="A61" s="247"/>
      <c r="K61" s="249"/>
      <c r="L61" s="250"/>
    </row>
    <row r="62" spans="1:12">
      <c r="A62" s="247"/>
      <c r="K62" s="249"/>
      <c r="L62" s="250"/>
    </row>
    <row r="63" spans="1:12">
      <c r="A63" s="247"/>
      <c r="K63" s="249"/>
      <c r="L63" s="250"/>
    </row>
    <row r="64" spans="1:12">
      <c r="A64" s="247"/>
      <c r="K64" s="249"/>
      <c r="L64" s="250"/>
    </row>
    <row r="65" spans="1:12">
      <c r="A65" s="247"/>
      <c r="K65" s="249"/>
      <c r="L65" s="250"/>
    </row>
    <row r="66" spans="1:12">
      <c r="A66" s="247"/>
      <c r="K66" s="249"/>
      <c r="L66" s="250"/>
    </row>
    <row r="67" spans="1:12">
      <c r="A67" s="247"/>
      <c r="K67" s="249"/>
      <c r="L67" s="250"/>
    </row>
    <row r="68" spans="1:12">
      <c r="A68" s="247"/>
      <c r="K68" s="249"/>
      <c r="L68" s="250"/>
    </row>
    <row r="69" spans="1:12">
      <c r="A69" s="247"/>
      <c r="K69" s="249"/>
      <c r="L69" s="250"/>
    </row>
    <row r="70" spans="1:12">
      <c r="A70" s="247"/>
      <c r="K70" s="249"/>
      <c r="L70" s="250"/>
    </row>
    <row r="71" spans="1:12">
      <c r="A71" s="247"/>
      <c r="K71" s="249"/>
      <c r="L71" s="250"/>
    </row>
    <row r="72" spans="1:12">
      <c r="A72" s="247"/>
      <c r="K72" s="249"/>
      <c r="L72" s="250"/>
    </row>
    <row r="73" spans="1:12">
      <c r="A73" s="247"/>
      <c r="K73" s="249"/>
      <c r="L73" s="250"/>
    </row>
    <row r="74" spans="1:12">
      <c r="A74" s="247"/>
      <c r="K74" s="249"/>
      <c r="L74" s="250"/>
    </row>
    <row r="75" spans="1:12">
      <c r="A75" s="247"/>
      <c r="K75" s="249"/>
      <c r="L75" s="250"/>
    </row>
    <row r="76" spans="1:12">
      <c r="A76" s="247"/>
      <c r="K76" s="249"/>
      <c r="L76" s="250"/>
    </row>
    <row r="77" spans="1:12">
      <c r="A77" s="247"/>
      <c r="K77" s="249"/>
      <c r="L77" s="250"/>
    </row>
    <row r="78" spans="1:12">
      <c r="A78" s="247"/>
      <c r="K78" s="249"/>
      <c r="L78" s="250"/>
    </row>
    <row r="79" spans="1:12">
      <c r="A79" s="247"/>
      <c r="K79" s="249"/>
      <c r="L79" s="250"/>
    </row>
    <row r="80" spans="1:12">
      <c r="A80" s="247"/>
      <c r="K80" s="249"/>
      <c r="L80" s="250"/>
    </row>
    <row r="81" spans="1:12">
      <c r="A81" s="247"/>
      <c r="K81" s="249"/>
      <c r="L81" s="250"/>
    </row>
    <row r="82" spans="1:12">
      <c r="A82" s="247"/>
      <c r="K82" s="249"/>
      <c r="L82" s="250"/>
    </row>
    <row r="83" spans="1:12">
      <c r="A83" s="247"/>
      <c r="K83" s="249"/>
      <c r="L83" s="250"/>
    </row>
    <row r="84" spans="1:12">
      <c r="A84" s="247"/>
      <c r="K84" s="249"/>
      <c r="L84" s="250"/>
    </row>
    <row r="85" spans="1:12">
      <c r="A85" s="247"/>
      <c r="K85" s="249"/>
      <c r="L85" s="250"/>
    </row>
    <row r="86" spans="1:12">
      <c r="A86" s="247"/>
      <c r="K86" s="249"/>
      <c r="L86" s="250"/>
    </row>
    <row r="87" spans="1:12">
      <c r="A87" s="247"/>
      <c r="K87" s="249"/>
      <c r="L87" s="250"/>
    </row>
    <row r="88" spans="1:12">
      <c r="A88" s="247"/>
      <c r="K88" s="249"/>
      <c r="L88" s="250"/>
    </row>
    <row r="89" spans="1:12">
      <c r="A89" s="247"/>
      <c r="K89" s="249"/>
      <c r="L89" s="250"/>
    </row>
    <row r="90" spans="1:12">
      <c r="A90" s="247"/>
      <c r="K90" s="249"/>
      <c r="L90" s="250"/>
    </row>
    <row r="91" spans="1:12">
      <c r="A91" s="247"/>
      <c r="K91" s="249"/>
      <c r="L91" s="250"/>
    </row>
    <row r="92" spans="1:12">
      <c r="A92" s="247"/>
      <c r="K92" s="249"/>
      <c r="L92" s="250"/>
    </row>
    <row r="93" spans="1:12">
      <c r="A93" s="247"/>
      <c r="K93" s="249"/>
      <c r="L93" s="250"/>
    </row>
    <row r="94" spans="1:12">
      <c r="A94" s="247"/>
      <c r="K94" s="249"/>
      <c r="L94" s="250"/>
    </row>
    <row r="95" spans="1:12">
      <c r="A95" s="247"/>
      <c r="K95" s="249"/>
      <c r="L95" s="250"/>
    </row>
    <row r="96" spans="1:12">
      <c r="A96" s="247"/>
      <c r="K96" s="249"/>
      <c r="L96" s="250"/>
    </row>
    <row r="97" spans="1:12">
      <c r="A97" s="247"/>
      <c r="K97" s="249"/>
      <c r="L97" s="250"/>
    </row>
    <row r="98" spans="1:12">
      <c r="A98" s="247"/>
      <c r="K98" s="249"/>
      <c r="L98" s="250"/>
    </row>
    <row r="99" spans="1:12">
      <c r="A99" s="247"/>
      <c r="K99" s="249"/>
      <c r="L99" s="250"/>
    </row>
    <row r="100" spans="1:12">
      <c r="A100" s="247"/>
      <c r="K100" s="249"/>
      <c r="L100" s="250"/>
    </row>
    <row r="101" spans="1:12">
      <c r="A101" s="247"/>
      <c r="K101" s="249"/>
      <c r="L101" s="250"/>
    </row>
  </sheetData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BM207"/>
  <sheetViews>
    <sheetView view="pageBreakPreview" zoomScaleNormal="100" zoomScaleSheetLayoutView="100" workbookViewId="0">
      <selection activeCell="D34" sqref="D34"/>
    </sheetView>
  </sheetViews>
  <sheetFormatPr baseColWidth="10" defaultRowHeight="13.2"/>
  <cols>
    <col min="1" max="1" width="5.21875" customWidth="1"/>
    <col min="2" max="2" width="21.6640625" bestFit="1" customWidth="1"/>
    <col min="3" max="3" width="6.44140625" bestFit="1" customWidth="1"/>
    <col min="4" max="4" width="7.44140625" bestFit="1" customWidth="1"/>
    <col min="5" max="5" width="6.33203125" bestFit="1" customWidth="1"/>
    <col min="6" max="6" width="8.33203125" bestFit="1" customWidth="1"/>
    <col min="7" max="7" width="4.44140625" bestFit="1" customWidth="1"/>
    <col min="8" max="8" width="5.6640625" customWidth="1"/>
    <col min="9" max="9" width="8.33203125" bestFit="1" customWidth="1"/>
    <col min="10" max="10" width="4.44140625" bestFit="1" customWidth="1"/>
    <col min="11" max="11" width="5.6640625" customWidth="1"/>
    <col min="12" max="12" width="8.33203125" bestFit="1" customWidth="1"/>
    <col min="13" max="13" width="4.44140625" bestFit="1" customWidth="1"/>
    <col min="14" max="14" width="5.6640625" customWidth="1"/>
    <col min="15" max="15" width="8.33203125" bestFit="1" customWidth="1"/>
    <col min="16" max="16" width="4.44140625" bestFit="1" customWidth="1"/>
    <col min="17" max="17" width="5.6640625" bestFit="1" customWidth="1"/>
    <col min="18" max="18" width="8.33203125" bestFit="1" customWidth="1"/>
    <col min="19" max="19" width="4.44140625" bestFit="1" customWidth="1"/>
    <col min="20" max="20" width="5.44140625" bestFit="1" customWidth="1"/>
    <col min="21" max="21" width="8.33203125" bestFit="1" customWidth="1"/>
    <col min="22" max="22" width="4.44140625" bestFit="1" customWidth="1"/>
    <col min="23" max="28" width="6.6640625" customWidth="1"/>
    <col min="29" max="37" width="11.44140625" style="169" customWidth="1"/>
    <col min="38" max="38" width="8.44140625" style="169" hidden="1" customWidth="1"/>
    <col min="39" max="39" width="7" hidden="1" customWidth="1"/>
    <col min="40" max="40" width="8" hidden="1" customWidth="1"/>
    <col min="41" max="41" width="8.44140625" hidden="1" customWidth="1"/>
    <col min="42" max="42" width="3.44140625" hidden="1" customWidth="1"/>
    <col min="43" max="43" width="5" style="169" hidden="1" customWidth="1"/>
    <col min="44" max="44" width="4.21875" style="169" hidden="1" customWidth="1"/>
    <col min="45" max="45" width="6.21875" style="169" hidden="1" customWidth="1"/>
    <col min="46" max="46" width="4.44140625" style="169" hidden="1" customWidth="1"/>
    <col min="47" max="47" width="4.77734375" style="169" hidden="1" customWidth="1"/>
    <col min="48" max="48" width="4.21875" style="169" hidden="1" customWidth="1"/>
    <col min="49" max="49" width="4.6640625" style="169" hidden="1" customWidth="1"/>
    <col min="50" max="50" width="6.6640625" style="169" hidden="1" customWidth="1"/>
    <col min="51" max="55" width="3.33203125" style="169" hidden="1" customWidth="1"/>
    <col min="56" max="56" width="11.44140625" style="169" hidden="1" customWidth="1"/>
    <col min="57" max="57" width="4.21875" style="169" hidden="1" customWidth="1"/>
    <col min="58" max="58" width="7.33203125" style="169" hidden="1" customWidth="1"/>
    <col min="59" max="59" width="8.44140625" style="169" hidden="1" customWidth="1"/>
    <col min="60" max="60" width="15.33203125" style="169" hidden="1" customWidth="1"/>
    <col min="61" max="62" width="4.21875" style="169" hidden="1" customWidth="1"/>
    <col min="63" max="63" width="6.21875" style="169" hidden="1" customWidth="1"/>
    <col min="64" max="64" width="9" style="169" hidden="1" customWidth="1"/>
    <col min="65" max="65" width="4.21875" style="169" hidden="1" customWidth="1"/>
    <col min="66" max="72" width="11.44140625" customWidth="1"/>
    <col min="73" max="75" width="11.33203125" customWidth="1"/>
    <col min="76" max="79" width="11.44140625" customWidth="1"/>
  </cols>
  <sheetData>
    <row r="1" spans="1:65" ht="21" customHeight="1">
      <c r="A1" s="255"/>
      <c r="B1" s="7" t="s">
        <v>1802</v>
      </c>
      <c r="C1" s="24"/>
      <c r="D1" s="24"/>
      <c r="E1" s="35" t="s">
        <v>1786</v>
      </c>
      <c r="F1" s="35"/>
      <c r="G1" s="427" t="str">
        <f>Schlüssel!$C$1</f>
        <v>Landesliga Jugend</v>
      </c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06">
        <f>Schlüssel!$M$1</f>
        <v>45211</v>
      </c>
      <c r="T1" s="406"/>
      <c r="U1" s="406"/>
      <c r="V1" s="406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>
      <c r="A2" s="53"/>
      <c r="B2" s="54">
        <v>1</v>
      </c>
      <c r="E2" s="35" t="s">
        <v>1787</v>
      </c>
      <c r="F2" s="35"/>
      <c r="G2" s="413" t="str">
        <f>Schlüssel!$C$2</f>
        <v>Brunnthal Max Munich</v>
      </c>
      <c r="H2" s="413"/>
      <c r="I2" s="413"/>
      <c r="J2" s="413"/>
      <c r="K2" s="413"/>
      <c r="L2" s="413"/>
      <c r="M2" s="413"/>
      <c r="N2" s="413"/>
      <c r="O2" s="413"/>
      <c r="P2" s="66"/>
      <c r="Q2" s="411" t="s">
        <v>1785</v>
      </c>
      <c r="R2" s="412"/>
      <c r="S2" s="38">
        <v>1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>
      <c r="B3" s="414" t="str">
        <f>VLOOKUP(B2,Schlüssel!$A$5:$B$12,2)</f>
        <v>Bad Tölz 1</v>
      </c>
      <c r="C3" s="415"/>
      <c r="D3" s="415"/>
      <c r="E3" s="415"/>
      <c r="F3" s="415"/>
      <c r="G3" s="416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3.8" hidden="1" thickBot="1">
      <c r="A4" s="6"/>
      <c r="B4" s="7"/>
      <c r="C4" s="43"/>
      <c r="D4" s="43"/>
      <c r="E4" s="162" t="s">
        <v>10</v>
      </c>
      <c r="F4" s="220"/>
      <c r="G4" s="159">
        <f>VLOOKUP($B2,Schlüssel!$A$5:$EK$12,13)</f>
        <v>9</v>
      </c>
      <c r="H4" s="161" t="s">
        <v>10</v>
      </c>
      <c r="I4" s="220"/>
      <c r="J4" s="159">
        <f>VLOOKUP($B2,Schlüssel!$A$5:$EK$12,14)</f>
        <v>15</v>
      </c>
      <c r="K4" s="161" t="s">
        <v>10</v>
      </c>
      <c r="L4" s="220"/>
      <c r="M4" s="159">
        <f>VLOOKUP($B2,Schlüssel!$A$5:$EK$12,15)</f>
        <v>11</v>
      </c>
      <c r="N4" s="161" t="s">
        <v>10</v>
      </c>
      <c r="O4" s="220"/>
      <c r="P4" s="159">
        <f>VLOOKUP($B2,Schlüssel!$A$5:$EK$12,16)</f>
        <v>13</v>
      </c>
      <c r="Q4" s="161" t="s">
        <v>10</v>
      </c>
      <c r="R4" s="220"/>
      <c r="S4" s="160">
        <f>VLOOKUP($B2,Schlüssel!$A$5:$EK$12,17)</f>
        <v>10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>
      <c r="B5" s="44" t="s">
        <v>1</v>
      </c>
      <c r="C5" s="208"/>
      <c r="D5" s="217"/>
      <c r="E5" s="423" t="s">
        <v>1793</v>
      </c>
      <c r="F5" s="423"/>
      <c r="G5" s="408"/>
      <c r="H5" s="407" t="s">
        <v>1794</v>
      </c>
      <c r="I5" s="423"/>
      <c r="J5" s="408"/>
      <c r="K5" s="407" t="s">
        <v>1795</v>
      </c>
      <c r="L5" s="423"/>
      <c r="M5" s="408"/>
      <c r="N5" s="407" t="s">
        <v>1796</v>
      </c>
      <c r="O5" s="423"/>
      <c r="P5" s="408"/>
      <c r="Q5" s="407" t="s">
        <v>1797</v>
      </c>
      <c r="R5" s="423"/>
      <c r="S5" s="437"/>
      <c r="T5" s="439" t="s">
        <v>1792</v>
      </c>
      <c r="U5" s="440"/>
      <c r="V5" s="410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6.95" customHeight="1">
      <c r="A7" s="403" t="s">
        <v>0</v>
      </c>
      <c r="B7" s="58" t="str">
        <f>IF(C7=0,"",VLOOKUP(C7,Starter!$A$1:$D$196,2,FALSE))</f>
        <v>Mathe, Maximilian</v>
      </c>
      <c r="C7" s="232">
        <v>38844</v>
      </c>
      <c r="D7" s="238">
        <f t="shared" ref="D7:D15" si="0">+AP7</f>
        <v>0</v>
      </c>
      <c r="E7" s="221">
        <v>160</v>
      </c>
      <c r="F7" s="240">
        <f t="shared" ref="F7:F15" si="1">IF(E7&gt;0,E7+$D7,0)</f>
        <v>160</v>
      </c>
      <c r="G7" s="428">
        <f>IF(SUM(F7:F9)+E22=0,0,IF(ABS(SUM(F7:F9))=E22,Spielorte!$A$30/2,IF(ABS(SUM(F7:F9))&gt;E22,Spielorte!$A$30,0)))</f>
        <v>1</v>
      </c>
      <c r="H7" s="221">
        <v>202</v>
      </c>
      <c r="I7" s="240">
        <f t="shared" ref="I7:I15" si="2">IF(H7&gt;0,H7+$D7,0)</f>
        <v>202</v>
      </c>
      <c r="J7" s="428">
        <f>IF(SUM(I7:I9)+H22=0,0,IF(ABS(SUM(I7:I9))=H22,Spielorte!$A$30/2,IF(ABS(SUM(I7:I9))&gt;H22,Spielorte!$A$30,0)))</f>
        <v>1</v>
      </c>
      <c r="K7" s="221">
        <v>167</v>
      </c>
      <c r="L7" s="240">
        <f t="shared" ref="L7:L15" si="3">IF(K7&gt;0,K7+$D7,0)</f>
        <v>167</v>
      </c>
      <c r="M7" s="428">
        <f>IF(SUM(L7:L9)+K22=0,0,IF(ABS(SUM(L7:L9))=K22,Spielorte!$A$30/2,IF(ABS(SUM(L7:L9))&gt;K22,Spielorte!$A$30,0)))</f>
        <v>1</v>
      </c>
      <c r="N7" s="221">
        <v>187</v>
      </c>
      <c r="O7" s="240">
        <f t="shared" ref="O7:O15" si="4">IF(N7&gt;0,N7+$D7,0)</f>
        <v>187</v>
      </c>
      <c r="P7" s="428">
        <f>IF(SUM(O7:O9)+N22=0,0,IF(ABS(SUM(O7:O9))=N22,Spielorte!$A$30/2,IF(ABS(SUM(O7:O9))&gt;N22,Spielorte!$A$30,0)))</f>
        <v>1</v>
      </c>
      <c r="Q7" s="221">
        <v>256</v>
      </c>
      <c r="R7" s="240">
        <f t="shared" ref="R7:R15" si="5">IF(Q7&gt;0,Q7+$D7,0)</f>
        <v>256</v>
      </c>
      <c r="S7" s="428">
        <f>IF(SUM(R7:R9)+Q22=0,0,IF(ABS(SUM(R7:R9))=Q22,Spielorte!$A$30/2,IF(ABS(SUM(R7:R9))&gt;Q22,Spielorte!$A$30,0)))</f>
        <v>0</v>
      </c>
      <c r="T7" s="221">
        <f t="shared" ref="T7:U9" si="6">ABS(SUM(E7:E7))+ABS(SUM(H7:H7))+ABS(SUM(K7:K7))+ABS(SUM(N7:N7))+ABS(SUM(Q7:Q7))</f>
        <v>972</v>
      </c>
      <c r="U7" s="240">
        <f t="shared" si="6"/>
        <v>972</v>
      </c>
      <c r="V7" s="400">
        <f>SUM(G7+J7+M7+P7+S7)</f>
        <v>4</v>
      </c>
      <c r="W7" s="79"/>
      <c r="X7" s="79"/>
      <c r="Y7" s="79"/>
      <c r="Z7" s="79"/>
      <c r="AA7" s="79"/>
      <c r="AB7" s="79"/>
      <c r="AL7" s="169">
        <f>IF(AU7=0,0,IFERROR(INDEX(RanglisteST1!K:K,MATCH(AU7,RanglisteST1!A:A,0)),0))</f>
        <v>0</v>
      </c>
      <c r="AM7" s="169">
        <f>IF(AU7=0,0,SUMIF(AU7:AU15,AU7,AV7:AV15))</f>
        <v>972</v>
      </c>
      <c r="AN7" s="169">
        <f>IF(AU7=0,0,SUMIF(AU7:AU15,AU7,AW7:AW15))</f>
        <v>5</v>
      </c>
      <c r="AO7" s="169">
        <f t="shared" ref="AO7:AO15" si="7">IFERROR(AM7/AN7,0)</f>
        <v>194.4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38844</v>
      </c>
      <c r="AV7" s="167">
        <f>T7</f>
        <v>972</v>
      </c>
      <c r="AW7" s="169">
        <f t="shared" ref="AW7:AW15" si="9">COUNT(AY7:BC7)</f>
        <v>5</v>
      </c>
      <c r="AX7" s="169">
        <f t="shared" ref="AX7:AX15" si="10">COUNTIF(AY7:BC7,"&gt;0")</f>
        <v>5</v>
      </c>
      <c r="AY7" s="169">
        <f>IF(E7=0,"",E7)</f>
        <v>160</v>
      </c>
      <c r="AZ7" s="169">
        <f t="shared" ref="AZ7:AZ15" si="11">IF(H7=0,"",H7)</f>
        <v>202</v>
      </c>
      <c r="BA7" s="169">
        <f t="shared" ref="BA7:BA15" si="12">IF(K7=0,"",K7)</f>
        <v>167</v>
      </c>
      <c r="BB7" s="169">
        <f t="shared" ref="BB7:BB15" si="13">IF(N7=0,"",N7)</f>
        <v>187</v>
      </c>
      <c r="BC7" s="169">
        <f t="shared" ref="BC7:BC15" si="14">IF(Q7=0,"",Q7)</f>
        <v>256</v>
      </c>
      <c r="BD7" s="170"/>
      <c r="BE7" s="168"/>
      <c r="BF7" s="169">
        <f t="shared" ref="BF7:BF15" si="15">MAX(AY7:BC7)</f>
        <v>256</v>
      </c>
      <c r="BG7" s="169">
        <f t="shared" ref="BG7:BG15" si="16">IF(BF7&lt;MAX(BF:BF),0,BF7+ROW()/1000000000)</f>
        <v>0</v>
      </c>
      <c r="BH7" s="169" t="str">
        <f>+B3</f>
        <v>Bad Tölz 1</v>
      </c>
      <c r="BI7" s="168">
        <f t="shared" ref="BI7:BI15" si="17">RANK(BG7,BG:BG)</f>
        <v>2</v>
      </c>
      <c r="BJ7" s="169">
        <f t="shared" ref="BJ7:BJ15" si="18">SUMIF(AY7:BC7,"&gt;0")</f>
        <v>972</v>
      </c>
      <c r="BK7" s="169">
        <f>IF(COUNTIF(AY7:BC7,"&gt;0")&lt;Spielorte!$A$23,0,AV7/Spielorte!$A$23)</f>
        <v>194.4</v>
      </c>
      <c r="BL7" s="169">
        <f t="shared" ref="BL7:BL15" si="19">IF(BK7&lt;MAX(BK:BK),0,BK7+ROW()/1000000000)</f>
        <v>0</v>
      </c>
      <c r="BM7" s="168">
        <f t="shared" ref="BM7:BM15" si="20">IF(BL7=0,0,RANK(BL7,BL:BL))</f>
        <v>0</v>
      </c>
    </row>
    <row r="8" spans="1:65" ht="16.95" customHeight="1">
      <c r="A8" s="404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9"/>
      <c r="H8" s="222"/>
      <c r="I8" s="241">
        <f t="shared" si="2"/>
        <v>0</v>
      </c>
      <c r="J8" s="429"/>
      <c r="K8" s="222"/>
      <c r="L8" s="241">
        <f t="shared" si="3"/>
        <v>0</v>
      </c>
      <c r="M8" s="429"/>
      <c r="N8" s="222"/>
      <c r="O8" s="241">
        <f t="shared" si="4"/>
        <v>0</v>
      </c>
      <c r="P8" s="429"/>
      <c r="Q8" s="222"/>
      <c r="R8" s="241">
        <f t="shared" si="5"/>
        <v>0</v>
      </c>
      <c r="S8" s="429"/>
      <c r="T8" s="222">
        <f t="shared" si="6"/>
        <v>0</v>
      </c>
      <c r="U8" s="241">
        <f t="shared" si="6"/>
        <v>0</v>
      </c>
      <c r="V8" s="401"/>
      <c r="W8" s="79"/>
      <c r="X8" s="79"/>
      <c r="Y8" s="79"/>
      <c r="Z8" s="79"/>
      <c r="AA8" s="79"/>
      <c r="AB8" s="79"/>
      <c r="AL8" s="169">
        <f>IF(AU8=0,0,IFERROR(INDEX(RanglisteST1!K:K,MATCH(AU8,RanglisteST1!A:A,0)),0))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ref="AV8:AV15" si="21">T8</f>
        <v>0</v>
      </c>
      <c r="AW8" s="169">
        <f t="shared" si="9"/>
        <v>0</v>
      </c>
      <c r="AX8" s="169">
        <f t="shared" si="10"/>
        <v>0</v>
      </c>
      <c r="AY8" s="169" t="str">
        <f t="shared" ref="AY8:AY15" si="22">IF(E8=0,"",E8)</f>
        <v/>
      </c>
      <c r="AZ8" s="169" t="str">
        <f t="shared" si="11"/>
        <v/>
      </c>
      <c r="BA8" s="169" t="str">
        <f t="shared" si="12"/>
        <v/>
      </c>
      <c r="BB8" s="169" t="str">
        <f t="shared" si="13"/>
        <v/>
      </c>
      <c r="BC8" s="169" t="str">
        <f t="shared" si="14"/>
        <v/>
      </c>
      <c r="BD8" s="170"/>
      <c r="BE8" s="168"/>
      <c r="BF8" s="169">
        <f t="shared" si="15"/>
        <v>0</v>
      </c>
      <c r="BG8" s="169">
        <f t="shared" si="16"/>
        <v>0</v>
      </c>
      <c r="BH8" s="169" t="str">
        <f t="shared" ref="BH8:BH15" si="23">+BH7</f>
        <v>Bad Tölz 1</v>
      </c>
      <c r="BI8" s="168">
        <f t="shared" si="17"/>
        <v>2</v>
      </c>
      <c r="BJ8" s="169">
        <f t="shared" si="18"/>
        <v>0</v>
      </c>
      <c r="BK8" s="169">
        <f>IF(COUNTIF(AY8:BC8,"&gt;0")&lt;Spielorte!$A$23,0,AV8/Spielorte!$A$23)</f>
        <v>0</v>
      </c>
      <c r="BL8" s="169">
        <f t="shared" si="19"/>
        <v>0</v>
      </c>
      <c r="BM8" s="168">
        <f t="shared" si="20"/>
        <v>0</v>
      </c>
    </row>
    <row r="9" spans="1:65" ht="16.95" customHeight="1" thickBot="1">
      <c r="A9" s="405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30"/>
      <c r="H9" s="224"/>
      <c r="I9" s="242">
        <f t="shared" si="2"/>
        <v>0</v>
      </c>
      <c r="J9" s="430"/>
      <c r="K9" s="224"/>
      <c r="L9" s="242">
        <f t="shared" si="3"/>
        <v>0</v>
      </c>
      <c r="M9" s="430"/>
      <c r="N9" s="224"/>
      <c r="O9" s="242">
        <f t="shared" si="4"/>
        <v>0</v>
      </c>
      <c r="P9" s="430"/>
      <c r="Q9" s="224"/>
      <c r="R9" s="242">
        <f t="shared" si="5"/>
        <v>0</v>
      </c>
      <c r="S9" s="430"/>
      <c r="T9" s="224">
        <f t="shared" si="6"/>
        <v>0</v>
      </c>
      <c r="U9" s="242">
        <f t="shared" si="6"/>
        <v>0</v>
      </c>
      <c r="V9" s="402"/>
      <c r="W9" s="79"/>
      <c r="X9" s="79"/>
      <c r="Y9" s="79"/>
      <c r="Z9" s="79"/>
      <c r="AA9" s="79"/>
      <c r="AB9" s="79"/>
      <c r="AL9" s="169">
        <f>IF(AU9=0,0,IFERROR(INDEX(RanglisteST1!K:K,MATCH(AU9,RanglisteST1!A:A,0)),0))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21"/>
        <v>0</v>
      </c>
      <c r="AW9" s="169">
        <f t="shared" si="9"/>
        <v>0</v>
      </c>
      <c r="AX9" s="169">
        <f t="shared" si="10"/>
        <v>0</v>
      </c>
      <c r="AY9" s="169" t="str">
        <f t="shared" si="22"/>
        <v/>
      </c>
      <c r="AZ9" s="169" t="str">
        <f t="shared" si="11"/>
        <v/>
      </c>
      <c r="BA9" s="169" t="str">
        <f t="shared" si="12"/>
        <v/>
      </c>
      <c r="BB9" s="169" t="str">
        <f t="shared" si="13"/>
        <v/>
      </c>
      <c r="BC9" s="169" t="str">
        <f t="shared" si="14"/>
        <v/>
      </c>
      <c r="BD9" s="170"/>
      <c r="BE9" s="168"/>
      <c r="BF9" s="169">
        <f t="shared" si="15"/>
        <v>0</v>
      </c>
      <c r="BG9" s="169">
        <f t="shared" si="16"/>
        <v>0</v>
      </c>
      <c r="BH9" s="169" t="str">
        <f t="shared" si="23"/>
        <v>Bad Tölz 1</v>
      </c>
      <c r="BI9" s="168">
        <f t="shared" si="17"/>
        <v>2</v>
      </c>
      <c r="BJ9" s="169">
        <f t="shared" si="18"/>
        <v>0</v>
      </c>
      <c r="BK9" s="169">
        <f>IF(COUNTIF(AY9:BC9,"&gt;0")&lt;Spielorte!$A$23,0,AV9/Spielorte!$A$23)</f>
        <v>0</v>
      </c>
      <c r="BL9" s="169">
        <f t="shared" si="19"/>
        <v>0</v>
      </c>
      <c r="BM9" s="168">
        <f t="shared" si="20"/>
        <v>0</v>
      </c>
    </row>
    <row r="10" spans="1:65" ht="16.95" customHeight="1">
      <c r="A10" s="403" t="s">
        <v>2</v>
      </c>
      <c r="B10" s="58" t="str">
        <f>IF(C10=0,"",VLOOKUP(C10,Starter!$A$1:$D$196,2,FALSE))</f>
        <v>Kugler, Laurin</v>
      </c>
      <c r="C10" s="235">
        <v>38845</v>
      </c>
      <c r="D10" s="238">
        <f t="shared" si="0"/>
        <v>0</v>
      </c>
      <c r="E10" s="221">
        <v>178</v>
      </c>
      <c r="F10" s="240">
        <f t="shared" si="1"/>
        <v>178</v>
      </c>
      <c r="G10" s="428">
        <f>IF(SUM(F10:F12)+E23=0,0,IF(ABS(SUM(F10:F12))=E23,Spielorte!$A$30/2,IF(ABS(SUM(F10:F12))&gt;E23,Spielorte!$A$30,0)))</f>
        <v>1</v>
      </c>
      <c r="H10" s="221">
        <v>182</v>
      </c>
      <c r="I10" s="240">
        <f t="shared" si="2"/>
        <v>182</v>
      </c>
      <c r="J10" s="428">
        <f>IF(SUM(I10:I12)+H23=0,0,IF(ABS(SUM(I10:I12))=H23,Spielorte!$A$30/2,IF(ABS(SUM(I10:I12))&gt;H23,Spielorte!$A$30,0)))</f>
        <v>1</v>
      </c>
      <c r="K10" s="221">
        <v>178</v>
      </c>
      <c r="L10" s="240">
        <f t="shared" si="3"/>
        <v>178</v>
      </c>
      <c r="M10" s="428">
        <f>IF(SUM(L10:L12)+K23=0,0,IF(ABS(SUM(L10:L12))=K23,Spielorte!$A$30/2,IF(ABS(SUM(L10:L12))&gt;K23,Spielorte!$A$30,0)))</f>
        <v>1</v>
      </c>
      <c r="N10" s="221">
        <v>160</v>
      </c>
      <c r="O10" s="240">
        <f t="shared" si="4"/>
        <v>160</v>
      </c>
      <c r="P10" s="428">
        <f>IF(SUM(O10:O12)+N23=0,0,IF(ABS(SUM(O10:O12))=N23,Spielorte!$A$30/2,IF(ABS(SUM(O10:O12))&gt;N23,Spielorte!$A$30,0)))</f>
        <v>0</v>
      </c>
      <c r="Q10" s="221">
        <v>171</v>
      </c>
      <c r="R10" s="240">
        <f t="shared" si="5"/>
        <v>171</v>
      </c>
      <c r="S10" s="428">
        <f>IF(SUM(R10:R12)+Q23=0,0,IF(ABS(SUM(R10:R12))=Q23,Spielorte!$A$30/2,IF(ABS(SUM(R10:R12))&gt;Q23,Spielorte!$A$30,0)))</f>
        <v>1</v>
      </c>
      <c r="T10" s="221">
        <f t="shared" ref="T10:T15" si="24">ABS(SUM(E10:E10))+ABS(SUM(H10:H10))+ABS(SUM(K10:K10))+ABS(SUM(N10:N10))+ABS(SUM(Q10:Q10))</f>
        <v>869</v>
      </c>
      <c r="U10" s="240">
        <f t="shared" ref="U10:U15" si="25">ABS(SUM(F10:F10))+ABS(SUM(I10:I10))+ABS(SUM(L10:L10))+ABS(SUM(O10:O10))+ABS(SUM(R10:R10))</f>
        <v>869</v>
      </c>
      <c r="V10" s="400">
        <f>SUM(G10+J10+M10+P10+S10)</f>
        <v>4</v>
      </c>
      <c r="W10" s="79"/>
      <c r="X10" s="79"/>
      <c r="Y10" s="79"/>
      <c r="Z10" s="79"/>
      <c r="AA10" s="79"/>
      <c r="AB10" s="79"/>
      <c r="AL10" s="169">
        <f>IF(AU10=0,0,IFERROR(INDEX(RanglisteST1!K:K,MATCH(AU10,RanglisteST1!A:A,0)),0))</f>
        <v>0</v>
      </c>
      <c r="AM10" s="169">
        <f>IF(AU10=0,0,SUMIF(AU7:AU15,AU10,AV7:AV15))</f>
        <v>869</v>
      </c>
      <c r="AN10" s="169">
        <f>IF(AU10=0,0,SUMIF(AU7:AU15,AU10,AW7:AW15))</f>
        <v>5</v>
      </c>
      <c r="AO10" s="169">
        <f t="shared" si="7"/>
        <v>173.8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38845</v>
      </c>
      <c r="AV10" s="167">
        <f t="shared" si="21"/>
        <v>869</v>
      </c>
      <c r="AW10" s="169">
        <f t="shared" si="9"/>
        <v>5</v>
      </c>
      <c r="AX10" s="169">
        <f t="shared" si="10"/>
        <v>5</v>
      </c>
      <c r="AY10" s="169">
        <f t="shared" si="22"/>
        <v>178</v>
      </c>
      <c r="AZ10" s="169">
        <f t="shared" si="11"/>
        <v>182</v>
      </c>
      <c r="BA10" s="169">
        <f t="shared" si="12"/>
        <v>178</v>
      </c>
      <c r="BB10" s="169">
        <f t="shared" si="13"/>
        <v>160</v>
      </c>
      <c r="BC10" s="169">
        <f t="shared" si="14"/>
        <v>171</v>
      </c>
      <c r="BD10" s="170"/>
      <c r="BE10" s="168"/>
      <c r="BF10" s="169">
        <f t="shared" si="15"/>
        <v>182</v>
      </c>
      <c r="BG10" s="169">
        <f t="shared" si="16"/>
        <v>0</v>
      </c>
      <c r="BH10" s="169" t="str">
        <f t="shared" si="23"/>
        <v>Bad Tölz 1</v>
      </c>
      <c r="BI10" s="168">
        <f t="shared" si="17"/>
        <v>2</v>
      </c>
      <c r="BJ10" s="169">
        <f t="shared" si="18"/>
        <v>869</v>
      </c>
      <c r="BK10" s="169">
        <f>IF(COUNTIF(AY10:BC10,"&gt;0")&lt;Spielorte!$A$23,0,AV10/Spielorte!$A$23)</f>
        <v>173.8</v>
      </c>
      <c r="BL10" s="169">
        <f t="shared" si="19"/>
        <v>0</v>
      </c>
      <c r="BM10" s="168">
        <f t="shared" si="20"/>
        <v>0</v>
      </c>
    </row>
    <row r="11" spans="1:65" ht="16.95" customHeight="1">
      <c r="A11" s="404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9"/>
      <c r="H11" s="222"/>
      <c r="I11" s="241">
        <f t="shared" si="2"/>
        <v>0</v>
      </c>
      <c r="J11" s="429"/>
      <c r="K11" s="222"/>
      <c r="L11" s="241">
        <f t="shared" si="3"/>
        <v>0</v>
      </c>
      <c r="M11" s="429"/>
      <c r="N11" s="222"/>
      <c r="O11" s="241">
        <f t="shared" si="4"/>
        <v>0</v>
      </c>
      <c r="P11" s="429"/>
      <c r="Q11" s="222"/>
      <c r="R11" s="241">
        <f t="shared" si="5"/>
        <v>0</v>
      </c>
      <c r="S11" s="429"/>
      <c r="T11" s="222">
        <f t="shared" si="24"/>
        <v>0</v>
      </c>
      <c r="U11" s="241">
        <f t="shared" si="25"/>
        <v>0</v>
      </c>
      <c r="V11" s="401"/>
      <c r="W11" s="79"/>
      <c r="X11" s="79"/>
      <c r="Y11" s="79"/>
      <c r="Z11" s="79"/>
      <c r="AA11" s="79"/>
      <c r="AB11" s="79"/>
      <c r="AL11" s="169">
        <f>IF(AU11=0,0,IFERROR(INDEX(RanglisteST1!K:K,MATCH(AU11,RanglisteST1!A:A,0)),0))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21"/>
        <v>0</v>
      </c>
      <c r="AW11" s="169">
        <f t="shared" si="9"/>
        <v>0</v>
      </c>
      <c r="AX11" s="169">
        <f t="shared" si="10"/>
        <v>0</v>
      </c>
      <c r="AY11" s="169" t="str">
        <f t="shared" si="22"/>
        <v/>
      </c>
      <c r="AZ11" s="169" t="str">
        <f t="shared" si="11"/>
        <v/>
      </c>
      <c r="BA11" s="169" t="str">
        <f t="shared" si="12"/>
        <v/>
      </c>
      <c r="BB11" s="169" t="str">
        <f t="shared" si="13"/>
        <v/>
      </c>
      <c r="BC11" s="169" t="str">
        <f t="shared" si="14"/>
        <v/>
      </c>
      <c r="BD11" s="170"/>
      <c r="BE11" s="168"/>
      <c r="BF11" s="169">
        <f t="shared" si="15"/>
        <v>0</v>
      </c>
      <c r="BG11" s="169">
        <f t="shared" si="16"/>
        <v>0</v>
      </c>
      <c r="BH11" s="169" t="str">
        <f t="shared" si="23"/>
        <v>Bad Tölz 1</v>
      </c>
      <c r="BI11" s="168">
        <f t="shared" si="17"/>
        <v>2</v>
      </c>
      <c r="BJ11" s="169">
        <f t="shared" si="18"/>
        <v>0</v>
      </c>
      <c r="BK11" s="169">
        <f>IF(COUNTIF(AY11:BC11,"&gt;0")&lt;Spielorte!$A$23,0,AV11/Spielorte!$A$23)</f>
        <v>0</v>
      </c>
      <c r="BL11" s="169">
        <f t="shared" si="19"/>
        <v>0</v>
      </c>
      <c r="BM11" s="168">
        <f t="shared" si="20"/>
        <v>0</v>
      </c>
    </row>
    <row r="12" spans="1:65" ht="16.95" customHeight="1" thickBot="1">
      <c r="A12" s="405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30"/>
      <c r="H12" s="224"/>
      <c r="I12" s="242">
        <f t="shared" si="2"/>
        <v>0</v>
      </c>
      <c r="J12" s="430"/>
      <c r="K12" s="224"/>
      <c r="L12" s="242">
        <f t="shared" si="3"/>
        <v>0</v>
      </c>
      <c r="M12" s="430"/>
      <c r="N12" s="224"/>
      <c r="O12" s="242">
        <f t="shared" si="4"/>
        <v>0</v>
      </c>
      <c r="P12" s="430"/>
      <c r="Q12" s="224"/>
      <c r="R12" s="242">
        <f t="shared" si="5"/>
        <v>0</v>
      </c>
      <c r="S12" s="430"/>
      <c r="T12" s="224">
        <f t="shared" si="24"/>
        <v>0</v>
      </c>
      <c r="U12" s="242">
        <f t="shared" si="25"/>
        <v>0</v>
      </c>
      <c r="V12" s="402"/>
      <c r="W12" s="79"/>
      <c r="X12" s="79"/>
      <c r="Y12" s="79"/>
      <c r="Z12" s="79"/>
      <c r="AA12" s="79"/>
      <c r="AB12" s="79"/>
      <c r="AL12" s="169">
        <f>IF(AU12=0,0,IFERROR(INDEX(RanglisteST1!K:K,MATCH(AU12,RanglisteST1!A:A,0)),0))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21"/>
        <v>0</v>
      </c>
      <c r="AW12" s="169">
        <f t="shared" si="9"/>
        <v>0</v>
      </c>
      <c r="AX12" s="169">
        <f t="shared" si="10"/>
        <v>0</v>
      </c>
      <c r="AY12" s="169" t="str">
        <f t="shared" si="22"/>
        <v/>
      </c>
      <c r="AZ12" s="169" t="str">
        <f t="shared" si="11"/>
        <v/>
      </c>
      <c r="BA12" s="169" t="str">
        <f t="shared" si="12"/>
        <v/>
      </c>
      <c r="BB12" s="169" t="str">
        <f t="shared" si="13"/>
        <v/>
      </c>
      <c r="BC12" s="169" t="str">
        <f t="shared" si="14"/>
        <v/>
      </c>
      <c r="BD12" s="170"/>
      <c r="BE12" s="168"/>
      <c r="BF12" s="169">
        <f t="shared" si="15"/>
        <v>0</v>
      </c>
      <c r="BG12" s="169">
        <f t="shared" si="16"/>
        <v>0</v>
      </c>
      <c r="BH12" s="169" t="str">
        <f t="shared" si="23"/>
        <v>Bad Tölz 1</v>
      </c>
      <c r="BI12" s="168">
        <f t="shared" si="17"/>
        <v>2</v>
      </c>
      <c r="BJ12" s="169">
        <f t="shared" si="18"/>
        <v>0</v>
      </c>
      <c r="BK12" s="169">
        <f>IF(COUNTIF(AY12:BC12,"&gt;0")&lt;Spielorte!$A$23,0,AV12/Spielorte!$A$23)</f>
        <v>0</v>
      </c>
      <c r="BL12" s="169">
        <f t="shared" si="19"/>
        <v>0</v>
      </c>
      <c r="BM12" s="168">
        <f t="shared" si="20"/>
        <v>0</v>
      </c>
    </row>
    <row r="13" spans="1:65" ht="16.95" customHeight="1">
      <c r="A13" s="403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8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8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8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8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8">
        <f>IF(SUM(R13:R15)+Q24=0,0,IF(ABS(SUM(R13:R15))=Q24,Spielorte!$A$30/2,IF(ABS(SUM(R13:R15))&gt;Q24,Spielorte!$A$30,0)))</f>
        <v>0</v>
      </c>
      <c r="T13" s="221">
        <f t="shared" si="24"/>
        <v>0</v>
      </c>
      <c r="U13" s="240">
        <f t="shared" si="25"/>
        <v>0</v>
      </c>
      <c r="V13" s="400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IF(AU13=0,0,IFERROR(INDEX(RanglisteST1!K:K,MATCH(AU13,RanglisteST1!A:A,0)),0))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21"/>
        <v>0</v>
      </c>
      <c r="AW13" s="169">
        <f t="shared" si="9"/>
        <v>0</v>
      </c>
      <c r="AX13" s="169">
        <f t="shared" si="10"/>
        <v>0</v>
      </c>
      <c r="AY13" s="169" t="str">
        <f t="shared" si="22"/>
        <v/>
      </c>
      <c r="AZ13" s="169" t="str">
        <f t="shared" si="11"/>
        <v/>
      </c>
      <c r="BA13" s="169" t="str">
        <f t="shared" si="12"/>
        <v/>
      </c>
      <c r="BB13" s="169" t="str">
        <f t="shared" si="13"/>
        <v/>
      </c>
      <c r="BC13" s="169" t="str">
        <f t="shared" si="14"/>
        <v/>
      </c>
      <c r="BD13" s="170"/>
      <c r="BE13" s="168"/>
      <c r="BF13" s="169">
        <f t="shared" si="15"/>
        <v>0</v>
      </c>
      <c r="BG13" s="169">
        <f t="shared" si="16"/>
        <v>0</v>
      </c>
      <c r="BH13" s="169" t="str">
        <f t="shared" si="23"/>
        <v>Bad Tölz 1</v>
      </c>
      <c r="BI13" s="168">
        <f t="shared" si="17"/>
        <v>2</v>
      </c>
      <c r="BJ13" s="169">
        <f t="shared" si="18"/>
        <v>0</v>
      </c>
      <c r="BK13" s="169">
        <f>IF(COUNTIF(AY13:BC13,"&gt;0")&lt;Spielorte!$A$23,0,AV13/Spielorte!$A$23)</f>
        <v>0</v>
      </c>
      <c r="BL13" s="169">
        <f t="shared" si="19"/>
        <v>0</v>
      </c>
      <c r="BM13" s="168">
        <f t="shared" si="20"/>
        <v>0</v>
      </c>
    </row>
    <row r="14" spans="1:65" ht="16.95" customHeight="1">
      <c r="A14" s="404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9"/>
      <c r="H14" s="222"/>
      <c r="I14" s="241">
        <f t="shared" si="2"/>
        <v>0</v>
      </c>
      <c r="J14" s="429"/>
      <c r="K14" s="222"/>
      <c r="L14" s="241">
        <f t="shared" si="3"/>
        <v>0</v>
      </c>
      <c r="M14" s="429"/>
      <c r="N14" s="222"/>
      <c r="O14" s="241">
        <f t="shared" si="4"/>
        <v>0</v>
      </c>
      <c r="P14" s="429"/>
      <c r="Q14" s="222"/>
      <c r="R14" s="241">
        <f t="shared" si="5"/>
        <v>0</v>
      </c>
      <c r="S14" s="429"/>
      <c r="T14" s="222">
        <f t="shared" si="24"/>
        <v>0</v>
      </c>
      <c r="U14" s="241">
        <f t="shared" si="25"/>
        <v>0</v>
      </c>
      <c r="V14" s="401"/>
      <c r="W14" s="79"/>
      <c r="X14" s="79"/>
      <c r="Y14" s="79"/>
      <c r="Z14" s="79"/>
      <c r="AA14" s="79"/>
      <c r="AB14" s="79"/>
      <c r="AL14" s="169">
        <f>IF(AU14=0,0,IFERROR(INDEX(RanglisteST1!K:K,MATCH(AU14,RanglisteST1!A:A,0)),0))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21"/>
        <v>0</v>
      </c>
      <c r="AW14" s="169">
        <f t="shared" si="9"/>
        <v>0</v>
      </c>
      <c r="AX14" s="169">
        <f t="shared" si="10"/>
        <v>0</v>
      </c>
      <c r="AY14" s="169" t="str">
        <f t="shared" si="22"/>
        <v/>
      </c>
      <c r="AZ14" s="169" t="str">
        <f t="shared" si="11"/>
        <v/>
      </c>
      <c r="BA14" s="169" t="str">
        <f t="shared" si="12"/>
        <v/>
      </c>
      <c r="BB14" s="169" t="str">
        <f t="shared" si="13"/>
        <v/>
      </c>
      <c r="BC14" s="169" t="str">
        <f t="shared" si="14"/>
        <v/>
      </c>
      <c r="BD14" s="170"/>
      <c r="BE14" s="168"/>
      <c r="BF14" s="169">
        <f t="shared" si="15"/>
        <v>0</v>
      </c>
      <c r="BG14" s="169">
        <f t="shared" si="16"/>
        <v>0</v>
      </c>
      <c r="BH14" s="169" t="str">
        <f t="shared" si="23"/>
        <v>Bad Tölz 1</v>
      </c>
      <c r="BI14" s="168">
        <f t="shared" si="17"/>
        <v>2</v>
      </c>
      <c r="BJ14" s="169">
        <f t="shared" si="18"/>
        <v>0</v>
      </c>
      <c r="BK14" s="169">
        <f>IF(COUNTIF(AY14:BC14,"&gt;0")&lt;Spielorte!$A$23,0,AV14/Spielorte!$A$23)</f>
        <v>0</v>
      </c>
      <c r="BL14" s="169">
        <f t="shared" si="19"/>
        <v>0</v>
      </c>
      <c r="BM14" s="168">
        <f t="shared" si="20"/>
        <v>0</v>
      </c>
    </row>
    <row r="15" spans="1:65" ht="16.95" customHeight="1" thickBot="1">
      <c r="A15" s="405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30"/>
      <c r="H15" s="224"/>
      <c r="I15" s="242">
        <f t="shared" si="2"/>
        <v>0</v>
      </c>
      <c r="J15" s="430"/>
      <c r="K15" s="224"/>
      <c r="L15" s="242">
        <f t="shared" si="3"/>
        <v>0</v>
      </c>
      <c r="M15" s="430"/>
      <c r="N15" s="224"/>
      <c r="O15" s="242">
        <f t="shared" si="4"/>
        <v>0</v>
      </c>
      <c r="P15" s="430"/>
      <c r="Q15" s="224"/>
      <c r="R15" s="242">
        <f t="shared" si="5"/>
        <v>0</v>
      </c>
      <c r="S15" s="430"/>
      <c r="T15" s="224">
        <f t="shared" si="24"/>
        <v>0</v>
      </c>
      <c r="U15" s="242">
        <f t="shared" si="25"/>
        <v>0</v>
      </c>
      <c r="V15" s="402"/>
      <c r="W15" s="79"/>
      <c r="X15" s="79"/>
      <c r="Y15" s="79"/>
      <c r="Z15" s="79"/>
      <c r="AA15" s="79"/>
      <c r="AB15" s="79"/>
      <c r="AL15" s="169">
        <f>IF(AU15=0,0,IFERROR(INDEX(RanglisteST1!K:K,MATCH(AU15,RanglisteST1!A:A,0)),0))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21"/>
        <v>0</v>
      </c>
      <c r="AW15" s="169">
        <f t="shared" si="9"/>
        <v>0</v>
      </c>
      <c r="AX15" s="169">
        <f t="shared" si="10"/>
        <v>0</v>
      </c>
      <c r="AY15" s="169" t="str">
        <f t="shared" si="22"/>
        <v/>
      </c>
      <c r="AZ15" s="169" t="str">
        <f t="shared" si="11"/>
        <v/>
      </c>
      <c r="BA15" s="169" t="str">
        <f t="shared" si="12"/>
        <v/>
      </c>
      <c r="BB15" s="169" t="str">
        <f t="shared" si="13"/>
        <v/>
      </c>
      <c r="BC15" s="169" t="str">
        <f t="shared" si="14"/>
        <v/>
      </c>
      <c r="BD15" s="170"/>
      <c r="BE15" s="168"/>
      <c r="BF15" s="169">
        <f t="shared" si="15"/>
        <v>0</v>
      </c>
      <c r="BG15" s="169">
        <f t="shared" si="16"/>
        <v>0</v>
      </c>
      <c r="BH15" s="169" t="str">
        <f t="shared" si="23"/>
        <v>Bad Tölz 1</v>
      </c>
      <c r="BI15" s="168">
        <f t="shared" si="17"/>
        <v>2</v>
      </c>
      <c r="BJ15" s="169">
        <f t="shared" si="18"/>
        <v>0</v>
      </c>
      <c r="BK15" s="169">
        <f>IF(COUNTIF(AY15:BC15,"&gt;0")&lt;Spielorte!$A$23,0,AV15/Spielorte!$A$23)</f>
        <v>0</v>
      </c>
      <c r="BL15" s="169">
        <f t="shared" si="19"/>
        <v>0</v>
      </c>
      <c r="BM15" s="168">
        <f t="shared" si="20"/>
        <v>0</v>
      </c>
    </row>
    <row r="16" spans="1:65" ht="27.75" customHeight="1" thickBot="1">
      <c r="B16" s="218" t="s">
        <v>1792</v>
      </c>
      <c r="C16" s="204"/>
      <c r="D16" s="219"/>
      <c r="E16" s="226">
        <f>ABS(SUM(E7:E9))+ABS(SUM(E10:E12))+ABS(SUM(E13:E15))</f>
        <v>338</v>
      </c>
      <c r="F16" s="225">
        <f>ABS(SUM(F7:F9))+ABS(SUM(F10:F12))+ABS(SUM(F13:F15))</f>
        <v>338</v>
      </c>
      <c r="G16" s="81">
        <f>IF(F16+E25=0,0,IF(F16=E25,Spielorte!$A$31/2,IF(F16&gt;E25,Spielorte!$A$31,0)))</f>
        <v>0</v>
      </c>
      <c r="H16" s="226">
        <f>ABS(SUM(H7:H9))+ABS(SUM(H10:H12))+ABS(SUM(H13:H15))</f>
        <v>384</v>
      </c>
      <c r="I16" s="225">
        <f>ABS(SUM(I7:I9))+ABS(SUM(I10:I12))+ABS(SUM(I13:I15))</f>
        <v>384</v>
      </c>
      <c r="J16" s="81">
        <f>IF(I16+H25=0,0,IF(I16=H25,Spielorte!$A$31/2,IF(I16&gt;H25,Spielorte!$A$31,0)))</f>
        <v>0</v>
      </c>
      <c r="K16" s="226">
        <f>ABS(SUM(K7:K9))+ABS(SUM(K10:K12))+ABS(SUM(K13:K15))</f>
        <v>345</v>
      </c>
      <c r="L16" s="225">
        <f>ABS(SUM(L7:L9))+ABS(SUM(L10:L12))+ABS(SUM(L13:L15))</f>
        <v>345</v>
      </c>
      <c r="M16" s="81">
        <f>IF(L16+K25=0,0,IF(L16=K25,Spielorte!$A$31/2,IF(L16&gt;K25,Spielorte!$A$31,0)))</f>
        <v>0</v>
      </c>
      <c r="N16" s="226">
        <f>ABS(SUM(N7:N9))+ABS(SUM(N10:N12))+ABS(SUM(N13:N15))</f>
        <v>347</v>
      </c>
      <c r="O16" s="225">
        <f>ABS(SUM(O7:O9))+ABS(SUM(O10:O12))+ABS(SUM(O13:O15))</f>
        <v>347</v>
      </c>
      <c r="P16" s="81">
        <f>IF(O16+N25=0,0,IF(O16=N25,Spielorte!$A$31/2,IF(O16&gt;N25,Spielorte!$A$31,0)))</f>
        <v>0</v>
      </c>
      <c r="Q16" s="226">
        <f>ABS(SUM(Q7:Q9))+ABS(SUM(Q10:Q12))+ABS(SUM(Q13:Q15))</f>
        <v>427</v>
      </c>
      <c r="R16" s="225">
        <f>ABS(SUM(R7:R9))+ABS(SUM(R10:R12))+ABS(SUM(R13:R15))</f>
        <v>427</v>
      </c>
      <c r="S16" s="81">
        <f>IF(R16+Q25=0,0,IF(R16=Q25,Spielorte!$A$31/2,IF(R16&gt;Q25,Spielorte!$A$31,0)))</f>
        <v>0</v>
      </c>
      <c r="T16" s="228">
        <f>SUM(E16+H16+K16+N16+Q16)</f>
        <v>1841</v>
      </c>
      <c r="U16" s="229">
        <f>SUM(F16+I16+L16+O16+R16)</f>
        <v>1841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>
      <c r="B17" s="230" t="s">
        <v>1803</v>
      </c>
      <c r="C17" s="1"/>
      <c r="D17" s="1"/>
      <c r="E17" s="1"/>
      <c r="F17" s="1"/>
      <c r="G17" s="61">
        <f>SUM(G7:G16)</f>
        <v>2</v>
      </c>
      <c r="H17" s="1"/>
      <c r="I17" s="1"/>
      <c r="J17" s="61">
        <f>SUM(J7:J16)</f>
        <v>2</v>
      </c>
      <c r="K17" s="1"/>
      <c r="L17" s="1"/>
      <c r="M17" s="61">
        <f>SUM(M7:M16)</f>
        <v>2</v>
      </c>
      <c r="N17" s="1"/>
      <c r="O17" s="1"/>
      <c r="P17" s="61">
        <f>SUM(P7:P16)</f>
        <v>1</v>
      </c>
      <c r="Q17" s="1"/>
      <c r="R17" s="1"/>
      <c r="S17" s="61">
        <f>SUM(S7:S16)</f>
        <v>1</v>
      </c>
      <c r="T17" s="1"/>
      <c r="U17" s="1"/>
      <c r="V17" s="61">
        <f>SUM(V7:V16)</f>
        <v>8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8</v>
      </c>
      <c r="AR17" s="167">
        <f>+T16</f>
        <v>1841</v>
      </c>
      <c r="AS17" s="167">
        <f>+U16</f>
        <v>1841</v>
      </c>
      <c r="AT17" s="168">
        <f>+B2</f>
        <v>1</v>
      </c>
      <c r="AW17" s="169">
        <f>SUM(AW1:AW16)</f>
        <v>10</v>
      </c>
      <c r="BD17" s="166">
        <f>+AS17/1000000+AQ17+AR17/1000000000000</f>
        <v>8.0018410018410009</v>
      </c>
      <c r="BE17" s="168">
        <f>RANK(BD17,BD:BD)</f>
        <v>7</v>
      </c>
      <c r="BI17" s="168"/>
      <c r="BM17" s="168"/>
    </row>
    <row r="18" spans="1:65" ht="11.25" customHeight="1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>
      <c r="B19" s="231" t="s">
        <v>1790</v>
      </c>
      <c r="C19" s="210"/>
      <c r="D19" s="42"/>
      <c r="E19" s="434">
        <f>VLOOKUP($B2,Schlüssel!$A$5:$EK$12,3)</f>
        <v>2</v>
      </c>
      <c r="F19" s="435"/>
      <c r="G19" s="436"/>
      <c r="H19" s="434">
        <f>VLOOKUP($B2,Schlüssel!$A$5:$EK$12,4)</f>
        <v>3</v>
      </c>
      <c r="I19" s="435"/>
      <c r="J19" s="436"/>
      <c r="K19" s="434">
        <f>VLOOKUP($B2,Schlüssel!$A$5:$EK$12,5)</f>
        <v>8</v>
      </c>
      <c r="L19" s="435"/>
      <c r="M19" s="436"/>
      <c r="N19" s="434">
        <f>VLOOKUP($B2,Schlüssel!$A$5:$EK$12,6)</f>
        <v>5</v>
      </c>
      <c r="O19" s="435"/>
      <c r="P19" s="436"/>
      <c r="Q19" s="434">
        <f>VLOOKUP($B2,Schlüssel!$A$5:$EK$12,7)</f>
        <v>7</v>
      </c>
      <c r="R19" s="435"/>
      <c r="S19" s="436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>
      <c r="B20" s="3" t="s">
        <v>9</v>
      </c>
      <c r="C20" s="1"/>
      <c r="D20" s="1"/>
      <c r="E20" s="395" t="str">
        <f>VLOOKUP(E19,Schlüssel!$A$5:$K$12,2)</f>
        <v>Highroller Rosenheim 1</v>
      </c>
      <c r="F20" s="438"/>
      <c r="G20" s="396"/>
      <c r="H20" s="395" t="str">
        <f>VLOOKUP(H19,Schlüssel!$A$5:$K$12,2)</f>
        <v>Highroller Rosenheim 2</v>
      </c>
      <c r="I20" s="438"/>
      <c r="J20" s="396"/>
      <c r="K20" s="395" t="str">
        <f>VLOOKUP(K19,Schlüssel!$A$5:$K$12,2)</f>
        <v>EMAX 1</v>
      </c>
      <c r="L20" s="438"/>
      <c r="M20" s="396"/>
      <c r="N20" s="395" t="str">
        <f>VLOOKUP(N19,Schlüssel!$A$5:$K$12,2)</f>
        <v>Berchtesgaden 1</v>
      </c>
      <c r="O20" s="438"/>
      <c r="P20" s="396"/>
      <c r="Q20" s="395" t="str">
        <f>VLOOKUP(Q19,Schlüssel!$A$5:$K$12,2)</f>
        <v>BK München 1</v>
      </c>
      <c r="R20" s="438"/>
      <c r="S20" s="396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" customHeight="1">
      <c r="B22" s="417" t="s">
        <v>2275</v>
      </c>
      <c r="C22" s="418"/>
      <c r="D22" s="419"/>
      <c r="E22" s="431">
        <f>ABS(INDEX(F:F,MATCH(E19,$B:$B,0)+5)+INDEX(F:F,MATCH(E19,$B:$B,0)+6)+INDEX(F:F,MATCH(E19,$B:$B,0)+7))</f>
        <v>108</v>
      </c>
      <c r="F22" s="432"/>
      <c r="G22" s="433"/>
      <c r="H22" s="431">
        <f>ABS(INDEX(I:I,MATCH(H19,$B:$B,0)+5)+INDEX(I:I,MATCH(H19,$B:$B,0)+6)+INDEX(I:I,MATCH(H19,$B:$B,0)+7))</f>
        <v>150</v>
      </c>
      <c r="I22" s="432"/>
      <c r="J22" s="433"/>
      <c r="K22" s="431">
        <f>ABS(INDEX(L:L,MATCH(K19,$B:$B,0)+5)+INDEX(L:L,MATCH(K19,$B:$B,0)+6)+INDEX(L:L,MATCH(K19,$B:$B,0)+7))</f>
        <v>147</v>
      </c>
      <c r="L22" s="432"/>
      <c r="M22" s="433"/>
      <c r="N22" s="431">
        <f>ABS(INDEX(O:O,MATCH(N19,$B:$B,0)+5)+INDEX(O:O,MATCH(N19,$B:$B,0)+6)+INDEX(O:O,MATCH(N19,$B:$B,0)+7))</f>
        <v>148</v>
      </c>
      <c r="O22" s="432"/>
      <c r="P22" s="433"/>
      <c r="Q22" s="431">
        <f>ABS(INDEX(R:R,MATCH(Q19,$B:$B,0)+5)+INDEX(R:R,MATCH(Q19,$B:$B,0)+6)+INDEX(R:R,MATCH(Q19,$B:$B,0)+7))</f>
        <v>257</v>
      </c>
      <c r="R22" s="432"/>
      <c r="S22" s="433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" customHeight="1">
      <c r="B23" s="417" t="s">
        <v>2276</v>
      </c>
      <c r="C23" s="418"/>
      <c r="D23" s="419"/>
      <c r="E23" s="424">
        <f>ABS(INDEX(F:F,MATCH(E19,$B:$B,0)+8)+INDEX(F:F,MATCH(E19,$B:$B,0)+9)+INDEX(F:F,MATCH(E19,$B:$B,0)+10))</f>
        <v>141</v>
      </c>
      <c r="F23" s="425"/>
      <c r="G23" s="426"/>
      <c r="H23" s="424">
        <f>ABS(INDEX(I:I,MATCH(H19,$B:$B,0)+8)+INDEX(I:I,MATCH(H19,$B:$B,0)+9)+INDEX(I:I,MATCH(H19,$B:$B,0)+10))</f>
        <v>145</v>
      </c>
      <c r="I23" s="425"/>
      <c r="J23" s="426"/>
      <c r="K23" s="424">
        <f>ABS(INDEX(L:L,MATCH(K19,$B:$B,0)+8)+INDEX(L:L,MATCH(K19,$B:$B,0)+9)+INDEX(L:L,MATCH(K19,$B:$B,0)+10))</f>
        <v>146</v>
      </c>
      <c r="L23" s="425"/>
      <c r="M23" s="426"/>
      <c r="N23" s="424">
        <f>ABS(INDEX(O:O,MATCH(N19,$B:$B,0)+8)+INDEX(O:O,MATCH(N19,$B:$B,0)+9)+INDEX(O:O,MATCH(N19,$B:$B,0)+10))</f>
        <v>174</v>
      </c>
      <c r="O23" s="425"/>
      <c r="P23" s="426"/>
      <c r="Q23" s="424">
        <f>ABS(INDEX(R:R,MATCH(Q19,$B:$B,0)+8)+INDEX(R:R,MATCH(Q19,$B:$B,0)+9)+INDEX(R:R,MATCH(Q19,$B:$B,0)+10))</f>
        <v>149</v>
      </c>
      <c r="R23" s="425"/>
      <c r="S23" s="426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" customHeight="1">
      <c r="B24" s="417" t="s">
        <v>2277</v>
      </c>
      <c r="C24" s="418"/>
      <c r="D24" s="419"/>
      <c r="E24" s="424">
        <f>ABS(INDEX(F:F,MATCH(E19,$B:$B,0)+11)+INDEX(F:F,MATCH(E19,$B:$B,0)+12)+INDEX(F:F,MATCH(E19,$B:$B,0)+13))</f>
        <v>163</v>
      </c>
      <c r="F24" s="425"/>
      <c r="G24" s="426"/>
      <c r="H24" s="424">
        <f>ABS(INDEX(I:I,MATCH(H19,$B:$B,0)+11)+INDEX(I:I,MATCH(H19,$B:$B,0)+12)+INDEX(I:I,MATCH(H19,$B:$B,0)+13))</f>
        <v>152</v>
      </c>
      <c r="I24" s="425"/>
      <c r="J24" s="426"/>
      <c r="K24" s="424">
        <f>ABS(INDEX(L:L,MATCH(K19,$B:$B,0)+11)+INDEX(L:L,MATCH(K19,$B:$B,0)+12)+INDEX(L:L,MATCH(K19,$B:$B,0)+13))</f>
        <v>123</v>
      </c>
      <c r="L24" s="425"/>
      <c r="M24" s="426"/>
      <c r="N24" s="424">
        <f>ABS(INDEX(O:O,MATCH(N19,$B:$B,0)+11)+INDEX(O:O,MATCH(N19,$B:$B,0)+12)+INDEX(O:O,MATCH(N19,$B:$B,0)+13))</f>
        <v>150</v>
      </c>
      <c r="O24" s="425"/>
      <c r="P24" s="426"/>
      <c r="Q24" s="424">
        <f>ABS(INDEX(R:R,MATCH(Q19,$B:$B,0)+11)+INDEX(R:R,MATCH(Q19,$B:$B,0)+12)+INDEX(R:R,MATCH(Q19,$B:$B,0)+13))</f>
        <v>229</v>
      </c>
      <c r="R24" s="425"/>
      <c r="S24" s="426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" customHeight="1">
      <c r="B25" s="420" t="s">
        <v>2278</v>
      </c>
      <c r="C25" s="421"/>
      <c r="D25" s="422"/>
      <c r="E25" s="407">
        <f>SUM(E22:E24)</f>
        <v>412</v>
      </c>
      <c r="F25" s="423"/>
      <c r="G25" s="408"/>
      <c r="H25" s="407">
        <f>SUM(H22:H24)</f>
        <v>447</v>
      </c>
      <c r="I25" s="423"/>
      <c r="J25" s="408"/>
      <c r="K25" s="407">
        <f>SUM(K22:K24)</f>
        <v>416</v>
      </c>
      <c r="L25" s="423"/>
      <c r="M25" s="408"/>
      <c r="N25" s="407">
        <f>SUM(N22:N24)</f>
        <v>472</v>
      </c>
      <c r="O25" s="423"/>
      <c r="P25" s="408"/>
      <c r="Q25" s="407">
        <f>SUM(Q22:Q24)</f>
        <v>635</v>
      </c>
      <c r="R25" s="423"/>
      <c r="S25" s="408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>
      <c r="A27" s="255"/>
      <c r="B27" s="7" t="s">
        <v>1802</v>
      </c>
      <c r="C27" s="24"/>
      <c r="D27" s="24"/>
      <c r="E27" s="35" t="s">
        <v>1786</v>
      </c>
      <c r="F27" s="35"/>
      <c r="G27" s="427" t="str">
        <f>Schlüssel!$C$1</f>
        <v>Landesliga Jugend</v>
      </c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06">
        <f>Schlüssel!$M$1</f>
        <v>45211</v>
      </c>
      <c r="T27" s="406"/>
      <c r="U27" s="406"/>
      <c r="V27" s="406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>
      <c r="A28" s="53"/>
      <c r="B28" s="54">
        <v>2</v>
      </c>
      <c r="E28" s="35" t="s">
        <v>1787</v>
      </c>
      <c r="F28" s="35"/>
      <c r="G28" s="413" t="str">
        <f>Schlüssel!$C$2</f>
        <v>Brunnthal Max Munich</v>
      </c>
      <c r="H28" s="413"/>
      <c r="I28" s="413"/>
      <c r="J28" s="413"/>
      <c r="K28" s="413"/>
      <c r="L28" s="413"/>
      <c r="M28" s="413"/>
      <c r="N28" s="413"/>
      <c r="O28" s="413"/>
      <c r="P28" s="66"/>
      <c r="Q28" s="411" t="s">
        <v>1785</v>
      </c>
      <c r="R28" s="412"/>
      <c r="S28" s="38">
        <v>1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>
      <c r="B29" s="414" t="str">
        <f>VLOOKUP(B28,Schlüssel!$A$5:$B$12,2)</f>
        <v>Highroller Rosenheim 1</v>
      </c>
      <c r="C29" s="415"/>
      <c r="D29" s="415"/>
      <c r="E29" s="415"/>
      <c r="F29" s="415"/>
      <c r="G29" s="416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3.8" hidden="1" thickBot="1">
      <c r="A30" s="6"/>
      <c r="B30" s="7"/>
      <c r="C30" s="43"/>
      <c r="D30" s="43"/>
      <c r="E30" s="162" t="s">
        <v>10</v>
      </c>
      <c r="F30" s="220"/>
      <c r="G30" s="159">
        <f>VLOOKUP($B28,Schlüssel!$A$5:$EK$12,13)</f>
        <v>10</v>
      </c>
      <c r="H30" s="161" t="s">
        <v>10</v>
      </c>
      <c r="I30" s="220"/>
      <c r="J30" s="159">
        <f>VLOOKUP($B28,Schlüssel!$A$5:$EK$12,14)</f>
        <v>13</v>
      </c>
      <c r="K30" s="161" t="s">
        <v>10</v>
      </c>
      <c r="L30" s="220"/>
      <c r="M30" s="159">
        <f>VLOOKUP($B28,Schlüssel!$A$5:$EK$12,15)</f>
        <v>15</v>
      </c>
      <c r="N30" s="161" t="s">
        <v>10</v>
      </c>
      <c r="O30" s="220"/>
      <c r="P30" s="159">
        <f>VLOOKUP($B28,Schlüssel!$A$5:$EK$12,16)</f>
        <v>12</v>
      </c>
      <c r="Q30" s="161" t="s">
        <v>10</v>
      </c>
      <c r="R30" s="220"/>
      <c r="S30" s="160">
        <f>VLOOKUP($B28,Schlüssel!$A$5:$DZ$12,17)</f>
        <v>16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>
      <c r="B31" s="44" t="s">
        <v>1</v>
      </c>
      <c r="C31" s="208"/>
      <c r="D31" s="217"/>
      <c r="E31" s="423" t="s">
        <v>1793</v>
      </c>
      <c r="F31" s="423"/>
      <c r="G31" s="408"/>
      <c r="H31" s="407" t="s">
        <v>1794</v>
      </c>
      <c r="I31" s="423"/>
      <c r="J31" s="408"/>
      <c r="K31" s="407" t="s">
        <v>1795</v>
      </c>
      <c r="L31" s="423"/>
      <c r="M31" s="408"/>
      <c r="N31" s="407" t="s">
        <v>1796</v>
      </c>
      <c r="O31" s="423"/>
      <c r="P31" s="408"/>
      <c r="Q31" s="407" t="s">
        <v>1797</v>
      </c>
      <c r="R31" s="423"/>
      <c r="S31" s="437"/>
      <c r="T31" s="439" t="s">
        <v>1792</v>
      </c>
      <c r="U31" s="440"/>
      <c r="V31" s="410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6.95" customHeight="1">
      <c r="A33" s="403" t="s">
        <v>0</v>
      </c>
      <c r="B33" s="58" t="str">
        <f>IF(C33=0,"",VLOOKUP(C33,Starter!$A$1:$D$196,2,FALSE))</f>
        <v>Achhammer, Klara</v>
      </c>
      <c r="C33" s="232">
        <v>38760</v>
      </c>
      <c r="D33" s="238">
        <f t="shared" ref="D33:D41" si="26">+AP33</f>
        <v>6</v>
      </c>
      <c r="E33" s="221">
        <v>102</v>
      </c>
      <c r="F33" s="240">
        <f t="shared" ref="F33:F41" si="27">IF(E33&gt;0,E33+$D33,0)</f>
        <v>108</v>
      </c>
      <c r="G33" s="428">
        <f>IF(SUM(F33:F35)+E48=0,0,IF(ABS(SUM(F33:F35))=E48,Spielorte!$A$30/2,IF(ABS(SUM(F33:F35))&gt;E48,Spielorte!$A$30,0)))</f>
        <v>0</v>
      </c>
      <c r="H33" s="221">
        <v>200</v>
      </c>
      <c r="I33" s="240">
        <f t="shared" ref="I33:I41" si="28">IF(H33&gt;0,H33+$D33,0)</f>
        <v>206</v>
      </c>
      <c r="J33" s="428">
        <f>IF(SUM(I33:I35)+H48=0,0,IF(ABS(SUM(I33:I35))=H48,Spielorte!$A$30/2,IF(ABS(SUM(I33:I35))&gt;H48,Spielorte!$A$30,0)))</f>
        <v>1</v>
      </c>
      <c r="K33" s="221"/>
      <c r="L33" s="240">
        <f t="shared" ref="L33:L41" si="29">IF(K33&gt;0,K33+$D33,0)</f>
        <v>0</v>
      </c>
      <c r="M33" s="428">
        <f>IF(SUM(L33:L35)+K48=0,0,IF(ABS(SUM(L33:L35))=K48,Spielorte!$A$30/2,IF(ABS(SUM(L33:L35))&gt;K48,Spielorte!$A$30,0)))</f>
        <v>1</v>
      </c>
      <c r="N33" s="221"/>
      <c r="O33" s="240">
        <f t="shared" ref="O33:O41" si="30">IF(N33&gt;0,N33+$D33,0)</f>
        <v>0</v>
      </c>
      <c r="P33" s="428">
        <f>IF(SUM(O33:O35)+N48=0,0,IF(ABS(SUM(O33:O35))=N48,Spielorte!$A$30/2,IF(ABS(SUM(O33:O35))&gt;N48,Spielorte!$A$30,0)))</f>
        <v>0</v>
      </c>
      <c r="Q33" s="221"/>
      <c r="R33" s="240">
        <f t="shared" ref="R33:R41" si="31">IF(Q33&gt;0,Q33+$D33,0)</f>
        <v>0</v>
      </c>
      <c r="S33" s="428">
        <f>IF(SUM(R33:R35)+Q48=0,0,IF(ABS(SUM(R33:R35))=Q48,Spielorte!$A$30/2,IF(ABS(SUM(R33:R35))&gt;Q48,Spielorte!$A$30,0)))</f>
        <v>0</v>
      </c>
      <c r="T33" s="221">
        <f t="shared" ref="T33:T41" si="32">ABS(SUM(E33:E33))+ABS(SUM(H33:H33))+ABS(SUM(K33:K33))+ABS(SUM(N33:N33))+ABS(SUM(Q33:Q33))</f>
        <v>302</v>
      </c>
      <c r="U33" s="240">
        <f t="shared" ref="U33:U41" si="33">ABS(SUM(F33:F33))+ABS(SUM(I33:I33))+ABS(SUM(L33:L33))+ABS(SUM(O33:O33))+ABS(SUM(R33:R33))</f>
        <v>314</v>
      </c>
      <c r="V33" s="400">
        <f>SUM(G33+J33+M33+P33+S33)</f>
        <v>2</v>
      </c>
      <c r="W33" s="79"/>
      <c r="X33" s="79"/>
      <c r="Y33" s="79"/>
      <c r="Z33" s="79"/>
      <c r="AA33" s="79"/>
      <c r="AB33" s="79"/>
      <c r="AL33" s="169">
        <f>IF(AU33=0,0,IFERROR(INDEX(RanglisteST1!K:K,MATCH(AU33,RanglisteST1!A:A,0)),0))</f>
        <v>152.94999694824219</v>
      </c>
      <c r="AM33" s="169">
        <f>IF(AU33=0,0,SUMIF(AU33:AU41,AU33,AV33:AV41))</f>
        <v>569</v>
      </c>
      <c r="AN33" s="169">
        <f>IF(AU33=0,0,SUMIF(AU33:AU41,AU33,AW33:AW41))</f>
        <v>4</v>
      </c>
      <c r="AO33" s="169">
        <f t="shared" ref="AO33:AO41" si="34">IFERROR(AM33/AN33,0)</f>
        <v>142.25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6</v>
      </c>
      <c r="AQ33" s="166"/>
      <c r="AR33" s="167"/>
      <c r="AS33" s="167"/>
      <c r="AT33" s="168"/>
      <c r="AU33" s="171">
        <f t="shared" ref="AU33:AU41" si="35">C33</f>
        <v>38760</v>
      </c>
      <c r="AV33" s="167">
        <f>T33</f>
        <v>302</v>
      </c>
      <c r="AW33" s="169">
        <f t="shared" ref="AW33:AW41" si="36">COUNT(AY33:BC33)</f>
        <v>2</v>
      </c>
      <c r="AX33" s="169">
        <f t="shared" ref="AX33:AX41" si="37">COUNTIF(AY33:BC33,"&gt;0")</f>
        <v>2</v>
      </c>
      <c r="AY33" s="169">
        <f>IF(E33=0,"",E33)</f>
        <v>102</v>
      </c>
      <c r="AZ33" s="169">
        <f t="shared" ref="AZ33:AZ41" si="38">IF(H33=0,"",H33)</f>
        <v>200</v>
      </c>
      <c r="BA33" s="169" t="str">
        <f t="shared" ref="BA33:BA41" si="39">IF(K33=0,"",K33)</f>
        <v/>
      </c>
      <c r="BB33" s="169" t="str">
        <f t="shared" ref="BB33:BB41" si="40">IF(N33=0,"",N33)</f>
        <v/>
      </c>
      <c r="BC33" s="169" t="str">
        <f t="shared" ref="BC33:BC41" si="41">IF(Q33=0,"",Q33)</f>
        <v/>
      </c>
      <c r="BD33" s="170"/>
      <c r="BE33" s="168"/>
      <c r="BF33" s="169">
        <f t="shared" ref="BF33:BF41" si="42">MAX(AY33:BC33)</f>
        <v>200</v>
      </c>
      <c r="BG33" s="169">
        <f t="shared" ref="BG33:BG41" si="43">IF(BF33&lt;MAX(BF:BF),0,BF33+ROW()/1000000000)</f>
        <v>0</v>
      </c>
      <c r="BH33" s="169" t="str">
        <f>+B29</f>
        <v>Highroller Rosenheim 1</v>
      </c>
      <c r="BI33" s="168">
        <f t="shared" ref="BI33:BI41" si="44">RANK(BG33,BG:BG)</f>
        <v>2</v>
      </c>
      <c r="BJ33" s="169">
        <f t="shared" ref="BJ33:BJ41" si="45">SUMIF(AY33:BC33,"&gt;0")</f>
        <v>302</v>
      </c>
      <c r="BK33" s="169">
        <f>IF(COUNTIF(AY33:BC33,"&gt;0")&lt;Spielorte!$A$23,0,AV33/Spielorte!$A$23)</f>
        <v>0</v>
      </c>
      <c r="BL33" s="169">
        <f t="shared" ref="BL33:BL41" si="46">IF(BK33&lt;MAX(BK:BK),0,BK33+ROW()/1000000000)</f>
        <v>0</v>
      </c>
      <c r="BM33" s="168">
        <f t="shared" ref="BM33:BM41" si="47">IF(BL33=0,0,RANK(BL33,BL:BL))</f>
        <v>0</v>
      </c>
    </row>
    <row r="34" spans="1:65" ht="16.95" customHeight="1">
      <c r="A34" s="404"/>
      <c r="B34" s="58" t="str">
        <f>IF(C34=0,"",VLOOKUP(C34,Starter!$A$1:$D$196,2,FALSE))</f>
        <v>Thiele, Isabelle</v>
      </c>
      <c r="C34" s="233">
        <v>38831</v>
      </c>
      <c r="D34" s="239">
        <f t="shared" si="26"/>
        <v>65</v>
      </c>
      <c r="E34" s="222"/>
      <c r="F34" s="241">
        <f t="shared" si="27"/>
        <v>0</v>
      </c>
      <c r="G34" s="429"/>
      <c r="H34" s="222"/>
      <c r="I34" s="241">
        <f t="shared" si="28"/>
        <v>0</v>
      </c>
      <c r="J34" s="429"/>
      <c r="K34" s="222">
        <v>88</v>
      </c>
      <c r="L34" s="241">
        <f t="shared" si="29"/>
        <v>153</v>
      </c>
      <c r="M34" s="429"/>
      <c r="N34" s="222">
        <v>74</v>
      </c>
      <c r="O34" s="241">
        <f t="shared" si="30"/>
        <v>139</v>
      </c>
      <c r="P34" s="429"/>
      <c r="Q34" s="222"/>
      <c r="R34" s="241">
        <f t="shared" si="31"/>
        <v>0</v>
      </c>
      <c r="S34" s="429"/>
      <c r="T34" s="222">
        <f t="shared" si="32"/>
        <v>162</v>
      </c>
      <c r="U34" s="241">
        <f t="shared" si="33"/>
        <v>292</v>
      </c>
      <c r="V34" s="401"/>
      <c r="W34" s="79"/>
      <c r="X34" s="79"/>
      <c r="Y34" s="79"/>
      <c r="Z34" s="79"/>
      <c r="AA34" s="79"/>
      <c r="AB34" s="79"/>
      <c r="AL34" s="169">
        <f>IF(AU34=0,0,IFERROR(INDEX(RanglisteST1!K:K,MATCH(AU34,RanglisteST1!A:A,0)),0))</f>
        <v>0</v>
      </c>
      <c r="AM34" s="169">
        <f>IF(AU34=0,0,SUMIF(AU33:AU41,AU34,AV33:AV41))</f>
        <v>238</v>
      </c>
      <c r="AN34" s="169">
        <f>IF(AU34=0,0,SUMIF(AU33:AU41,AU34,AW33:AW41))</f>
        <v>3</v>
      </c>
      <c r="AO34" s="169">
        <f t="shared" si="34"/>
        <v>79.333333333333329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65</v>
      </c>
      <c r="AQ34" s="166"/>
      <c r="AR34" s="167"/>
      <c r="AS34" s="167"/>
      <c r="AT34" s="168"/>
      <c r="AU34" s="171">
        <f t="shared" si="35"/>
        <v>38831</v>
      </c>
      <c r="AV34" s="167">
        <f t="shared" ref="AV34:AV41" si="48">T34</f>
        <v>162</v>
      </c>
      <c r="AW34" s="169">
        <f t="shared" si="36"/>
        <v>2</v>
      </c>
      <c r="AX34" s="169">
        <f t="shared" si="37"/>
        <v>2</v>
      </c>
      <c r="AY34" s="169" t="str">
        <f t="shared" ref="AY34:AY41" si="49">IF(E34=0,"",E34)</f>
        <v/>
      </c>
      <c r="AZ34" s="169" t="str">
        <f t="shared" si="38"/>
        <v/>
      </c>
      <c r="BA34" s="169">
        <f t="shared" si="39"/>
        <v>88</v>
      </c>
      <c r="BB34" s="169">
        <f t="shared" si="40"/>
        <v>74</v>
      </c>
      <c r="BC34" s="169" t="str">
        <f t="shared" si="41"/>
        <v/>
      </c>
      <c r="BD34" s="170"/>
      <c r="BE34" s="168"/>
      <c r="BF34" s="169">
        <f t="shared" si="42"/>
        <v>88</v>
      </c>
      <c r="BG34" s="169">
        <f t="shared" si="43"/>
        <v>0</v>
      </c>
      <c r="BH34" s="169" t="str">
        <f t="shared" ref="BH34:BH41" si="50">+BH33</f>
        <v>Highroller Rosenheim 1</v>
      </c>
      <c r="BI34" s="168">
        <f t="shared" si="44"/>
        <v>2</v>
      </c>
      <c r="BJ34" s="169">
        <f t="shared" si="45"/>
        <v>162</v>
      </c>
      <c r="BK34" s="169">
        <f>IF(COUNTIF(AY34:BC34,"&gt;0")&lt;Spielorte!$A$23,0,AV34/Spielorte!$A$23)</f>
        <v>0</v>
      </c>
      <c r="BL34" s="169">
        <f t="shared" si="46"/>
        <v>0</v>
      </c>
      <c r="BM34" s="168">
        <f t="shared" si="47"/>
        <v>0</v>
      </c>
    </row>
    <row r="35" spans="1:65" ht="16.95" customHeight="1" thickBot="1">
      <c r="A35" s="405"/>
      <c r="B35" s="59" t="str">
        <f>IF(C35=0,"",VLOOKUP(C35,Starter!$A$1:$D$196,2,FALSE))</f>
        <v>Weiss, Luisa Samira</v>
      </c>
      <c r="C35" s="234">
        <v>38773</v>
      </c>
      <c r="D35" s="223">
        <f t="shared" si="26"/>
        <v>12</v>
      </c>
      <c r="E35" s="224"/>
      <c r="F35" s="242">
        <f t="shared" si="27"/>
        <v>0</v>
      </c>
      <c r="G35" s="430"/>
      <c r="H35" s="224"/>
      <c r="I35" s="242">
        <f t="shared" si="28"/>
        <v>0</v>
      </c>
      <c r="J35" s="430"/>
      <c r="K35" s="224"/>
      <c r="L35" s="242">
        <f t="shared" si="29"/>
        <v>0</v>
      </c>
      <c r="M35" s="430"/>
      <c r="N35" s="224"/>
      <c r="O35" s="242">
        <f t="shared" si="30"/>
        <v>0</v>
      </c>
      <c r="P35" s="430"/>
      <c r="Q35" s="224">
        <v>146</v>
      </c>
      <c r="R35" s="242">
        <f t="shared" si="31"/>
        <v>158</v>
      </c>
      <c r="S35" s="430"/>
      <c r="T35" s="224">
        <f t="shared" si="32"/>
        <v>146</v>
      </c>
      <c r="U35" s="242">
        <f t="shared" si="33"/>
        <v>158</v>
      </c>
      <c r="V35" s="402"/>
      <c r="W35" s="79"/>
      <c r="X35" s="79"/>
      <c r="Y35" s="79"/>
      <c r="Z35" s="79"/>
      <c r="AA35" s="79"/>
      <c r="AB35" s="79"/>
      <c r="AL35" s="169">
        <f>IF(AU35=0,0,IFERROR(INDEX(RanglisteST1!K:K,MATCH(AU35,RanglisteST1!A:A,0)),0))</f>
        <v>144.66999816894531</v>
      </c>
      <c r="AM35" s="169">
        <f>IF(AU35=0,0,SUMIF(AU33:AU41,AU35,AV33:AV41))</f>
        <v>594</v>
      </c>
      <c r="AN35" s="169">
        <f>IF(AU35=0,0,SUMIF(AU33:AU41,AU35,AW33:AW41))</f>
        <v>4</v>
      </c>
      <c r="AO35" s="169">
        <f t="shared" si="34"/>
        <v>148.5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12</v>
      </c>
      <c r="AQ35" s="166"/>
      <c r="AR35" s="167"/>
      <c r="AS35" s="167"/>
      <c r="AT35" s="168"/>
      <c r="AU35" s="171">
        <f t="shared" si="35"/>
        <v>38773</v>
      </c>
      <c r="AV35" s="167">
        <f t="shared" si="48"/>
        <v>146</v>
      </c>
      <c r="AW35" s="169">
        <f t="shared" si="36"/>
        <v>1</v>
      </c>
      <c r="AX35" s="169">
        <f t="shared" si="37"/>
        <v>1</v>
      </c>
      <c r="AY35" s="169" t="str">
        <f t="shared" si="49"/>
        <v/>
      </c>
      <c r="AZ35" s="169" t="str">
        <f t="shared" si="38"/>
        <v/>
      </c>
      <c r="BA35" s="169" t="str">
        <f t="shared" si="39"/>
        <v/>
      </c>
      <c r="BB35" s="169" t="str">
        <f t="shared" si="40"/>
        <v/>
      </c>
      <c r="BC35" s="169">
        <f t="shared" si="41"/>
        <v>146</v>
      </c>
      <c r="BD35" s="170"/>
      <c r="BE35" s="168"/>
      <c r="BF35" s="169">
        <f t="shared" si="42"/>
        <v>146</v>
      </c>
      <c r="BG35" s="169">
        <f t="shared" si="43"/>
        <v>0</v>
      </c>
      <c r="BH35" s="169" t="str">
        <f t="shared" si="50"/>
        <v>Highroller Rosenheim 1</v>
      </c>
      <c r="BI35" s="168">
        <f t="shared" si="44"/>
        <v>2</v>
      </c>
      <c r="BJ35" s="169">
        <f t="shared" si="45"/>
        <v>146</v>
      </c>
      <c r="BK35" s="169">
        <f>IF(COUNTIF(AY35:BC35,"&gt;0")&lt;Spielorte!$A$23,0,AV35/Spielorte!$A$23)</f>
        <v>0</v>
      </c>
      <c r="BL35" s="169">
        <f t="shared" si="46"/>
        <v>0</v>
      </c>
      <c r="BM35" s="168">
        <f t="shared" si="47"/>
        <v>0</v>
      </c>
    </row>
    <row r="36" spans="1:65" ht="16.95" customHeight="1">
      <c r="A36" s="403" t="s">
        <v>2</v>
      </c>
      <c r="B36" s="58" t="str">
        <f>IF(C36=0,"",VLOOKUP(C36,Starter!$A$1:$D$196,2,FALSE))</f>
        <v>Thiele, Isabelle</v>
      </c>
      <c r="C36" s="235">
        <v>38831</v>
      </c>
      <c r="D36" s="238">
        <f t="shared" si="26"/>
        <v>65</v>
      </c>
      <c r="E36" s="221">
        <v>76</v>
      </c>
      <c r="F36" s="240">
        <f t="shared" si="27"/>
        <v>141</v>
      </c>
      <c r="G36" s="428">
        <f>IF(SUM(F36:F38)+E49=0,0,IF(ABS(SUM(F36:F38))=E49,Spielorte!$A$30/2,IF(ABS(SUM(F36:F38))&gt;E49,Spielorte!$A$30,0)))</f>
        <v>0</v>
      </c>
      <c r="H36" s="221"/>
      <c r="I36" s="240">
        <f t="shared" si="28"/>
        <v>0</v>
      </c>
      <c r="J36" s="428">
        <f>IF(SUM(I36:I38)+H49=0,0,IF(ABS(SUM(I36:I38))=H49,Spielorte!$A$30/2,IF(ABS(SUM(I36:I38))&gt;H49,Spielorte!$A$30,0)))</f>
        <v>0</v>
      </c>
      <c r="K36" s="221"/>
      <c r="L36" s="240">
        <f t="shared" si="29"/>
        <v>0</v>
      </c>
      <c r="M36" s="428">
        <f>IF(SUM(L36:L38)+K49=0,0,IF(ABS(SUM(L36:L38))=K49,Spielorte!$A$30/2,IF(ABS(SUM(L36:L38))&gt;K49,Spielorte!$A$30,0)))</f>
        <v>0</v>
      </c>
      <c r="N36" s="221"/>
      <c r="O36" s="240">
        <f t="shared" si="30"/>
        <v>0</v>
      </c>
      <c r="P36" s="428">
        <f>IF(SUM(O36:O38)+N49=0,0,IF(ABS(SUM(O36:O38))=N49,Spielorte!$A$30/2,IF(ABS(SUM(O36:O38))&gt;N49,Spielorte!$A$30,0)))</f>
        <v>1</v>
      </c>
      <c r="Q36" s="221"/>
      <c r="R36" s="240">
        <f t="shared" si="31"/>
        <v>0</v>
      </c>
      <c r="S36" s="428">
        <f>IF(SUM(R36:R38)+Q49=0,0,IF(ABS(SUM(R36:R38))=Q49,Spielorte!$A$30/2,IF(ABS(SUM(R36:R38))&gt;Q49,Spielorte!$A$30,0)))</f>
        <v>0</v>
      </c>
      <c r="T36" s="221">
        <f t="shared" si="32"/>
        <v>76</v>
      </c>
      <c r="U36" s="240">
        <f t="shared" si="33"/>
        <v>141</v>
      </c>
      <c r="V36" s="400">
        <f>SUM(G36+J36+M36+P36+S36)</f>
        <v>1</v>
      </c>
      <c r="W36" s="79"/>
      <c r="X36" s="79"/>
      <c r="Y36" s="79"/>
      <c r="Z36" s="79"/>
      <c r="AA36" s="79"/>
      <c r="AB36" s="79"/>
      <c r="AL36" s="169">
        <f>IF(AU36=0,0,IFERROR(INDEX(RanglisteST1!K:K,MATCH(AU36,RanglisteST1!A:A,0)),0))</f>
        <v>0</v>
      </c>
      <c r="AM36" s="169">
        <f>IF(AU36=0,0,SUMIF(AU33:AU41,AU36,AV33:AV41))</f>
        <v>238</v>
      </c>
      <c r="AN36" s="169">
        <f>IF(AU36=0,0,SUMIF(AU33:AU41,AU36,AW33:AW41))</f>
        <v>3</v>
      </c>
      <c r="AO36" s="169">
        <f t="shared" si="34"/>
        <v>79.333333333333329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65</v>
      </c>
      <c r="AQ36" s="166"/>
      <c r="AR36" s="167"/>
      <c r="AS36" s="167"/>
      <c r="AT36" s="168"/>
      <c r="AU36" s="171">
        <f t="shared" si="35"/>
        <v>38831</v>
      </c>
      <c r="AV36" s="167">
        <f t="shared" si="48"/>
        <v>76</v>
      </c>
      <c r="AW36" s="169">
        <f t="shared" si="36"/>
        <v>1</v>
      </c>
      <c r="AX36" s="169">
        <f t="shared" si="37"/>
        <v>1</v>
      </c>
      <c r="AY36" s="169">
        <f t="shared" si="49"/>
        <v>76</v>
      </c>
      <c r="AZ36" s="169" t="str">
        <f t="shared" si="38"/>
        <v/>
      </c>
      <c r="BA36" s="169" t="str">
        <f t="shared" si="39"/>
        <v/>
      </c>
      <c r="BB36" s="169" t="str">
        <f t="shared" si="40"/>
        <v/>
      </c>
      <c r="BC36" s="169" t="str">
        <f t="shared" si="41"/>
        <v/>
      </c>
      <c r="BD36" s="170"/>
      <c r="BE36" s="168"/>
      <c r="BF36" s="169">
        <f t="shared" si="42"/>
        <v>76</v>
      </c>
      <c r="BG36" s="169">
        <f t="shared" si="43"/>
        <v>0</v>
      </c>
      <c r="BH36" s="169" t="str">
        <f t="shared" si="50"/>
        <v>Highroller Rosenheim 1</v>
      </c>
      <c r="BI36" s="168">
        <f t="shared" si="44"/>
        <v>2</v>
      </c>
      <c r="BJ36" s="169">
        <f t="shared" si="45"/>
        <v>76</v>
      </c>
      <c r="BK36" s="169">
        <f>IF(COUNTIF(AY36:BC36,"&gt;0")&lt;Spielorte!$A$23,0,AV36/Spielorte!$A$23)</f>
        <v>0</v>
      </c>
      <c r="BL36" s="169">
        <f t="shared" si="46"/>
        <v>0</v>
      </c>
      <c r="BM36" s="168">
        <f t="shared" si="47"/>
        <v>0</v>
      </c>
    </row>
    <row r="37" spans="1:65" ht="16.95" customHeight="1">
      <c r="A37" s="404"/>
      <c r="B37" s="58" t="str">
        <f>IF(C37=0,"",VLOOKUP(C37,Starter!$A$1:$D$196,2,FALSE))</f>
        <v>Stölzel, Celia</v>
      </c>
      <c r="C37" s="233">
        <v>38759</v>
      </c>
      <c r="D37" s="239">
        <f t="shared" si="26"/>
        <v>8</v>
      </c>
      <c r="E37" s="222"/>
      <c r="F37" s="241">
        <f t="shared" si="27"/>
        <v>0</v>
      </c>
      <c r="G37" s="429"/>
      <c r="H37" s="222">
        <v>138</v>
      </c>
      <c r="I37" s="241">
        <f t="shared" si="28"/>
        <v>146</v>
      </c>
      <c r="J37" s="429"/>
      <c r="K37" s="222">
        <v>124</v>
      </c>
      <c r="L37" s="241">
        <f t="shared" si="29"/>
        <v>132</v>
      </c>
      <c r="M37" s="429"/>
      <c r="N37" s="222">
        <v>150</v>
      </c>
      <c r="O37" s="241">
        <f t="shared" si="30"/>
        <v>158</v>
      </c>
      <c r="P37" s="429"/>
      <c r="Q37" s="222">
        <v>129</v>
      </c>
      <c r="R37" s="241">
        <f t="shared" si="31"/>
        <v>137</v>
      </c>
      <c r="S37" s="429"/>
      <c r="T37" s="222">
        <f t="shared" si="32"/>
        <v>541</v>
      </c>
      <c r="U37" s="241">
        <f t="shared" si="33"/>
        <v>573</v>
      </c>
      <c r="V37" s="401"/>
      <c r="W37" s="79"/>
      <c r="X37" s="79"/>
      <c r="Y37" s="79"/>
      <c r="Z37" s="79"/>
      <c r="AA37" s="79"/>
      <c r="AB37" s="79"/>
      <c r="AL37" s="169">
        <f>IF(AU37=0,0,IFERROR(INDEX(RanglisteST1!K:K,MATCH(AU37,RanglisteST1!A:A,0)),0))</f>
        <v>150.42999267578125</v>
      </c>
      <c r="AM37" s="169">
        <f>IF(AU37=0,0,SUMIF(AU33:AU41,AU37,AV33:AV41))</f>
        <v>541</v>
      </c>
      <c r="AN37" s="169">
        <f>IF(AU37=0,0,SUMIF(AU33:AU41,AU37,AW33:AW41))</f>
        <v>4</v>
      </c>
      <c r="AO37" s="169">
        <f t="shared" si="34"/>
        <v>135.25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8</v>
      </c>
      <c r="AQ37" s="166"/>
      <c r="AR37" s="167"/>
      <c r="AS37" s="167"/>
      <c r="AT37" s="168"/>
      <c r="AU37" s="171">
        <f t="shared" si="35"/>
        <v>38759</v>
      </c>
      <c r="AV37" s="167">
        <f t="shared" si="48"/>
        <v>541</v>
      </c>
      <c r="AW37" s="169">
        <f t="shared" si="36"/>
        <v>4</v>
      </c>
      <c r="AX37" s="169">
        <f t="shared" si="37"/>
        <v>4</v>
      </c>
      <c r="AY37" s="169" t="str">
        <f t="shared" si="49"/>
        <v/>
      </c>
      <c r="AZ37" s="169">
        <f t="shared" si="38"/>
        <v>138</v>
      </c>
      <c r="BA37" s="169">
        <f t="shared" si="39"/>
        <v>124</v>
      </c>
      <c r="BB37" s="169">
        <f t="shared" si="40"/>
        <v>150</v>
      </c>
      <c r="BC37" s="169">
        <f t="shared" si="41"/>
        <v>129</v>
      </c>
      <c r="BD37" s="170"/>
      <c r="BE37" s="168"/>
      <c r="BF37" s="169">
        <f t="shared" si="42"/>
        <v>150</v>
      </c>
      <c r="BG37" s="169">
        <f t="shared" si="43"/>
        <v>0</v>
      </c>
      <c r="BH37" s="169" t="str">
        <f t="shared" si="50"/>
        <v>Highroller Rosenheim 1</v>
      </c>
      <c r="BI37" s="168">
        <f t="shared" si="44"/>
        <v>2</v>
      </c>
      <c r="BJ37" s="169">
        <f t="shared" si="45"/>
        <v>541</v>
      </c>
      <c r="BK37" s="169">
        <f>IF(COUNTIF(AY37:BC37,"&gt;0")&lt;Spielorte!$A$23,0,AV37/Spielorte!$A$23)</f>
        <v>0</v>
      </c>
      <c r="BL37" s="169">
        <f t="shared" si="46"/>
        <v>0</v>
      </c>
      <c r="BM37" s="168">
        <f t="shared" si="47"/>
        <v>0</v>
      </c>
    </row>
    <row r="38" spans="1:65" ht="16.95" customHeight="1" thickBot="1">
      <c r="A38" s="405"/>
      <c r="B38" s="60" t="str">
        <f>IF(C38=0,"",VLOOKUP(C38,Starter!$A$1:$D$196,2,FALSE))</f>
        <v/>
      </c>
      <c r="C38" s="236"/>
      <c r="D38" s="223">
        <f t="shared" si="26"/>
        <v>0</v>
      </c>
      <c r="E38" s="224"/>
      <c r="F38" s="242">
        <f t="shared" si="27"/>
        <v>0</v>
      </c>
      <c r="G38" s="430"/>
      <c r="H38" s="224"/>
      <c r="I38" s="242">
        <f t="shared" si="28"/>
        <v>0</v>
      </c>
      <c r="J38" s="430"/>
      <c r="K38" s="224"/>
      <c r="L38" s="242">
        <f t="shared" si="29"/>
        <v>0</v>
      </c>
      <c r="M38" s="430"/>
      <c r="N38" s="224"/>
      <c r="O38" s="242">
        <f t="shared" si="30"/>
        <v>0</v>
      </c>
      <c r="P38" s="430"/>
      <c r="Q38" s="224"/>
      <c r="R38" s="242">
        <f t="shared" si="31"/>
        <v>0</v>
      </c>
      <c r="S38" s="430"/>
      <c r="T38" s="224">
        <f t="shared" si="32"/>
        <v>0</v>
      </c>
      <c r="U38" s="242">
        <f t="shared" si="33"/>
        <v>0</v>
      </c>
      <c r="V38" s="402"/>
      <c r="W38" s="79"/>
      <c r="X38" s="79"/>
      <c r="Y38" s="79"/>
      <c r="Z38" s="79"/>
      <c r="AA38" s="79"/>
      <c r="AB38" s="79"/>
      <c r="AL38" s="169">
        <f>IF(AU38=0,0,IFERROR(INDEX(RanglisteST1!K:K,MATCH(AU38,RanglisteST1!A:A,0)),0))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4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5"/>
        <v>0</v>
      </c>
      <c r="AV38" s="167">
        <f t="shared" si="48"/>
        <v>0</v>
      </c>
      <c r="AW38" s="169">
        <f t="shared" si="36"/>
        <v>0</v>
      </c>
      <c r="AX38" s="169">
        <f t="shared" si="37"/>
        <v>0</v>
      </c>
      <c r="AY38" s="169" t="str">
        <f t="shared" si="49"/>
        <v/>
      </c>
      <c r="AZ38" s="169" t="str">
        <f t="shared" si="38"/>
        <v/>
      </c>
      <c r="BA38" s="169" t="str">
        <f t="shared" si="39"/>
        <v/>
      </c>
      <c r="BB38" s="169" t="str">
        <f t="shared" si="40"/>
        <v/>
      </c>
      <c r="BC38" s="169" t="str">
        <f t="shared" si="41"/>
        <v/>
      </c>
      <c r="BD38" s="170"/>
      <c r="BE38" s="168"/>
      <c r="BF38" s="169">
        <f t="shared" si="42"/>
        <v>0</v>
      </c>
      <c r="BG38" s="169">
        <f t="shared" si="43"/>
        <v>0</v>
      </c>
      <c r="BH38" s="169" t="str">
        <f t="shared" si="50"/>
        <v>Highroller Rosenheim 1</v>
      </c>
      <c r="BI38" s="168">
        <f t="shared" si="44"/>
        <v>2</v>
      </c>
      <c r="BJ38" s="169">
        <f t="shared" si="45"/>
        <v>0</v>
      </c>
      <c r="BK38" s="169">
        <f>IF(COUNTIF(AY38:BC38,"&gt;0")&lt;Spielorte!$A$23,0,AV38/Spielorte!$A$23)</f>
        <v>0</v>
      </c>
      <c r="BL38" s="169">
        <f t="shared" si="46"/>
        <v>0</v>
      </c>
      <c r="BM38" s="168">
        <f t="shared" si="47"/>
        <v>0</v>
      </c>
    </row>
    <row r="39" spans="1:65" ht="16.95" customHeight="1">
      <c r="A39" s="403" t="s">
        <v>3</v>
      </c>
      <c r="B39" s="58" t="str">
        <f>IF(C39=0,"",VLOOKUP(C39,Starter!$A$1:$D$196,2,FALSE))</f>
        <v>Weiss, Luisa Samira</v>
      </c>
      <c r="C39" s="235">
        <v>38773</v>
      </c>
      <c r="D39" s="238">
        <f t="shared" si="26"/>
        <v>12</v>
      </c>
      <c r="E39" s="221">
        <v>151</v>
      </c>
      <c r="F39" s="240">
        <f t="shared" si="27"/>
        <v>163</v>
      </c>
      <c r="G39" s="428">
        <f>IF(SUM(F39:F41)+E50=0,0,IF(ABS(SUM(F39:F41))=E50,Spielorte!$A$30/2,IF(ABS(SUM(F39:F41))&gt;E50,Spielorte!$A$30,0)))</f>
        <v>1</v>
      </c>
      <c r="H39" s="221">
        <v>184</v>
      </c>
      <c r="I39" s="240">
        <f t="shared" si="28"/>
        <v>196</v>
      </c>
      <c r="J39" s="428">
        <f>IF(SUM(I39:I41)+H50=0,0,IF(ABS(SUM(I39:I41))=H50,Spielorte!$A$30/2,IF(ABS(SUM(I39:I41))&gt;H50,Spielorte!$A$30,0)))</f>
        <v>1</v>
      </c>
      <c r="K39" s="221">
        <v>113</v>
      </c>
      <c r="L39" s="240">
        <f t="shared" si="29"/>
        <v>125</v>
      </c>
      <c r="M39" s="428">
        <f>IF(SUM(L39:L41)+K50=0,0,IF(ABS(SUM(L39:L41))=K50,Spielorte!$A$30/2,IF(ABS(SUM(L39:L41))&gt;K50,Spielorte!$A$30,0)))</f>
        <v>0</v>
      </c>
      <c r="N39" s="221"/>
      <c r="O39" s="240">
        <f t="shared" si="30"/>
        <v>0</v>
      </c>
      <c r="P39" s="428">
        <f>IF(SUM(O39:O41)+N50=0,0,IF(ABS(SUM(O39:O41))=N50,Spielorte!$A$30/2,IF(ABS(SUM(O39:O41))&gt;N50,Spielorte!$A$30,0)))</f>
        <v>0</v>
      </c>
      <c r="Q39" s="221"/>
      <c r="R39" s="240">
        <f t="shared" si="31"/>
        <v>0</v>
      </c>
      <c r="S39" s="428">
        <f>IF(SUM(R39:R41)+Q50=0,0,IF(ABS(SUM(R39:R41))=Q50,Spielorte!$A$30/2,IF(ABS(SUM(R39:R41))&gt;Q50,Spielorte!$A$30,0)))</f>
        <v>1</v>
      </c>
      <c r="T39" s="221">
        <f t="shared" si="32"/>
        <v>448</v>
      </c>
      <c r="U39" s="240">
        <f t="shared" si="33"/>
        <v>484</v>
      </c>
      <c r="V39" s="400">
        <f>SUM(G39+J39+M39+P39+S39)</f>
        <v>3</v>
      </c>
      <c r="W39" s="79"/>
      <c r="X39" s="79"/>
      <c r="Y39" s="79"/>
      <c r="Z39" s="79"/>
      <c r="AA39" s="79"/>
      <c r="AB39" s="79"/>
      <c r="AL39" s="169">
        <f>IF(AU39=0,0,IFERROR(INDEX(RanglisteST1!K:K,MATCH(AU39,RanglisteST1!A:A,0)),0))</f>
        <v>144.66999816894531</v>
      </c>
      <c r="AM39" s="169">
        <f>IF(AU39=0,0,SUMIF(AU33:AU41,AU39,AV33:AV41))</f>
        <v>594</v>
      </c>
      <c r="AN39" s="169">
        <f>IF(AU39=0,0,SUMIF(AU33:AU41,AU39,AW33:AW41))</f>
        <v>4</v>
      </c>
      <c r="AO39" s="169">
        <f t="shared" si="34"/>
        <v>148.5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12</v>
      </c>
      <c r="AQ39" s="166"/>
      <c r="AR39" s="167"/>
      <c r="AS39" s="167"/>
      <c r="AT39" s="168"/>
      <c r="AU39" s="171">
        <f t="shared" si="35"/>
        <v>38773</v>
      </c>
      <c r="AV39" s="167">
        <f t="shared" si="48"/>
        <v>448</v>
      </c>
      <c r="AW39" s="169">
        <f t="shared" si="36"/>
        <v>3</v>
      </c>
      <c r="AX39" s="169">
        <f t="shared" si="37"/>
        <v>3</v>
      </c>
      <c r="AY39" s="169">
        <f t="shared" si="49"/>
        <v>151</v>
      </c>
      <c r="AZ39" s="169">
        <f t="shared" si="38"/>
        <v>184</v>
      </c>
      <c r="BA39" s="169">
        <f t="shared" si="39"/>
        <v>113</v>
      </c>
      <c r="BB39" s="169" t="str">
        <f t="shared" si="40"/>
        <v/>
      </c>
      <c r="BC39" s="169" t="str">
        <f t="shared" si="41"/>
        <v/>
      </c>
      <c r="BD39" s="170"/>
      <c r="BE39" s="168"/>
      <c r="BF39" s="169">
        <f t="shared" si="42"/>
        <v>184</v>
      </c>
      <c r="BG39" s="169">
        <f t="shared" si="43"/>
        <v>0</v>
      </c>
      <c r="BH39" s="169" t="str">
        <f t="shared" si="50"/>
        <v>Highroller Rosenheim 1</v>
      </c>
      <c r="BI39" s="168">
        <f t="shared" si="44"/>
        <v>2</v>
      </c>
      <c r="BJ39" s="169">
        <f t="shared" si="45"/>
        <v>448</v>
      </c>
      <c r="BK39" s="169">
        <f>IF(COUNTIF(AY39:BC39,"&gt;0")&lt;Spielorte!$A$23,0,AV39/Spielorte!$A$23)</f>
        <v>0</v>
      </c>
      <c r="BL39" s="169">
        <f t="shared" si="46"/>
        <v>0</v>
      </c>
      <c r="BM39" s="168">
        <f t="shared" si="47"/>
        <v>0</v>
      </c>
    </row>
    <row r="40" spans="1:65" ht="16.95" customHeight="1">
      <c r="A40" s="404"/>
      <c r="B40" s="58" t="str">
        <f>IF(C40=0,"",VLOOKUP(C40,Starter!$A$1:$D$196,2,FALSE))</f>
        <v>Achhammer, Klara</v>
      </c>
      <c r="C40" s="233">
        <v>38760</v>
      </c>
      <c r="D40" s="239">
        <f t="shared" si="26"/>
        <v>6</v>
      </c>
      <c r="E40" s="222"/>
      <c r="F40" s="241">
        <f t="shared" si="27"/>
        <v>0</v>
      </c>
      <c r="G40" s="429"/>
      <c r="H40" s="222"/>
      <c r="I40" s="241">
        <f t="shared" si="28"/>
        <v>0</v>
      </c>
      <c r="J40" s="429"/>
      <c r="K40" s="222"/>
      <c r="L40" s="241">
        <f t="shared" si="29"/>
        <v>0</v>
      </c>
      <c r="M40" s="429"/>
      <c r="N40" s="222">
        <v>121</v>
      </c>
      <c r="O40" s="241">
        <f t="shared" si="30"/>
        <v>127</v>
      </c>
      <c r="P40" s="429"/>
      <c r="Q40" s="222">
        <v>146</v>
      </c>
      <c r="R40" s="241">
        <f t="shared" si="31"/>
        <v>152</v>
      </c>
      <c r="S40" s="429"/>
      <c r="T40" s="222">
        <f t="shared" si="32"/>
        <v>267</v>
      </c>
      <c r="U40" s="241">
        <f t="shared" si="33"/>
        <v>279</v>
      </c>
      <c r="V40" s="401"/>
      <c r="W40" s="79"/>
      <c r="X40" s="79"/>
      <c r="Y40" s="79"/>
      <c r="Z40" s="79"/>
      <c r="AA40" s="79"/>
      <c r="AB40" s="79"/>
      <c r="AL40" s="169">
        <f>IF(AU40=0,0,IFERROR(INDEX(RanglisteST1!K:K,MATCH(AU40,RanglisteST1!A:A,0)),0))</f>
        <v>152.94999694824219</v>
      </c>
      <c r="AM40" s="169">
        <f>IF(AU40=0,0,SUMIF(AU33:AU41,AU40,AV33:AV41))</f>
        <v>569</v>
      </c>
      <c r="AN40" s="169">
        <f>IF(AU40=0,0,SUMIF(AU33:AU41,AU40,AW33:AW41))</f>
        <v>4</v>
      </c>
      <c r="AO40" s="169">
        <f t="shared" si="34"/>
        <v>142.25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6</v>
      </c>
      <c r="AQ40" s="166"/>
      <c r="AR40" s="167"/>
      <c r="AS40" s="167"/>
      <c r="AT40" s="168"/>
      <c r="AU40" s="171">
        <f t="shared" si="35"/>
        <v>38760</v>
      </c>
      <c r="AV40" s="167">
        <f t="shared" si="48"/>
        <v>267</v>
      </c>
      <c r="AW40" s="169">
        <f t="shared" si="36"/>
        <v>2</v>
      </c>
      <c r="AX40" s="169">
        <f t="shared" si="37"/>
        <v>2</v>
      </c>
      <c r="AY40" s="169" t="str">
        <f t="shared" si="49"/>
        <v/>
      </c>
      <c r="AZ40" s="169" t="str">
        <f t="shared" si="38"/>
        <v/>
      </c>
      <c r="BA40" s="169" t="str">
        <f t="shared" si="39"/>
        <v/>
      </c>
      <c r="BB40" s="169">
        <f t="shared" si="40"/>
        <v>121</v>
      </c>
      <c r="BC40" s="169">
        <f t="shared" si="41"/>
        <v>146</v>
      </c>
      <c r="BD40" s="170"/>
      <c r="BE40" s="168"/>
      <c r="BF40" s="169">
        <f t="shared" si="42"/>
        <v>146</v>
      </c>
      <c r="BG40" s="169">
        <f t="shared" si="43"/>
        <v>0</v>
      </c>
      <c r="BH40" s="169" t="str">
        <f t="shared" si="50"/>
        <v>Highroller Rosenheim 1</v>
      </c>
      <c r="BI40" s="168">
        <f t="shared" si="44"/>
        <v>2</v>
      </c>
      <c r="BJ40" s="169">
        <f t="shared" si="45"/>
        <v>267</v>
      </c>
      <c r="BK40" s="169">
        <f>IF(COUNTIF(AY40:BC40,"&gt;0")&lt;Spielorte!$A$23,0,AV40/Spielorte!$A$23)</f>
        <v>0</v>
      </c>
      <c r="BL40" s="169">
        <f t="shared" si="46"/>
        <v>0</v>
      </c>
      <c r="BM40" s="168">
        <f t="shared" si="47"/>
        <v>0</v>
      </c>
    </row>
    <row r="41" spans="1:65" ht="16.95" customHeight="1" thickBot="1">
      <c r="A41" s="405"/>
      <c r="B41" s="60" t="str">
        <f>IF(C41=0,"",VLOOKUP(C41,Starter!$A$1:$D$196,2,FALSE))</f>
        <v/>
      </c>
      <c r="C41" s="236"/>
      <c r="D41" s="223">
        <f t="shared" si="26"/>
        <v>0</v>
      </c>
      <c r="E41" s="224"/>
      <c r="F41" s="242">
        <f t="shared" si="27"/>
        <v>0</v>
      </c>
      <c r="G41" s="430"/>
      <c r="H41" s="224"/>
      <c r="I41" s="242">
        <f t="shared" si="28"/>
        <v>0</v>
      </c>
      <c r="J41" s="430"/>
      <c r="K41" s="224"/>
      <c r="L41" s="242">
        <f t="shared" si="29"/>
        <v>0</v>
      </c>
      <c r="M41" s="430"/>
      <c r="N41" s="224"/>
      <c r="O41" s="242">
        <f t="shared" si="30"/>
        <v>0</v>
      </c>
      <c r="P41" s="430"/>
      <c r="Q41" s="224"/>
      <c r="R41" s="242">
        <f t="shared" si="31"/>
        <v>0</v>
      </c>
      <c r="S41" s="430"/>
      <c r="T41" s="224">
        <f t="shared" si="32"/>
        <v>0</v>
      </c>
      <c r="U41" s="242">
        <f t="shared" si="33"/>
        <v>0</v>
      </c>
      <c r="V41" s="402"/>
      <c r="W41" s="79"/>
      <c r="X41" s="79"/>
      <c r="Y41" s="79"/>
      <c r="Z41" s="79"/>
      <c r="AA41" s="79"/>
      <c r="AB41" s="79"/>
      <c r="AL41" s="169">
        <f>IF(AU41=0,0,IFERROR(INDEX(RanglisteST1!K:K,MATCH(AU41,RanglisteST1!A:A,0)),0))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4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5"/>
        <v>0</v>
      </c>
      <c r="AV41" s="167">
        <f t="shared" si="48"/>
        <v>0</v>
      </c>
      <c r="AW41" s="169">
        <f t="shared" si="36"/>
        <v>0</v>
      </c>
      <c r="AX41" s="169">
        <f t="shared" si="37"/>
        <v>0</v>
      </c>
      <c r="AY41" s="169" t="str">
        <f t="shared" si="49"/>
        <v/>
      </c>
      <c r="AZ41" s="169" t="str">
        <f t="shared" si="38"/>
        <v/>
      </c>
      <c r="BA41" s="169" t="str">
        <f t="shared" si="39"/>
        <v/>
      </c>
      <c r="BB41" s="169" t="str">
        <f t="shared" si="40"/>
        <v/>
      </c>
      <c r="BC41" s="169" t="str">
        <f t="shared" si="41"/>
        <v/>
      </c>
      <c r="BD41" s="170"/>
      <c r="BE41" s="168"/>
      <c r="BF41" s="169">
        <f t="shared" si="42"/>
        <v>0</v>
      </c>
      <c r="BG41" s="169">
        <f t="shared" si="43"/>
        <v>0</v>
      </c>
      <c r="BH41" s="169" t="str">
        <f t="shared" si="50"/>
        <v>Highroller Rosenheim 1</v>
      </c>
      <c r="BI41" s="168">
        <f t="shared" si="44"/>
        <v>2</v>
      </c>
      <c r="BJ41" s="169">
        <f t="shared" si="45"/>
        <v>0</v>
      </c>
      <c r="BK41" s="169">
        <f>IF(COUNTIF(AY41:BC41,"&gt;0")&lt;Spielorte!$A$23,0,AV41/Spielorte!$A$23)</f>
        <v>0</v>
      </c>
      <c r="BL41" s="169">
        <f t="shared" si="46"/>
        <v>0</v>
      </c>
      <c r="BM41" s="168">
        <f t="shared" si="47"/>
        <v>0</v>
      </c>
    </row>
    <row r="42" spans="1:65" ht="27.75" customHeight="1" thickBot="1">
      <c r="B42" s="218" t="s">
        <v>1792</v>
      </c>
      <c r="C42" s="204"/>
      <c r="D42" s="219"/>
      <c r="E42" s="226">
        <f>ABS(SUM(E33:E35))+ABS(SUM(E36:E38))+ABS(SUM(E39:E41))</f>
        <v>329</v>
      </c>
      <c r="F42" s="225">
        <f>ABS(SUM(F33:F35))+ABS(SUM(F36:F38))+ABS(SUM(F39:F41))</f>
        <v>412</v>
      </c>
      <c r="G42" s="81">
        <f>IF(F42+E51=0,0,IF(F42=E51,Spielorte!$A$31/2,IF(F42&gt;E51,Spielorte!$A$31,0)))</f>
        <v>2</v>
      </c>
      <c r="H42" s="226">
        <f>ABS(SUM(H33:H35))+ABS(SUM(H36:H38))+ABS(SUM(H39:H41))</f>
        <v>522</v>
      </c>
      <c r="I42" s="225">
        <f>ABS(SUM(I33:I35))+ABS(SUM(I36:I38))+ABS(SUM(I39:I41))</f>
        <v>548</v>
      </c>
      <c r="J42" s="81">
        <f>IF(I42+H51=0,0,IF(I42=H51,Spielorte!$A$31/2,IF(I42&gt;H51,Spielorte!$A$31,0)))</f>
        <v>2</v>
      </c>
      <c r="K42" s="226">
        <f>ABS(SUM(K33:K35))+ABS(SUM(K36:K38))+ABS(SUM(K39:K41))</f>
        <v>325</v>
      </c>
      <c r="L42" s="225">
        <f>ABS(SUM(L33:L35))+ABS(SUM(L36:L38))+ABS(SUM(L39:L41))</f>
        <v>410</v>
      </c>
      <c r="M42" s="81">
        <f>IF(L42+K51=0,0,IF(L42=K51,Spielorte!$A$31/2,IF(L42&gt;K51,Spielorte!$A$31,0)))</f>
        <v>0</v>
      </c>
      <c r="N42" s="226">
        <f>ABS(SUM(N33:N35))+ABS(SUM(N36:N38))+ABS(SUM(N39:N41))</f>
        <v>345</v>
      </c>
      <c r="O42" s="225">
        <f>ABS(SUM(O33:O35))+ABS(SUM(O36:O38))+ABS(SUM(O39:O41))</f>
        <v>424</v>
      </c>
      <c r="P42" s="81">
        <f>IF(O42+N51=0,0,IF(O42=N51,Spielorte!$A$31/2,IF(O42&gt;N51,Spielorte!$A$31,0)))</f>
        <v>0</v>
      </c>
      <c r="Q42" s="226">
        <f>ABS(SUM(Q33:Q35))+ABS(SUM(Q36:Q38))+ABS(SUM(Q39:Q41))</f>
        <v>421</v>
      </c>
      <c r="R42" s="225">
        <f>ABS(SUM(R33:R35))+ABS(SUM(R36:R38))+ABS(SUM(R39:R41))</f>
        <v>447</v>
      </c>
      <c r="S42" s="81">
        <f>IF(R42+Q51=0,0,IF(R42=Q51,Spielorte!$A$31/2,IF(R42&gt;Q51,Spielorte!$A$31,0)))</f>
        <v>0</v>
      </c>
      <c r="T42" s="228">
        <f>SUM(E42+H42+K42+N42+Q42)</f>
        <v>1942</v>
      </c>
      <c r="U42" s="229">
        <f>SUM(F42+I42+L42+O42+R42)</f>
        <v>2241</v>
      </c>
      <c r="V42" s="12">
        <f>SUM(G42+J42+M42+P42+S42)</f>
        <v>4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>
      <c r="B43" s="230" t="s">
        <v>1803</v>
      </c>
      <c r="C43" s="1"/>
      <c r="D43" s="1"/>
      <c r="E43" s="1"/>
      <c r="F43" s="1"/>
      <c r="G43" s="61">
        <f>SUM(G33:G42)</f>
        <v>3</v>
      </c>
      <c r="H43" s="1"/>
      <c r="I43" s="1"/>
      <c r="J43" s="61">
        <f>SUM(J33:J42)</f>
        <v>4</v>
      </c>
      <c r="K43" s="1"/>
      <c r="L43" s="1"/>
      <c r="M43" s="61">
        <f>SUM(M33:M42)</f>
        <v>1</v>
      </c>
      <c r="N43" s="1"/>
      <c r="O43" s="1"/>
      <c r="P43" s="61">
        <f>SUM(P33:P42)</f>
        <v>1</v>
      </c>
      <c r="Q43" s="1"/>
      <c r="R43" s="1"/>
      <c r="S43" s="61">
        <f>SUM(S33:S42)</f>
        <v>1</v>
      </c>
      <c r="T43" s="1"/>
      <c r="U43" s="1"/>
      <c r="V43" s="61">
        <f>SUM(V33:V42)</f>
        <v>10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10</v>
      </c>
      <c r="AR43" s="167">
        <f>+T42</f>
        <v>1942</v>
      </c>
      <c r="AS43" s="167">
        <f>+U42</f>
        <v>2241</v>
      </c>
      <c r="AT43" s="168">
        <f>+B28</f>
        <v>2</v>
      </c>
      <c r="AW43" s="169">
        <f>SUM(AW27:AW42)</f>
        <v>15</v>
      </c>
      <c r="BD43" s="166">
        <f>+AS43/1000000+AQ43+AR43/1000000000000</f>
        <v>10.002241001942</v>
      </c>
      <c r="BE43" s="168">
        <f>RANK(BD43,BD:BD)</f>
        <v>5</v>
      </c>
      <c r="BI43" s="168"/>
      <c r="BM43" s="168"/>
    </row>
    <row r="44" spans="1:65" ht="11.25" customHeight="1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>
      <c r="B45" s="231" t="s">
        <v>1790</v>
      </c>
      <c r="C45" s="210"/>
      <c r="D45" s="42"/>
      <c r="E45" s="434">
        <f>VLOOKUP($B28,Schlüssel!$A$5:$EK$12,3)</f>
        <v>1</v>
      </c>
      <c r="F45" s="435"/>
      <c r="G45" s="436"/>
      <c r="H45" s="434">
        <f>VLOOKUP($B28,Schlüssel!$A$5:$EK$12,4)</f>
        <v>4</v>
      </c>
      <c r="I45" s="435"/>
      <c r="J45" s="436"/>
      <c r="K45" s="434">
        <f>VLOOKUP($B28,Schlüssel!$A$5:$EK$12,5)</f>
        <v>6</v>
      </c>
      <c r="L45" s="435"/>
      <c r="M45" s="436"/>
      <c r="N45" s="434">
        <f>VLOOKUP($B28,Schlüssel!$A$5:$EK$12,6)</f>
        <v>7</v>
      </c>
      <c r="O45" s="435"/>
      <c r="P45" s="436"/>
      <c r="Q45" s="434">
        <f>VLOOKUP($B28,Schlüssel!$A$5:$EK$12,7)</f>
        <v>5</v>
      </c>
      <c r="R45" s="435"/>
      <c r="S45" s="436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>
      <c r="B46" s="3" t="s">
        <v>9</v>
      </c>
      <c r="C46" s="1"/>
      <c r="D46" s="1"/>
      <c r="E46" s="395" t="str">
        <f>VLOOKUP(E45,Schlüssel!$A$5:$K$12,2)</f>
        <v>Bad Tölz 1</v>
      </c>
      <c r="F46" s="438"/>
      <c r="G46" s="396"/>
      <c r="H46" s="395" t="str">
        <f>VLOOKUP(H45,Schlüssel!$A$5:$K$12,2)</f>
        <v>Highroller Rosenheim 3</v>
      </c>
      <c r="I46" s="438"/>
      <c r="J46" s="396"/>
      <c r="K46" s="395" t="str">
        <f>VLOOKUP(K45,Schlüssel!$A$5:$K$12,2)</f>
        <v>Bowling Jugend Bayern 1</v>
      </c>
      <c r="L46" s="438"/>
      <c r="M46" s="396"/>
      <c r="N46" s="395" t="str">
        <f>VLOOKUP(N45,Schlüssel!$A$5:$K$12,2)</f>
        <v>BK München 1</v>
      </c>
      <c r="O46" s="438"/>
      <c r="P46" s="396"/>
      <c r="Q46" s="395" t="str">
        <f>VLOOKUP(Q45,Schlüssel!$A$5:$K$12,2)</f>
        <v>Berchtesgaden 1</v>
      </c>
      <c r="R46" s="438"/>
      <c r="S46" s="396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" customHeight="1">
      <c r="B48" s="417" t="s">
        <v>2275</v>
      </c>
      <c r="C48" s="418"/>
      <c r="D48" s="419"/>
      <c r="E48" s="431">
        <f>ABS(INDEX(F:F,MATCH(E45,$B:$B,0)+5)+INDEX(F:F,MATCH(E45,$B:$B,0)+6)+INDEX(F:F,MATCH(E45,$B:$B,0)+7))</f>
        <v>160</v>
      </c>
      <c r="F48" s="432"/>
      <c r="G48" s="433"/>
      <c r="H48" s="431">
        <f>ABS(INDEX(I:I,MATCH(H45,$B:$B,0)+5)+INDEX(I:I,MATCH(H45,$B:$B,0)+6)+INDEX(I:I,MATCH(H45,$B:$B,0)+7))</f>
        <v>171</v>
      </c>
      <c r="I48" s="432"/>
      <c r="J48" s="433"/>
      <c r="K48" s="431">
        <f>ABS(INDEX(L:L,MATCH(K45,$B:$B,0)+5)+INDEX(L:L,MATCH(K45,$B:$B,0)+6)+INDEX(L:L,MATCH(K45,$B:$B,0)+7))</f>
        <v>132</v>
      </c>
      <c r="L48" s="432"/>
      <c r="M48" s="433"/>
      <c r="N48" s="431">
        <f>ABS(INDEX(O:O,MATCH(N45,$B:$B,0)+5)+INDEX(O:O,MATCH(N45,$B:$B,0)+6)+INDEX(O:O,MATCH(N45,$B:$B,0)+7))</f>
        <v>221</v>
      </c>
      <c r="O48" s="432"/>
      <c r="P48" s="433"/>
      <c r="Q48" s="431">
        <f>ABS(INDEX(R:R,MATCH(Q45,$B:$B,0)+5)+INDEX(R:R,MATCH(Q45,$B:$B,0)+6)+INDEX(R:R,MATCH(Q45,$B:$B,0)+7))</f>
        <v>179</v>
      </c>
      <c r="R48" s="432"/>
      <c r="S48" s="433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" customHeight="1">
      <c r="B49" s="417" t="s">
        <v>2276</v>
      </c>
      <c r="C49" s="418"/>
      <c r="D49" s="419"/>
      <c r="E49" s="424">
        <f>ABS(INDEX(F:F,MATCH(E45,$B:$B,0)+8)+INDEX(F:F,MATCH(E45,$B:$B,0)+9)+INDEX(F:F,MATCH(E45,$B:$B,0)+10))</f>
        <v>178</v>
      </c>
      <c r="F49" s="425"/>
      <c r="G49" s="426"/>
      <c r="H49" s="424">
        <f>ABS(INDEX(I:I,MATCH(H45,$B:$B,0)+8)+INDEX(I:I,MATCH(H45,$B:$B,0)+9)+INDEX(I:I,MATCH(H45,$B:$B,0)+10))</f>
        <v>153</v>
      </c>
      <c r="I49" s="425"/>
      <c r="J49" s="426"/>
      <c r="K49" s="424">
        <f>ABS(INDEX(L:L,MATCH(K45,$B:$B,0)+8)+INDEX(L:L,MATCH(K45,$B:$B,0)+9)+INDEX(L:L,MATCH(K45,$B:$B,0)+10))</f>
        <v>136</v>
      </c>
      <c r="L49" s="425"/>
      <c r="M49" s="426"/>
      <c r="N49" s="424">
        <f>ABS(INDEX(O:O,MATCH(N45,$B:$B,0)+8)+INDEX(O:O,MATCH(N45,$B:$B,0)+9)+INDEX(O:O,MATCH(N45,$B:$B,0)+10))</f>
        <v>149</v>
      </c>
      <c r="O49" s="425"/>
      <c r="P49" s="426"/>
      <c r="Q49" s="424">
        <f>ABS(INDEX(R:R,MATCH(Q45,$B:$B,0)+8)+INDEX(R:R,MATCH(Q45,$B:$B,0)+9)+INDEX(R:R,MATCH(Q45,$B:$B,0)+10))</f>
        <v>171</v>
      </c>
      <c r="R49" s="425"/>
      <c r="S49" s="426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" customHeight="1">
      <c r="B50" s="417" t="s">
        <v>2277</v>
      </c>
      <c r="C50" s="418"/>
      <c r="D50" s="419"/>
      <c r="E50" s="424">
        <f>ABS(INDEX(F:F,MATCH(E45,$B:$B,0)+11)+INDEX(F:F,MATCH(E45,$B:$B,0)+12)+INDEX(F:F,MATCH(E45,$B:$B,0)+13))</f>
        <v>0</v>
      </c>
      <c r="F50" s="425"/>
      <c r="G50" s="426"/>
      <c r="H50" s="424">
        <f>ABS(INDEX(I:I,MATCH(H45,$B:$B,0)+11)+INDEX(I:I,MATCH(H45,$B:$B,0)+12)+INDEX(I:I,MATCH(H45,$B:$B,0)+13))</f>
        <v>146</v>
      </c>
      <c r="I50" s="425"/>
      <c r="J50" s="426"/>
      <c r="K50" s="424">
        <f>ABS(INDEX(L:L,MATCH(K45,$B:$B,0)+11)+INDEX(L:L,MATCH(K45,$B:$B,0)+12)+INDEX(L:L,MATCH(K45,$B:$B,0)+13))</f>
        <v>227</v>
      </c>
      <c r="L50" s="425"/>
      <c r="M50" s="426"/>
      <c r="N50" s="424">
        <f>ABS(INDEX(O:O,MATCH(N45,$B:$B,0)+11)+INDEX(O:O,MATCH(N45,$B:$B,0)+12)+INDEX(O:O,MATCH(N45,$B:$B,0)+13))</f>
        <v>212</v>
      </c>
      <c r="O50" s="425"/>
      <c r="P50" s="426"/>
      <c r="Q50" s="424">
        <f>ABS(INDEX(R:R,MATCH(Q45,$B:$B,0)+11)+INDEX(R:R,MATCH(Q45,$B:$B,0)+12)+INDEX(R:R,MATCH(Q45,$B:$B,0)+13))</f>
        <v>135</v>
      </c>
      <c r="R50" s="425"/>
      <c r="S50" s="426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" customHeight="1">
      <c r="B51" s="420" t="s">
        <v>2278</v>
      </c>
      <c r="C51" s="421"/>
      <c r="D51" s="422"/>
      <c r="E51" s="407">
        <f>SUM(E48:E50)</f>
        <v>338</v>
      </c>
      <c r="F51" s="423"/>
      <c r="G51" s="408"/>
      <c r="H51" s="407">
        <f>SUM(H48:H50)</f>
        <v>470</v>
      </c>
      <c r="I51" s="423"/>
      <c r="J51" s="408"/>
      <c r="K51" s="407">
        <f>SUM(K48:K50)</f>
        <v>495</v>
      </c>
      <c r="L51" s="423"/>
      <c r="M51" s="408"/>
      <c r="N51" s="407">
        <f>SUM(N48:N50)</f>
        <v>582</v>
      </c>
      <c r="O51" s="423"/>
      <c r="P51" s="408"/>
      <c r="Q51" s="407">
        <f>SUM(Q48:Q50)</f>
        <v>485</v>
      </c>
      <c r="R51" s="423"/>
      <c r="S51" s="408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>
      <c r="A53" s="255"/>
      <c r="B53" s="7" t="s">
        <v>1802</v>
      </c>
      <c r="C53" s="24"/>
      <c r="D53" s="24"/>
      <c r="E53" s="35" t="s">
        <v>1786</v>
      </c>
      <c r="F53" s="35"/>
      <c r="G53" s="427" t="str">
        <f>Schlüssel!$C$1</f>
        <v>Landesliga Jugend</v>
      </c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  <c r="S53" s="406">
        <f>Schlüssel!$M$1</f>
        <v>45211</v>
      </c>
      <c r="T53" s="406"/>
      <c r="U53" s="406"/>
      <c r="V53" s="406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>
      <c r="A54" s="53"/>
      <c r="B54" s="54">
        <v>3</v>
      </c>
      <c r="E54" s="35" t="s">
        <v>1787</v>
      </c>
      <c r="F54" s="35"/>
      <c r="G54" s="413" t="str">
        <f>Schlüssel!$C$2</f>
        <v>Brunnthal Max Munich</v>
      </c>
      <c r="H54" s="413"/>
      <c r="I54" s="413"/>
      <c r="J54" s="413"/>
      <c r="K54" s="413"/>
      <c r="L54" s="413"/>
      <c r="M54" s="413"/>
      <c r="N54" s="413"/>
      <c r="O54" s="413"/>
      <c r="P54" s="66"/>
      <c r="Q54" s="411" t="s">
        <v>1785</v>
      </c>
      <c r="R54" s="412"/>
      <c r="S54" s="38">
        <v>1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>
      <c r="B55" s="414" t="str">
        <f>VLOOKUP(B54,Schlüssel!$A$5:$B$12,2)</f>
        <v>Highroller Rosenheim 2</v>
      </c>
      <c r="C55" s="415"/>
      <c r="D55" s="415"/>
      <c r="E55" s="415"/>
      <c r="F55" s="415"/>
      <c r="G55" s="416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3.8" hidden="1" thickBot="1">
      <c r="A56" s="6"/>
      <c r="B56" s="7"/>
      <c r="C56" s="43"/>
      <c r="D56" s="43"/>
      <c r="E56" s="162" t="s">
        <v>10</v>
      </c>
      <c r="F56" s="220"/>
      <c r="G56" s="159">
        <f>VLOOKUP($B54,Schlüssel!$A$5:$EK$12,13)</f>
        <v>11</v>
      </c>
      <c r="H56" s="161" t="s">
        <v>10</v>
      </c>
      <c r="I56" s="220"/>
      <c r="J56" s="159">
        <f>VLOOKUP($B54,Schlüssel!$A$5:$EK$12,14)</f>
        <v>16</v>
      </c>
      <c r="K56" s="161" t="s">
        <v>10</v>
      </c>
      <c r="L56" s="220"/>
      <c r="M56" s="159">
        <f>VLOOKUP($B54,Schlüssel!$A$5:$EK$12,15)</f>
        <v>14</v>
      </c>
      <c r="N56" s="161" t="s">
        <v>10</v>
      </c>
      <c r="O56" s="220"/>
      <c r="P56" s="159">
        <f>VLOOKUP($B54,Schlüssel!$A$5:$EK$12,16)</f>
        <v>9</v>
      </c>
      <c r="Q56" s="161" t="s">
        <v>10</v>
      </c>
      <c r="R56" s="220"/>
      <c r="S56" s="160">
        <f>VLOOKUP($B54,Schlüssel!$A$5:$DZ$12,17)</f>
        <v>13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>
      <c r="B57" s="44" t="s">
        <v>1</v>
      </c>
      <c r="C57" s="208"/>
      <c r="D57" s="217"/>
      <c r="E57" s="423" t="s">
        <v>1793</v>
      </c>
      <c r="F57" s="423"/>
      <c r="G57" s="408"/>
      <c r="H57" s="407" t="s">
        <v>1794</v>
      </c>
      <c r="I57" s="423"/>
      <c r="J57" s="408"/>
      <c r="K57" s="407" t="s">
        <v>1795</v>
      </c>
      <c r="L57" s="423"/>
      <c r="M57" s="408"/>
      <c r="N57" s="407" t="s">
        <v>1796</v>
      </c>
      <c r="O57" s="423"/>
      <c r="P57" s="408"/>
      <c r="Q57" s="407" t="s">
        <v>1797</v>
      </c>
      <c r="R57" s="423"/>
      <c r="S57" s="437"/>
      <c r="T57" s="439" t="s">
        <v>1792</v>
      </c>
      <c r="U57" s="440"/>
      <c r="V57" s="410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6.95" customHeight="1">
      <c r="A59" s="403" t="s">
        <v>0</v>
      </c>
      <c r="B59" s="58" t="str">
        <f>IF(C59=0,"",VLOOKUP(C59,Starter!$A$1:$D$196,2,FALSE))</f>
        <v>Weinrich, Lena</v>
      </c>
      <c r="C59" s="232">
        <v>38923</v>
      </c>
      <c r="D59" s="238">
        <f t="shared" ref="D59:D67" si="51">+AP59</f>
        <v>48</v>
      </c>
      <c r="E59" s="221">
        <v>93</v>
      </c>
      <c r="F59" s="240">
        <f t="shared" ref="F59:F67" si="52">IF(E59&gt;0,E59+$D59,0)</f>
        <v>141</v>
      </c>
      <c r="G59" s="428">
        <f>IF(SUM(F59:F61)+E74=0,0,IF(ABS(SUM(F59:F61))=E74,Spielorte!$A$30/2,IF(ABS(SUM(F59:F61))&gt;E74,Spielorte!$A$30,0)))</f>
        <v>0.5</v>
      </c>
      <c r="H59" s="221">
        <v>102</v>
      </c>
      <c r="I59" s="240">
        <f t="shared" ref="I59:I67" si="53">IF(H59&gt;0,H59+$D59,0)</f>
        <v>150</v>
      </c>
      <c r="J59" s="428">
        <f>IF(SUM(I59:I61)+H74=0,0,IF(ABS(SUM(I59:I61))=H74,Spielorte!$A$30/2,IF(ABS(SUM(I59:I61))&gt;H74,Spielorte!$A$30,0)))</f>
        <v>0</v>
      </c>
      <c r="K59" s="221"/>
      <c r="L59" s="240">
        <f t="shared" ref="L59:L67" si="54">IF(K59&gt;0,K59+$D59,0)</f>
        <v>0</v>
      </c>
      <c r="M59" s="428">
        <f>IF(SUM(L59:L61)+K74=0,0,IF(ABS(SUM(L59:L61))=K74,Spielorte!$A$30/2,IF(ABS(SUM(L59:L61))&gt;K74,Spielorte!$A$30,0)))</f>
        <v>0</v>
      </c>
      <c r="N59" s="221"/>
      <c r="O59" s="240">
        <f t="shared" ref="O59:O67" si="55">IF(N59&gt;0,N59+$D59,0)</f>
        <v>0</v>
      </c>
      <c r="P59" s="428">
        <f>IF(SUM(O59:O61)+N74=0,0,IF(ABS(SUM(O59:O61))=N74,Spielorte!$A$30/2,IF(ABS(SUM(O59:O61))&gt;N74,Spielorte!$A$30,0)))</f>
        <v>0</v>
      </c>
      <c r="Q59" s="221"/>
      <c r="R59" s="240">
        <f t="shared" ref="R59:R67" si="56">IF(Q59&gt;0,Q59+$D59,0)</f>
        <v>0</v>
      </c>
      <c r="S59" s="428">
        <f>IF(SUM(R59:R61)+Q74=0,0,IF(ABS(SUM(R59:R61))=Q74,Spielorte!$A$30/2,IF(ABS(SUM(R59:R61))&gt;Q74,Spielorte!$A$30,0)))</f>
        <v>0</v>
      </c>
      <c r="T59" s="221">
        <f t="shared" ref="T59:T67" si="57">ABS(SUM(E59:E59))+ABS(SUM(H59:H59))+ABS(SUM(K59:K59))+ABS(SUM(N59:N59))+ABS(SUM(Q59:Q59))</f>
        <v>195</v>
      </c>
      <c r="U59" s="240">
        <f t="shared" ref="U59:U67" si="58">ABS(SUM(F59:F59))+ABS(SUM(I59:I59))+ABS(SUM(L59:L59))+ABS(SUM(O59:O59))+ABS(SUM(R59:R59))</f>
        <v>291</v>
      </c>
      <c r="V59" s="400">
        <f>SUM(G59+J59+M59+P59+S59)</f>
        <v>0.5</v>
      </c>
      <c r="W59" s="79"/>
      <c r="X59" s="79"/>
      <c r="Y59" s="79"/>
      <c r="Z59" s="79"/>
      <c r="AA59" s="79"/>
      <c r="AB59" s="79"/>
      <c r="AL59" s="169">
        <f>IF(AU59=0,0,IFERROR(INDEX(RanglisteST1!K:K,MATCH(AU59,RanglisteST1!A:A,0)),0))</f>
        <v>0</v>
      </c>
      <c r="AM59" s="169">
        <f>IF(AU59=0,0,SUMIF(AU59:AU67,AU59,AV59:AV67))</f>
        <v>401</v>
      </c>
      <c r="AN59" s="169">
        <f>IF(AU59=0,0,SUMIF(AU59:AU67,AU59,AW59:AW67))</f>
        <v>4</v>
      </c>
      <c r="AO59" s="169">
        <f t="shared" ref="AO59:AO67" si="59">IFERROR(AM59/AN59,0)</f>
        <v>100.25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48</v>
      </c>
      <c r="AQ59" s="166"/>
      <c r="AR59" s="167"/>
      <c r="AS59" s="167"/>
      <c r="AT59" s="168"/>
      <c r="AU59" s="171">
        <f t="shared" ref="AU59:AU67" si="60">C59</f>
        <v>38923</v>
      </c>
      <c r="AV59" s="167">
        <f>T59</f>
        <v>195</v>
      </c>
      <c r="AW59" s="169">
        <f t="shared" ref="AW59:AW67" si="61">COUNT(AY59:BC59)</f>
        <v>2</v>
      </c>
      <c r="AX59" s="169">
        <f t="shared" ref="AX59:AX67" si="62">COUNTIF(AY59:BC59,"&gt;0")</f>
        <v>2</v>
      </c>
      <c r="AY59" s="169">
        <f>IF(E59=0,"",E59)</f>
        <v>93</v>
      </c>
      <c r="AZ59" s="169">
        <f t="shared" ref="AZ59:AZ67" si="63">IF(H59=0,"",H59)</f>
        <v>102</v>
      </c>
      <c r="BA59" s="169" t="str">
        <f t="shared" ref="BA59:BA67" si="64">IF(K59=0,"",K59)</f>
        <v/>
      </c>
      <c r="BB59" s="169" t="str">
        <f t="shared" ref="BB59:BB67" si="65">IF(N59=0,"",N59)</f>
        <v/>
      </c>
      <c r="BC59" s="169" t="str">
        <f t="shared" ref="BC59:BC67" si="66">IF(Q59=0,"",Q59)</f>
        <v/>
      </c>
      <c r="BD59" s="170"/>
      <c r="BE59" s="168"/>
      <c r="BF59" s="169">
        <f t="shared" ref="BF59:BF67" si="67">MAX(AY59:BC59)</f>
        <v>102</v>
      </c>
      <c r="BG59" s="169">
        <f t="shared" ref="BG59:BG67" si="68">IF(BF59&lt;MAX(BF:BF),0,BF59+ROW()/1000000000)</f>
        <v>0</v>
      </c>
      <c r="BH59" s="169" t="str">
        <f>+B55</f>
        <v>Highroller Rosenheim 2</v>
      </c>
      <c r="BI59" s="168">
        <f t="shared" ref="BI59:BI67" si="69">RANK(BG59,BG:BG)</f>
        <v>2</v>
      </c>
      <c r="BJ59" s="169">
        <f t="shared" ref="BJ59:BJ67" si="70">SUMIF(AY59:BC59,"&gt;0")</f>
        <v>195</v>
      </c>
      <c r="BK59" s="169">
        <f>IF(COUNTIF(AY59:BC59,"&gt;0")&lt;Spielorte!$A$23,0,AV59/Spielorte!$A$23)</f>
        <v>0</v>
      </c>
      <c r="BL59" s="169">
        <f t="shared" ref="BL59:BL67" si="71">IF(BK59&lt;MAX(BK:BK),0,BK59+ROW()/1000000000)</f>
        <v>0</v>
      </c>
      <c r="BM59" s="168">
        <f t="shared" ref="BM59:BM67" si="72">IF(BL59=0,0,RANK(BL59,BL:BL))</f>
        <v>0</v>
      </c>
    </row>
    <row r="60" spans="1:65" ht="16.95" customHeight="1">
      <c r="A60" s="404"/>
      <c r="B60" s="58" t="str">
        <f>IF(C60=0,"",VLOOKUP(C60,Starter!$A$1:$D$196,2,FALSE))</f>
        <v>Schimanski, Johanna</v>
      </c>
      <c r="C60" s="233">
        <v>38921</v>
      </c>
      <c r="D60" s="239">
        <f t="shared" si="51"/>
        <v>74</v>
      </c>
      <c r="E60" s="222"/>
      <c r="F60" s="241">
        <f t="shared" si="52"/>
        <v>0</v>
      </c>
      <c r="G60" s="429"/>
      <c r="H60" s="222"/>
      <c r="I60" s="241">
        <f t="shared" si="53"/>
        <v>0</v>
      </c>
      <c r="J60" s="429"/>
      <c r="K60" s="222">
        <v>72</v>
      </c>
      <c r="L60" s="241">
        <f t="shared" si="54"/>
        <v>146</v>
      </c>
      <c r="M60" s="429"/>
      <c r="N60" s="222">
        <v>31</v>
      </c>
      <c r="O60" s="241">
        <f t="shared" si="55"/>
        <v>105</v>
      </c>
      <c r="P60" s="429"/>
      <c r="Q60" s="222"/>
      <c r="R60" s="241">
        <f t="shared" si="56"/>
        <v>0</v>
      </c>
      <c r="S60" s="429"/>
      <c r="T60" s="222">
        <f t="shared" si="57"/>
        <v>103</v>
      </c>
      <c r="U60" s="241">
        <f t="shared" si="58"/>
        <v>251</v>
      </c>
      <c r="V60" s="401"/>
      <c r="W60" s="79"/>
      <c r="X60" s="79"/>
      <c r="Y60" s="79"/>
      <c r="Z60" s="79"/>
      <c r="AA60" s="79"/>
      <c r="AB60" s="79"/>
      <c r="AL60" s="169">
        <f>IF(AU60=0,0,IFERROR(INDEX(RanglisteST1!K:K,MATCH(AU60,RanglisteST1!A:A,0)),0))</f>
        <v>0</v>
      </c>
      <c r="AM60" s="169">
        <f>IF(AU60=0,0,SUMIF(AU59:AU67,AU60,AV59:AV67))</f>
        <v>268</v>
      </c>
      <c r="AN60" s="169">
        <f>IF(AU60=0,0,SUMIF(AU59:AU67,AU60,AW59:AW67))</f>
        <v>4</v>
      </c>
      <c r="AO60" s="169">
        <f t="shared" si="59"/>
        <v>67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74</v>
      </c>
      <c r="AQ60" s="166"/>
      <c r="AR60" s="167"/>
      <c r="AS60" s="167"/>
      <c r="AT60" s="168"/>
      <c r="AU60" s="171">
        <f t="shared" si="60"/>
        <v>38921</v>
      </c>
      <c r="AV60" s="167">
        <f t="shared" ref="AV60:AV67" si="73">T60</f>
        <v>103</v>
      </c>
      <c r="AW60" s="169">
        <f t="shared" si="61"/>
        <v>2</v>
      </c>
      <c r="AX60" s="169">
        <f t="shared" si="62"/>
        <v>2</v>
      </c>
      <c r="AY60" s="169" t="str">
        <f t="shared" ref="AY60:AY67" si="74">IF(E60=0,"",E60)</f>
        <v/>
      </c>
      <c r="AZ60" s="169" t="str">
        <f t="shared" si="63"/>
        <v/>
      </c>
      <c r="BA60" s="169">
        <f t="shared" si="64"/>
        <v>72</v>
      </c>
      <c r="BB60" s="169">
        <f t="shared" si="65"/>
        <v>31</v>
      </c>
      <c r="BC60" s="169" t="str">
        <f t="shared" si="66"/>
        <v/>
      </c>
      <c r="BD60" s="170"/>
      <c r="BE60" s="168"/>
      <c r="BF60" s="169">
        <f t="shared" si="67"/>
        <v>72</v>
      </c>
      <c r="BG60" s="169">
        <f t="shared" si="68"/>
        <v>0</v>
      </c>
      <c r="BH60" s="169" t="str">
        <f t="shared" ref="BH60:BH67" si="75">+BH59</f>
        <v>Highroller Rosenheim 2</v>
      </c>
      <c r="BI60" s="168">
        <f t="shared" si="69"/>
        <v>2</v>
      </c>
      <c r="BJ60" s="169">
        <f t="shared" si="70"/>
        <v>103</v>
      </c>
      <c r="BK60" s="169">
        <f>IF(COUNTIF(AY60:BC60,"&gt;0")&lt;Spielorte!$A$23,0,AV60/Spielorte!$A$23)</f>
        <v>0</v>
      </c>
      <c r="BL60" s="169">
        <f t="shared" si="71"/>
        <v>0</v>
      </c>
      <c r="BM60" s="168">
        <f t="shared" si="72"/>
        <v>0</v>
      </c>
    </row>
    <row r="61" spans="1:65" ht="16.95" customHeight="1" thickBot="1">
      <c r="A61" s="405"/>
      <c r="B61" s="59" t="str">
        <f>IF(C61=0,"",VLOOKUP(C61,Starter!$A$1:$D$196,2,FALSE))</f>
        <v>Schwarzfischer, Leon</v>
      </c>
      <c r="C61" s="234">
        <v>38920</v>
      </c>
      <c r="D61" s="223">
        <f t="shared" si="51"/>
        <v>63</v>
      </c>
      <c r="E61" s="224"/>
      <c r="F61" s="242">
        <f t="shared" si="52"/>
        <v>0</v>
      </c>
      <c r="G61" s="430"/>
      <c r="H61" s="224"/>
      <c r="I61" s="242">
        <f t="shared" si="53"/>
        <v>0</v>
      </c>
      <c r="J61" s="430"/>
      <c r="K61" s="224"/>
      <c r="L61" s="242">
        <f t="shared" si="54"/>
        <v>0</v>
      </c>
      <c r="M61" s="430"/>
      <c r="N61" s="224"/>
      <c r="O61" s="242">
        <f t="shared" si="55"/>
        <v>0</v>
      </c>
      <c r="P61" s="430"/>
      <c r="Q61" s="224">
        <v>75</v>
      </c>
      <c r="R61" s="242">
        <f t="shared" si="56"/>
        <v>138</v>
      </c>
      <c r="S61" s="430"/>
      <c r="T61" s="224">
        <f t="shared" si="57"/>
        <v>75</v>
      </c>
      <c r="U61" s="242">
        <f t="shared" si="58"/>
        <v>138</v>
      </c>
      <c r="V61" s="402"/>
      <c r="W61" s="79"/>
      <c r="X61" s="79"/>
      <c r="Y61" s="79"/>
      <c r="Z61" s="79"/>
      <c r="AA61" s="79"/>
      <c r="AB61" s="79"/>
      <c r="AL61" s="169">
        <f>IF(AU61=0,0,IFERROR(INDEX(RanglisteST1!K:K,MATCH(AU61,RanglisteST1!A:A,0)),0))</f>
        <v>0</v>
      </c>
      <c r="AM61" s="169">
        <f>IF(AU61=0,0,SUMIF(AU59:AU67,AU61,AV59:AV67))</f>
        <v>325</v>
      </c>
      <c r="AN61" s="169">
        <f>IF(AU61=0,0,SUMIF(AU59:AU67,AU61,AW59:AW67))</f>
        <v>4</v>
      </c>
      <c r="AO61" s="169">
        <f t="shared" si="59"/>
        <v>81.25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63</v>
      </c>
      <c r="AQ61" s="166"/>
      <c r="AR61" s="167"/>
      <c r="AS61" s="167"/>
      <c r="AT61" s="168"/>
      <c r="AU61" s="171">
        <f t="shared" si="60"/>
        <v>38920</v>
      </c>
      <c r="AV61" s="167">
        <f t="shared" si="73"/>
        <v>75</v>
      </c>
      <c r="AW61" s="169">
        <f t="shared" si="61"/>
        <v>1</v>
      </c>
      <c r="AX61" s="169">
        <f t="shared" si="62"/>
        <v>1</v>
      </c>
      <c r="AY61" s="169" t="str">
        <f t="shared" si="74"/>
        <v/>
      </c>
      <c r="AZ61" s="169" t="str">
        <f t="shared" si="63"/>
        <v/>
      </c>
      <c r="BA61" s="169" t="str">
        <f t="shared" si="64"/>
        <v/>
      </c>
      <c r="BB61" s="169" t="str">
        <f t="shared" si="65"/>
        <v/>
      </c>
      <c r="BC61" s="169">
        <f t="shared" si="66"/>
        <v>75</v>
      </c>
      <c r="BD61" s="170"/>
      <c r="BE61" s="168"/>
      <c r="BF61" s="169">
        <f t="shared" si="67"/>
        <v>75</v>
      </c>
      <c r="BG61" s="169">
        <f t="shared" si="68"/>
        <v>0</v>
      </c>
      <c r="BH61" s="169" t="str">
        <f t="shared" si="75"/>
        <v>Highroller Rosenheim 2</v>
      </c>
      <c r="BI61" s="168">
        <f t="shared" si="69"/>
        <v>2</v>
      </c>
      <c r="BJ61" s="169">
        <f t="shared" si="70"/>
        <v>75</v>
      </c>
      <c r="BK61" s="169">
        <f>IF(COUNTIF(AY61:BC61,"&gt;0")&lt;Spielorte!$A$23,0,AV61/Spielorte!$A$23)</f>
        <v>0</v>
      </c>
      <c r="BL61" s="169">
        <f t="shared" si="71"/>
        <v>0</v>
      </c>
      <c r="BM61" s="168">
        <f t="shared" si="72"/>
        <v>0</v>
      </c>
    </row>
    <row r="62" spans="1:65" ht="16.95" customHeight="1">
      <c r="A62" s="403" t="s">
        <v>2</v>
      </c>
      <c r="B62" s="58" t="str">
        <f>IF(C62=0,"",VLOOKUP(C62,Starter!$A$1:$D$196,2,FALSE))</f>
        <v>Schwarzfischer, Leon</v>
      </c>
      <c r="C62" s="235">
        <v>38920</v>
      </c>
      <c r="D62" s="238">
        <f t="shared" si="51"/>
        <v>63</v>
      </c>
      <c r="E62" s="221">
        <v>97</v>
      </c>
      <c r="F62" s="240">
        <f t="shared" si="52"/>
        <v>160</v>
      </c>
      <c r="G62" s="428">
        <f>IF(SUM(F62:F64)+E75=0,0,IF(ABS(SUM(F62:F64))=E75,Spielorte!$A$30/2,IF(ABS(SUM(F62:F64))&gt;E75,Spielorte!$A$30,0)))</f>
        <v>0</v>
      </c>
      <c r="H62" s="221">
        <v>82</v>
      </c>
      <c r="I62" s="240">
        <f t="shared" si="53"/>
        <v>145</v>
      </c>
      <c r="J62" s="428">
        <f>IF(SUM(I62:I64)+H75=0,0,IF(ABS(SUM(I62:I64))=H75,Spielorte!$A$30/2,IF(ABS(SUM(I62:I64))&gt;H75,Spielorte!$A$30,0)))</f>
        <v>0</v>
      </c>
      <c r="K62" s="221">
        <v>71</v>
      </c>
      <c r="L62" s="240">
        <f t="shared" si="54"/>
        <v>134</v>
      </c>
      <c r="M62" s="428">
        <f>IF(SUM(L62:L64)+K75=0,0,IF(ABS(SUM(L62:L64))=K75,Spielorte!$A$30/2,IF(ABS(SUM(L62:L64))&gt;K75,Spielorte!$A$30,0)))</f>
        <v>0</v>
      </c>
      <c r="N62" s="221"/>
      <c r="O62" s="240">
        <f t="shared" si="55"/>
        <v>0</v>
      </c>
      <c r="P62" s="428">
        <f>IF(SUM(O62:O64)+N75=0,0,IF(ABS(SUM(O62:O64))=N75,Spielorte!$A$30/2,IF(ABS(SUM(O62:O64))&gt;N75,Spielorte!$A$30,0)))</f>
        <v>0</v>
      </c>
      <c r="Q62" s="221"/>
      <c r="R62" s="240">
        <f t="shared" si="56"/>
        <v>0</v>
      </c>
      <c r="S62" s="428">
        <f>IF(SUM(R62:R64)+Q75=0,0,IF(ABS(SUM(R62:R64))=Q75,Spielorte!$A$30/2,IF(ABS(SUM(R62:R64))&gt;Q75,Spielorte!$A$30,0)))</f>
        <v>0</v>
      </c>
      <c r="T62" s="221">
        <f t="shared" si="57"/>
        <v>250</v>
      </c>
      <c r="U62" s="240">
        <f t="shared" si="58"/>
        <v>439</v>
      </c>
      <c r="V62" s="400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IF(AU62=0,0,IFERROR(INDEX(RanglisteST1!K:K,MATCH(AU62,RanglisteST1!A:A,0)),0))</f>
        <v>0</v>
      </c>
      <c r="AM62" s="169">
        <f>IF(AU62=0,0,SUMIF(AU59:AU67,AU62,AV59:AV67))</f>
        <v>325</v>
      </c>
      <c r="AN62" s="169">
        <f>IF(AU62=0,0,SUMIF(AU59:AU67,AU62,AW59:AW67))</f>
        <v>4</v>
      </c>
      <c r="AO62" s="169">
        <f t="shared" si="59"/>
        <v>81.25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63</v>
      </c>
      <c r="AQ62" s="166"/>
      <c r="AR62" s="167"/>
      <c r="AS62" s="167"/>
      <c r="AT62" s="168"/>
      <c r="AU62" s="171">
        <f t="shared" si="60"/>
        <v>38920</v>
      </c>
      <c r="AV62" s="167">
        <f t="shared" si="73"/>
        <v>250</v>
      </c>
      <c r="AW62" s="169">
        <f t="shared" si="61"/>
        <v>3</v>
      </c>
      <c r="AX62" s="169">
        <f t="shared" si="62"/>
        <v>3</v>
      </c>
      <c r="AY62" s="169">
        <f t="shared" si="74"/>
        <v>97</v>
      </c>
      <c r="AZ62" s="169">
        <f t="shared" si="63"/>
        <v>82</v>
      </c>
      <c r="BA62" s="169">
        <f t="shared" si="64"/>
        <v>71</v>
      </c>
      <c r="BB62" s="169" t="str">
        <f t="shared" si="65"/>
        <v/>
      </c>
      <c r="BC62" s="169" t="str">
        <f t="shared" si="66"/>
        <v/>
      </c>
      <c r="BD62" s="170"/>
      <c r="BE62" s="168"/>
      <c r="BF62" s="169">
        <f t="shared" si="67"/>
        <v>97</v>
      </c>
      <c r="BG62" s="169">
        <f t="shared" si="68"/>
        <v>0</v>
      </c>
      <c r="BH62" s="169" t="str">
        <f t="shared" si="75"/>
        <v>Highroller Rosenheim 2</v>
      </c>
      <c r="BI62" s="168">
        <f t="shared" si="69"/>
        <v>2</v>
      </c>
      <c r="BJ62" s="169">
        <f t="shared" si="70"/>
        <v>250</v>
      </c>
      <c r="BK62" s="169">
        <f>IF(COUNTIF(AY62:BC62,"&gt;0")&lt;Spielorte!$A$23,0,AV62/Spielorte!$A$23)</f>
        <v>0</v>
      </c>
      <c r="BL62" s="169">
        <f t="shared" si="71"/>
        <v>0</v>
      </c>
      <c r="BM62" s="168">
        <f t="shared" si="72"/>
        <v>0</v>
      </c>
    </row>
    <row r="63" spans="1:65" ht="16.95" customHeight="1">
      <c r="A63" s="404"/>
      <c r="B63" s="58" t="str">
        <f>IF(C63=0,"",VLOOKUP(C63,Starter!$A$1:$D$196,2,FALSE))</f>
        <v>Weinrich, Lena</v>
      </c>
      <c r="C63" s="233">
        <v>38923</v>
      </c>
      <c r="D63" s="239">
        <f t="shared" si="51"/>
        <v>48</v>
      </c>
      <c r="E63" s="222"/>
      <c r="F63" s="241">
        <f t="shared" si="52"/>
        <v>0</v>
      </c>
      <c r="G63" s="429"/>
      <c r="H63" s="222"/>
      <c r="I63" s="241">
        <f t="shared" si="53"/>
        <v>0</v>
      </c>
      <c r="J63" s="429"/>
      <c r="K63" s="222"/>
      <c r="L63" s="241">
        <f t="shared" si="54"/>
        <v>0</v>
      </c>
      <c r="M63" s="429"/>
      <c r="N63" s="222">
        <v>91</v>
      </c>
      <c r="O63" s="241">
        <f t="shared" si="55"/>
        <v>139</v>
      </c>
      <c r="P63" s="429"/>
      <c r="Q63" s="222">
        <v>115</v>
      </c>
      <c r="R63" s="241">
        <f t="shared" si="56"/>
        <v>163</v>
      </c>
      <c r="S63" s="429"/>
      <c r="T63" s="222">
        <f t="shared" si="57"/>
        <v>206</v>
      </c>
      <c r="U63" s="241">
        <f t="shared" si="58"/>
        <v>302</v>
      </c>
      <c r="V63" s="401"/>
      <c r="W63" s="79"/>
      <c r="X63" s="79"/>
      <c r="Y63" s="79"/>
      <c r="Z63" s="79"/>
      <c r="AA63" s="79"/>
      <c r="AB63" s="79"/>
      <c r="AL63" s="169">
        <f>IF(AU63=0,0,IFERROR(INDEX(RanglisteST1!K:K,MATCH(AU63,RanglisteST1!A:A,0)),0))</f>
        <v>0</v>
      </c>
      <c r="AM63" s="169">
        <f>IF(AU63=0,0,SUMIF(AU59:AU67,AU63,AV59:AV67))</f>
        <v>401</v>
      </c>
      <c r="AN63" s="169">
        <f>IF(AU63=0,0,SUMIF(AU59:AU67,AU63,AW59:AW67))</f>
        <v>4</v>
      </c>
      <c r="AO63" s="169">
        <f t="shared" si="59"/>
        <v>100.25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48</v>
      </c>
      <c r="AQ63" s="166"/>
      <c r="AR63" s="167"/>
      <c r="AS63" s="167"/>
      <c r="AT63" s="168"/>
      <c r="AU63" s="171">
        <f t="shared" si="60"/>
        <v>38923</v>
      </c>
      <c r="AV63" s="167">
        <f t="shared" si="73"/>
        <v>206</v>
      </c>
      <c r="AW63" s="169">
        <f t="shared" si="61"/>
        <v>2</v>
      </c>
      <c r="AX63" s="169">
        <f t="shared" si="62"/>
        <v>2</v>
      </c>
      <c r="AY63" s="169" t="str">
        <f t="shared" si="74"/>
        <v/>
      </c>
      <c r="AZ63" s="169" t="str">
        <f t="shared" si="63"/>
        <v/>
      </c>
      <c r="BA63" s="169" t="str">
        <f t="shared" si="64"/>
        <v/>
      </c>
      <c r="BB63" s="169">
        <f t="shared" si="65"/>
        <v>91</v>
      </c>
      <c r="BC63" s="169">
        <f t="shared" si="66"/>
        <v>115</v>
      </c>
      <c r="BD63" s="170"/>
      <c r="BE63" s="168"/>
      <c r="BF63" s="169">
        <f t="shared" si="67"/>
        <v>115</v>
      </c>
      <c r="BG63" s="169">
        <f t="shared" si="68"/>
        <v>0</v>
      </c>
      <c r="BH63" s="169" t="str">
        <f t="shared" si="75"/>
        <v>Highroller Rosenheim 2</v>
      </c>
      <c r="BI63" s="168">
        <f t="shared" si="69"/>
        <v>2</v>
      </c>
      <c r="BJ63" s="169">
        <f t="shared" si="70"/>
        <v>206</v>
      </c>
      <c r="BK63" s="169">
        <f>IF(COUNTIF(AY63:BC63,"&gt;0")&lt;Spielorte!$A$23,0,AV63/Spielorte!$A$23)</f>
        <v>0</v>
      </c>
      <c r="BL63" s="169">
        <f t="shared" si="71"/>
        <v>0</v>
      </c>
      <c r="BM63" s="168">
        <f t="shared" si="72"/>
        <v>0</v>
      </c>
    </row>
    <row r="64" spans="1:65" ht="16.95" customHeight="1" thickBot="1">
      <c r="A64" s="405"/>
      <c r="B64" s="60" t="str">
        <f>IF(C64=0,"",VLOOKUP(C64,Starter!$A$1:$D$196,2,FALSE))</f>
        <v/>
      </c>
      <c r="C64" s="236"/>
      <c r="D64" s="223">
        <f t="shared" si="51"/>
        <v>0</v>
      </c>
      <c r="E64" s="224"/>
      <c r="F64" s="242">
        <f t="shared" si="52"/>
        <v>0</v>
      </c>
      <c r="G64" s="430"/>
      <c r="H64" s="224"/>
      <c r="I64" s="242">
        <f t="shared" si="53"/>
        <v>0</v>
      </c>
      <c r="J64" s="430"/>
      <c r="K64" s="224"/>
      <c r="L64" s="242">
        <f t="shared" si="54"/>
        <v>0</v>
      </c>
      <c r="M64" s="430"/>
      <c r="N64" s="224"/>
      <c r="O64" s="242">
        <f t="shared" si="55"/>
        <v>0</v>
      </c>
      <c r="P64" s="430"/>
      <c r="Q64" s="224"/>
      <c r="R64" s="242">
        <f t="shared" si="56"/>
        <v>0</v>
      </c>
      <c r="S64" s="430"/>
      <c r="T64" s="224">
        <f t="shared" si="57"/>
        <v>0</v>
      </c>
      <c r="U64" s="242">
        <f t="shared" si="58"/>
        <v>0</v>
      </c>
      <c r="V64" s="402"/>
      <c r="W64" s="79"/>
      <c r="X64" s="79"/>
      <c r="Y64" s="79"/>
      <c r="Z64" s="79"/>
      <c r="AA64" s="79"/>
      <c r="AB64" s="79"/>
      <c r="AL64" s="169">
        <f>IF(AU64=0,0,IFERROR(INDEX(RanglisteST1!K:K,MATCH(AU64,RanglisteST1!A:A,0)),0))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9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60"/>
        <v>0</v>
      </c>
      <c r="AV64" s="167">
        <f t="shared" si="73"/>
        <v>0</v>
      </c>
      <c r="AW64" s="169">
        <f t="shared" si="61"/>
        <v>0</v>
      </c>
      <c r="AX64" s="169">
        <f t="shared" si="62"/>
        <v>0</v>
      </c>
      <c r="AY64" s="169" t="str">
        <f t="shared" si="74"/>
        <v/>
      </c>
      <c r="AZ64" s="169" t="str">
        <f t="shared" si="63"/>
        <v/>
      </c>
      <c r="BA64" s="169" t="str">
        <f t="shared" si="64"/>
        <v/>
      </c>
      <c r="BB64" s="169" t="str">
        <f t="shared" si="65"/>
        <v/>
      </c>
      <c r="BC64" s="169" t="str">
        <f t="shared" si="66"/>
        <v/>
      </c>
      <c r="BD64" s="170"/>
      <c r="BE64" s="168"/>
      <c r="BF64" s="169">
        <f t="shared" si="67"/>
        <v>0</v>
      </c>
      <c r="BG64" s="169">
        <f t="shared" si="68"/>
        <v>0</v>
      </c>
      <c r="BH64" s="169" t="str">
        <f t="shared" si="75"/>
        <v>Highroller Rosenheim 2</v>
      </c>
      <c r="BI64" s="168">
        <f t="shared" si="69"/>
        <v>2</v>
      </c>
      <c r="BJ64" s="169">
        <f t="shared" si="70"/>
        <v>0</v>
      </c>
      <c r="BK64" s="169">
        <f>IF(COUNTIF(AY64:BC64,"&gt;0")&lt;Spielorte!$A$23,0,AV64/Spielorte!$A$23)</f>
        <v>0</v>
      </c>
      <c r="BL64" s="169">
        <f t="shared" si="71"/>
        <v>0</v>
      </c>
      <c r="BM64" s="168">
        <f t="shared" si="72"/>
        <v>0</v>
      </c>
    </row>
    <row r="65" spans="1:65" ht="16.95" customHeight="1">
      <c r="A65" s="403" t="s">
        <v>3</v>
      </c>
      <c r="B65" s="58" t="str">
        <f>IF(C65=0,"",VLOOKUP(C65,Starter!$A$1:$D$196,2,FALSE))</f>
        <v>Schimanski, Johanna</v>
      </c>
      <c r="C65" s="235">
        <v>38921</v>
      </c>
      <c r="D65" s="238">
        <f t="shared" si="51"/>
        <v>74</v>
      </c>
      <c r="E65" s="221">
        <v>87</v>
      </c>
      <c r="F65" s="240">
        <f t="shared" si="52"/>
        <v>161</v>
      </c>
      <c r="G65" s="428">
        <f>IF(SUM(F65:F67)+E76=0,0,IF(ABS(SUM(F65:F67))=E76,Spielorte!$A$30/2,IF(ABS(SUM(F65:F67))&gt;E76,Spielorte!$A$30,0)))</f>
        <v>1</v>
      </c>
      <c r="H65" s="221">
        <v>78</v>
      </c>
      <c r="I65" s="240">
        <f t="shared" si="53"/>
        <v>152</v>
      </c>
      <c r="J65" s="428">
        <f>IF(SUM(I65:I67)+H76=0,0,IF(ABS(SUM(I65:I67))=H76,Spielorte!$A$30/2,IF(ABS(SUM(I65:I67))&gt;H76,Spielorte!$A$30,0)))</f>
        <v>1</v>
      </c>
      <c r="K65" s="221"/>
      <c r="L65" s="240">
        <f t="shared" si="54"/>
        <v>0</v>
      </c>
      <c r="M65" s="428">
        <f>IF(SUM(L65:L67)+K76=0,0,IF(ABS(SUM(L65:L67))=K76,Spielorte!$A$30/2,IF(ABS(SUM(L65:L67))&gt;K76,Spielorte!$A$30,0)))</f>
        <v>0</v>
      </c>
      <c r="N65" s="221"/>
      <c r="O65" s="240">
        <f t="shared" si="55"/>
        <v>0</v>
      </c>
      <c r="P65" s="428">
        <f>IF(SUM(O65:O67)+N76=0,0,IF(ABS(SUM(O65:O67))=N76,Spielorte!$A$30/2,IF(ABS(SUM(O65:O67))&gt;N76,Spielorte!$A$30,0)))</f>
        <v>1</v>
      </c>
      <c r="Q65" s="221"/>
      <c r="R65" s="240">
        <f t="shared" si="56"/>
        <v>0</v>
      </c>
      <c r="S65" s="428">
        <f>IF(SUM(R65:R67)+Q76=0,0,IF(ABS(SUM(R65:R67))=Q76,Spielorte!$A$30/2,IF(ABS(SUM(R65:R67))&gt;Q76,Spielorte!$A$30,0)))</f>
        <v>0</v>
      </c>
      <c r="T65" s="221">
        <f t="shared" si="57"/>
        <v>165</v>
      </c>
      <c r="U65" s="240">
        <f t="shared" si="58"/>
        <v>313</v>
      </c>
      <c r="V65" s="400">
        <f>SUM(G65+J65+M65+P65+S65)</f>
        <v>3</v>
      </c>
      <c r="W65" s="79"/>
      <c r="X65" s="79"/>
      <c r="Y65" s="79"/>
      <c r="Z65" s="79"/>
      <c r="AA65" s="79"/>
      <c r="AB65" s="79"/>
      <c r="AL65" s="169">
        <f>IF(AU65=0,0,IFERROR(INDEX(RanglisteST1!K:K,MATCH(AU65,RanglisteST1!A:A,0)),0))</f>
        <v>0</v>
      </c>
      <c r="AM65" s="169">
        <f>IF(AU65=0,0,SUMIF(AU59:AU67,AU65,AV59:AV67))</f>
        <v>268</v>
      </c>
      <c r="AN65" s="169">
        <f>IF(AU65=0,0,SUMIF(AU59:AU67,AU65,AW59:AW67))</f>
        <v>4</v>
      </c>
      <c r="AO65" s="169">
        <f t="shared" si="59"/>
        <v>67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74</v>
      </c>
      <c r="AQ65" s="166"/>
      <c r="AR65" s="167"/>
      <c r="AS65" s="167"/>
      <c r="AT65" s="168"/>
      <c r="AU65" s="171">
        <f t="shared" si="60"/>
        <v>38921</v>
      </c>
      <c r="AV65" s="167">
        <f t="shared" si="73"/>
        <v>165</v>
      </c>
      <c r="AW65" s="169">
        <f t="shared" si="61"/>
        <v>2</v>
      </c>
      <c r="AX65" s="169">
        <f t="shared" si="62"/>
        <v>2</v>
      </c>
      <c r="AY65" s="169">
        <f t="shared" si="74"/>
        <v>87</v>
      </c>
      <c r="AZ65" s="169">
        <f t="shared" si="63"/>
        <v>78</v>
      </c>
      <c r="BA65" s="169" t="str">
        <f t="shared" si="64"/>
        <v/>
      </c>
      <c r="BB65" s="169" t="str">
        <f t="shared" si="65"/>
        <v/>
      </c>
      <c r="BC65" s="169" t="str">
        <f t="shared" si="66"/>
        <v/>
      </c>
      <c r="BD65" s="170"/>
      <c r="BE65" s="168"/>
      <c r="BF65" s="169">
        <f t="shared" si="67"/>
        <v>87</v>
      </c>
      <c r="BG65" s="169">
        <f t="shared" si="68"/>
        <v>0</v>
      </c>
      <c r="BH65" s="169" t="str">
        <f t="shared" si="75"/>
        <v>Highroller Rosenheim 2</v>
      </c>
      <c r="BI65" s="168">
        <f t="shared" si="69"/>
        <v>2</v>
      </c>
      <c r="BJ65" s="169">
        <f t="shared" si="70"/>
        <v>165</v>
      </c>
      <c r="BK65" s="169">
        <f>IF(COUNTIF(AY65:BC65,"&gt;0")&lt;Spielorte!$A$23,0,AV65/Spielorte!$A$23)</f>
        <v>0</v>
      </c>
      <c r="BL65" s="169">
        <f t="shared" si="71"/>
        <v>0</v>
      </c>
      <c r="BM65" s="168">
        <f t="shared" si="72"/>
        <v>0</v>
      </c>
    </row>
    <row r="66" spans="1:65" ht="16.95" customHeight="1">
      <c r="A66" s="404"/>
      <c r="B66" s="58" t="str">
        <f>IF(C66=0,"",VLOOKUP(C66,Starter!$A$1:$D$196,2,FALSE))</f>
        <v>Schimanski, Theodor</v>
      </c>
      <c r="C66" s="233">
        <v>38922</v>
      </c>
      <c r="D66" s="239">
        <f t="shared" si="51"/>
        <v>47</v>
      </c>
      <c r="E66" s="222"/>
      <c r="F66" s="241">
        <f t="shared" si="52"/>
        <v>0</v>
      </c>
      <c r="G66" s="429"/>
      <c r="H66" s="222"/>
      <c r="I66" s="241">
        <f t="shared" si="53"/>
        <v>0</v>
      </c>
      <c r="J66" s="429"/>
      <c r="K66" s="222">
        <v>70</v>
      </c>
      <c r="L66" s="241">
        <f t="shared" si="54"/>
        <v>117</v>
      </c>
      <c r="M66" s="429"/>
      <c r="N66" s="222">
        <v>132</v>
      </c>
      <c r="O66" s="241">
        <f t="shared" si="55"/>
        <v>179</v>
      </c>
      <c r="P66" s="429"/>
      <c r="Q66" s="222">
        <v>100</v>
      </c>
      <c r="R66" s="241">
        <f t="shared" si="56"/>
        <v>147</v>
      </c>
      <c r="S66" s="429"/>
      <c r="T66" s="222">
        <f t="shared" si="57"/>
        <v>302</v>
      </c>
      <c r="U66" s="241">
        <f t="shared" si="58"/>
        <v>443</v>
      </c>
      <c r="V66" s="401"/>
      <c r="W66" s="79"/>
      <c r="X66" s="79"/>
      <c r="Y66" s="79"/>
      <c r="Z66" s="79"/>
      <c r="AA66" s="79"/>
      <c r="AB66" s="79"/>
      <c r="AL66" s="169">
        <f>IF(AU66=0,0,IFERROR(INDEX(RanglisteST1!K:K,MATCH(AU66,RanglisteST1!A:A,0)),0))</f>
        <v>0</v>
      </c>
      <c r="AM66" s="169">
        <f>IF(AU66=0,0,SUMIF(AU59:AU67,AU66,AV59:AV67))</f>
        <v>302</v>
      </c>
      <c r="AN66" s="169">
        <f>IF(AU66=0,0,SUMIF(AU59:AU67,AU66,AW59:AW67))</f>
        <v>3</v>
      </c>
      <c r="AO66" s="169">
        <f t="shared" si="59"/>
        <v>100.66666666666667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47</v>
      </c>
      <c r="AQ66" s="166"/>
      <c r="AR66" s="167"/>
      <c r="AS66" s="167"/>
      <c r="AT66" s="168"/>
      <c r="AU66" s="171">
        <f t="shared" si="60"/>
        <v>38922</v>
      </c>
      <c r="AV66" s="167">
        <f t="shared" si="73"/>
        <v>302</v>
      </c>
      <c r="AW66" s="169">
        <f t="shared" si="61"/>
        <v>3</v>
      </c>
      <c r="AX66" s="169">
        <f t="shared" si="62"/>
        <v>3</v>
      </c>
      <c r="AY66" s="169" t="str">
        <f t="shared" si="74"/>
        <v/>
      </c>
      <c r="AZ66" s="169" t="str">
        <f t="shared" si="63"/>
        <v/>
      </c>
      <c r="BA66" s="169">
        <f t="shared" si="64"/>
        <v>70</v>
      </c>
      <c r="BB66" s="169">
        <f t="shared" si="65"/>
        <v>132</v>
      </c>
      <c r="BC66" s="169">
        <f t="shared" si="66"/>
        <v>100</v>
      </c>
      <c r="BD66" s="170"/>
      <c r="BE66" s="168"/>
      <c r="BF66" s="169">
        <f t="shared" si="67"/>
        <v>132</v>
      </c>
      <c r="BG66" s="169">
        <f t="shared" si="68"/>
        <v>0</v>
      </c>
      <c r="BH66" s="169" t="str">
        <f t="shared" si="75"/>
        <v>Highroller Rosenheim 2</v>
      </c>
      <c r="BI66" s="168">
        <f t="shared" si="69"/>
        <v>2</v>
      </c>
      <c r="BJ66" s="169">
        <f t="shared" si="70"/>
        <v>302</v>
      </c>
      <c r="BK66" s="169">
        <f>IF(COUNTIF(AY66:BC66,"&gt;0")&lt;Spielorte!$A$23,0,AV66/Spielorte!$A$23)</f>
        <v>0</v>
      </c>
      <c r="BL66" s="169">
        <f t="shared" si="71"/>
        <v>0</v>
      </c>
      <c r="BM66" s="168">
        <f t="shared" si="72"/>
        <v>0</v>
      </c>
    </row>
    <row r="67" spans="1:65" ht="16.95" customHeight="1" thickBot="1">
      <c r="A67" s="405"/>
      <c r="B67" s="60" t="str">
        <f>IF(C67=0,"",VLOOKUP(C67,Starter!$A$1:$D$196,2,FALSE))</f>
        <v/>
      </c>
      <c r="C67" s="236"/>
      <c r="D67" s="223">
        <f t="shared" si="51"/>
        <v>0</v>
      </c>
      <c r="E67" s="224"/>
      <c r="F67" s="242">
        <f t="shared" si="52"/>
        <v>0</v>
      </c>
      <c r="G67" s="430"/>
      <c r="H67" s="224"/>
      <c r="I67" s="242">
        <f t="shared" si="53"/>
        <v>0</v>
      </c>
      <c r="J67" s="430"/>
      <c r="K67" s="224"/>
      <c r="L67" s="242">
        <f t="shared" si="54"/>
        <v>0</v>
      </c>
      <c r="M67" s="430"/>
      <c r="N67" s="224"/>
      <c r="O67" s="242">
        <f t="shared" si="55"/>
        <v>0</v>
      </c>
      <c r="P67" s="430"/>
      <c r="Q67" s="224"/>
      <c r="R67" s="242">
        <f t="shared" si="56"/>
        <v>0</v>
      </c>
      <c r="S67" s="430"/>
      <c r="T67" s="224">
        <f t="shared" si="57"/>
        <v>0</v>
      </c>
      <c r="U67" s="242">
        <f t="shared" si="58"/>
        <v>0</v>
      </c>
      <c r="V67" s="402"/>
      <c r="W67" s="79"/>
      <c r="X67" s="79"/>
      <c r="Y67" s="79"/>
      <c r="Z67" s="79"/>
      <c r="AA67" s="79"/>
      <c r="AB67" s="79"/>
      <c r="AL67" s="169">
        <f>IF(AU67=0,0,IFERROR(INDEX(RanglisteST1!K:K,MATCH(AU67,RanglisteST1!A:A,0)),0))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9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60"/>
        <v>0</v>
      </c>
      <c r="AV67" s="167">
        <f t="shared" si="73"/>
        <v>0</v>
      </c>
      <c r="AW67" s="169">
        <f t="shared" si="61"/>
        <v>0</v>
      </c>
      <c r="AX67" s="169">
        <f t="shared" si="62"/>
        <v>0</v>
      </c>
      <c r="AY67" s="169" t="str">
        <f t="shared" si="74"/>
        <v/>
      </c>
      <c r="AZ67" s="169" t="str">
        <f t="shared" si="63"/>
        <v/>
      </c>
      <c r="BA67" s="169" t="str">
        <f t="shared" si="64"/>
        <v/>
      </c>
      <c r="BB67" s="169" t="str">
        <f t="shared" si="65"/>
        <v/>
      </c>
      <c r="BC67" s="169" t="str">
        <f t="shared" si="66"/>
        <v/>
      </c>
      <c r="BD67" s="170"/>
      <c r="BE67" s="168"/>
      <c r="BF67" s="169">
        <f t="shared" si="67"/>
        <v>0</v>
      </c>
      <c r="BG67" s="169">
        <f t="shared" si="68"/>
        <v>0</v>
      </c>
      <c r="BH67" s="169" t="str">
        <f t="shared" si="75"/>
        <v>Highroller Rosenheim 2</v>
      </c>
      <c r="BI67" s="168">
        <f t="shared" si="69"/>
        <v>2</v>
      </c>
      <c r="BJ67" s="169">
        <f t="shared" si="70"/>
        <v>0</v>
      </c>
      <c r="BK67" s="169">
        <f>IF(COUNTIF(AY67:BC67,"&gt;0")&lt;Spielorte!$A$23,0,AV67/Spielorte!$A$23)</f>
        <v>0</v>
      </c>
      <c r="BL67" s="169">
        <f t="shared" si="71"/>
        <v>0</v>
      </c>
      <c r="BM67" s="168">
        <f t="shared" si="72"/>
        <v>0</v>
      </c>
    </row>
    <row r="68" spans="1:65" ht="27.75" customHeight="1" thickBot="1">
      <c r="B68" s="218" t="s">
        <v>1792</v>
      </c>
      <c r="C68" s="204"/>
      <c r="D68" s="219"/>
      <c r="E68" s="226">
        <f>ABS(SUM(E59:E61))+ABS(SUM(E62:E64))+ABS(SUM(E65:E67))</f>
        <v>277</v>
      </c>
      <c r="F68" s="225">
        <f>ABS(SUM(F59:F61))+ABS(SUM(F62:F64))+ABS(SUM(F65:F67))</f>
        <v>462</v>
      </c>
      <c r="G68" s="81">
        <f>IF(F68+E77=0,0,IF(F68=E77,Spielorte!$A$31/2,IF(F68&gt;E77,Spielorte!$A$31,0)))</f>
        <v>2</v>
      </c>
      <c r="H68" s="226">
        <f>ABS(SUM(H59:H61))+ABS(SUM(H62:H64))+ABS(SUM(H65:H67))</f>
        <v>262</v>
      </c>
      <c r="I68" s="225">
        <f>ABS(SUM(I59:I61))+ABS(SUM(I62:I64))+ABS(SUM(I65:I67))</f>
        <v>447</v>
      </c>
      <c r="J68" s="81">
        <f>IF(I68+H77=0,0,IF(I68=H77,Spielorte!$A$31/2,IF(I68&gt;H77,Spielorte!$A$31,0)))</f>
        <v>2</v>
      </c>
      <c r="K68" s="226">
        <f>ABS(SUM(K59:K61))+ABS(SUM(K62:K64))+ABS(SUM(K65:K67))</f>
        <v>213</v>
      </c>
      <c r="L68" s="225">
        <f>ABS(SUM(L59:L61))+ABS(SUM(L62:L64))+ABS(SUM(L65:L67))</f>
        <v>397</v>
      </c>
      <c r="M68" s="81">
        <f>IF(L68+K77=0,0,IF(L68=K77,Spielorte!$A$31/2,IF(L68&gt;K77,Spielorte!$A$31,0)))</f>
        <v>0</v>
      </c>
      <c r="N68" s="226">
        <f>ABS(SUM(N59:N61))+ABS(SUM(N62:N64))+ABS(SUM(N65:N67))</f>
        <v>254</v>
      </c>
      <c r="O68" s="225">
        <f>ABS(SUM(O59:O61))+ABS(SUM(O62:O64))+ABS(SUM(O65:O67))</f>
        <v>423</v>
      </c>
      <c r="P68" s="81">
        <f>IF(O68+N77=0,0,IF(O68=N77,Spielorte!$A$31/2,IF(O68&gt;N77,Spielorte!$A$31,0)))</f>
        <v>1</v>
      </c>
      <c r="Q68" s="226">
        <f>ABS(SUM(Q59:Q61))+ABS(SUM(Q62:Q64))+ABS(SUM(Q65:Q67))</f>
        <v>290</v>
      </c>
      <c r="R68" s="225">
        <f>ABS(SUM(R59:R61))+ABS(SUM(R62:R64))+ABS(SUM(R65:R67))</f>
        <v>448</v>
      </c>
      <c r="S68" s="81">
        <f>IF(R68+Q77=0,0,IF(R68=Q77,Spielorte!$A$31/2,IF(R68&gt;Q77,Spielorte!$A$31,0)))</f>
        <v>0</v>
      </c>
      <c r="T68" s="228">
        <f>SUM(E68+H68+K68+N68+Q68)</f>
        <v>1296</v>
      </c>
      <c r="U68" s="229">
        <f>SUM(F68+I68+L68+O68+R68)</f>
        <v>2177</v>
      </c>
      <c r="V68" s="12">
        <f>SUM(G68+J68+M68+P68+S68)</f>
        <v>5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>
      <c r="B69" s="230" t="s">
        <v>1803</v>
      </c>
      <c r="C69" s="1"/>
      <c r="D69" s="1"/>
      <c r="E69" s="1"/>
      <c r="F69" s="1"/>
      <c r="G69" s="61">
        <f>SUM(G59:G68)</f>
        <v>3.5</v>
      </c>
      <c r="H69" s="1"/>
      <c r="I69" s="1"/>
      <c r="J69" s="61">
        <f>SUM(J59:J68)</f>
        <v>3</v>
      </c>
      <c r="K69" s="1"/>
      <c r="L69" s="1"/>
      <c r="M69" s="61">
        <f>SUM(M59:M68)</f>
        <v>0</v>
      </c>
      <c r="N69" s="1"/>
      <c r="O69" s="1"/>
      <c r="P69" s="61">
        <f>SUM(P59:P68)</f>
        <v>2</v>
      </c>
      <c r="Q69" s="1"/>
      <c r="R69" s="1"/>
      <c r="S69" s="61">
        <f>SUM(S59:S68)</f>
        <v>0</v>
      </c>
      <c r="T69" s="1"/>
      <c r="U69" s="1"/>
      <c r="V69" s="61">
        <f>SUM(V59:V68)</f>
        <v>8.5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8.5</v>
      </c>
      <c r="AR69" s="167">
        <f>+T68</f>
        <v>1296</v>
      </c>
      <c r="AS69" s="167">
        <f>+U68</f>
        <v>2177</v>
      </c>
      <c r="AT69" s="168">
        <f>+B54</f>
        <v>3</v>
      </c>
      <c r="AW69" s="169">
        <f>SUM(AW53:AW68)</f>
        <v>15</v>
      </c>
      <c r="BD69" s="166">
        <f>+AS69/1000000+AQ69+AR69/1000000000000</f>
        <v>8.5021770012959994</v>
      </c>
      <c r="BE69" s="168">
        <f>RANK(BD69,BD:BD)</f>
        <v>6</v>
      </c>
      <c r="BI69" s="168"/>
      <c r="BM69" s="168"/>
    </row>
    <row r="70" spans="1:65" ht="11.25" customHeight="1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>
      <c r="B71" s="231" t="s">
        <v>1790</v>
      </c>
      <c r="C71" s="210"/>
      <c r="D71" s="42"/>
      <c r="E71" s="434">
        <f>VLOOKUP($B54,Schlüssel!$A$5:$EK$12,3)</f>
        <v>4</v>
      </c>
      <c r="F71" s="435"/>
      <c r="G71" s="436"/>
      <c r="H71" s="434">
        <f>VLOOKUP($B54,Schlüssel!$A$5:$EK$12,4)</f>
        <v>1</v>
      </c>
      <c r="I71" s="435"/>
      <c r="J71" s="436"/>
      <c r="K71" s="434">
        <f>VLOOKUP($B54,Schlüssel!$A$5:$EK$12,5)</f>
        <v>7</v>
      </c>
      <c r="L71" s="435"/>
      <c r="M71" s="436"/>
      <c r="N71" s="434">
        <f>VLOOKUP($B54,Schlüssel!$A$5:$EK$12,6)</f>
        <v>6</v>
      </c>
      <c r="O71" s="435"/>
      <c r="P71" s="436"/>
      <c r="Q71" s="434">
        <f>VLOOKUP($B54,Schlüssel!$A$5:$EK$12,7)</f>
        <v>8</v>
      </c>
      <c r="R71" s="435"/>
      <c r="S71" s="436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>
      <c r="B72" s="3" t="s">
        <v>9</v>
      </c>
      <c r="C72" s="1"/>
      <c r="D72" s="1"/>
      <c r="E72" s="395" t="str">
        <f>VLOOKUP(E71,Schlüssel!$A$5:$K$12,2)</f>
        <v>Highroller Rosenheim 3</v>
      </c>
      <c r="F72" s="438"/>
      <c r="G72" s="396"/>
      <c r="H72" s="395" t="str">
        <f>VLOOKUP(H71,Schlüssel!$A$5:$K$12,2)</f>
        <v>Bad Tölz 1</v>
      </c>
      <c r="I72" s="438"/>
      <c r="J72" s="396"/>
      <c r="K72" s="395" t="str">
        <f>VLOOKUP(K71,Schlüssel!$A$5:$K$12,2)</f>
        <v>BK München 1</v>
      </c>
      <c r="L72" s="438"/>
      <c r="M72" s="396"/>
      <c r="N72" s="395" t="str">
        <f>VLOOKUP(N71,Schlüssel!$A$5:$K$12,2)</f>
        <v>Bowling Jugend Bayern 1</v>
      </c>
      <c r="O72" s="438"/>
      <c r="P72" s="396"/>
      <c r="Q72" s="395" t="str">
        <f>VLOOKUP(Q71,Schlüssel!$A$5:$K$12,2)</f>
        <v>EMAX 1</v>
      </c>
      <c r="R72" s="438"/>
      <c r="S72" s="396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" customHeight="1">
      <c r="B74" s="417" t="s">
        <v>2275</v>
      </c>
      <c r="C74" s="418"/>
      <c r="D74" s="419"/>
      <c r="E74" s="431">
        <f>ABS(INDEX(F:F,MATCH(E71,$B:$B,0)+5)+INDEX(F:F,MATCH(E71,$B:$B,0)+6)+INDEX(F:F,MATCH(E71,$B:$B,0)+7))</f>
        <v>141</v>
      </c>
      <c r="F74" s="432"/>
      <c r="G74" s="433"/>
      <c r="H74" s="431">
        <f>ABS(INDEX(I:I,MATCH(H71,$B:$B,0)+5)+INDEX(I:I,MATCH(H71,$B:$B,0)+6)+INDEX(I:I,MATCH(H71,$B:$B,0)+7))</f>
        <v>202</v>
      </c>
      <c r="I74" s="432"/>
      <c r="J74" s="433"/>
      <c r="K74" s="431">
        <f>ABS(INDEX(L:L,MATCH(K71,$B:$B,0)+5)+INDEX(L:L,MATCH(K71,$B:$B,0)+6)+INDEX(L:L,MATCH(K71,$B:$B,0)+7))</f>
        <v>201</v>
      </c>
      <c r="L74" s="432"/>
      <c r="M74" s="433"/>
      <c r="N74" s="431">
        <f>ABS(INDEX(O:O,MATCH(N71,$B:$B,0)+5)+INDEX(O:O,MATCH(N71,$B:$B,0)+6)+INDEX(O:O,MATCH(N71,$B:$B,0)+7))</f>
        <v>138</v>
      </c>
      <c r="O74" s="432"/>
      <c r="P74" s="433"/>
      <c r="Q74" s="431">
        <f>ABS(INDEX(R:R,MATCH(Q71,$B:$B,0)+5)+INDEX(R:R,MATCH(Q71,$B:$B,0)+6)+INDEX(R:R,MATCH(Q71,$B:$B,0)+7))</f>
        <v>167</v>
      </c>
      <c r="R74" s="432"/>
      <c r="S74" s="433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" customHeight="1">
      <c r="B75" s="417" t="s">
        <v>2276</v>
      </c>
      <c r="C75" s="418"/>
      <c r="D75" s="419"/>
      <c r="E75" s="424">
        <f>ABS(INDEX(F:F,MATCH(E71,$B:$B,0)+8)+INDEX(F:F,MATCH(E71,$B:$B,0)+9)+INDEX(F:F,MATCH(E71,$B:$B,0)+10))</f>
        <v>169</v>
      </c>
      <c r="F75" s="425"/>
      <c r="G75" s="426"/>
      <c r="H75" s="424">
        <f>ABS(INDEX(I:I,MATCH(H71,$B:$B,0)+8)+INDEX(I:I,MATCH(H71,$B:$B,0)+9)+INDEX(I:I,MATCH(H71,$B:$B,0)+10))</f>
        <v>182</v>
      </c>
      <c r="I75" s="425"/>
      <c r="J75" s="426"/>
      <c r="K75" s="424">
        <f>ABS(INDEX(L:L,MATCH(K71,$B:$B,0)+8)+INDEX(L:L,MATCH(K71,$B:$B,0)+9)+INDEX(L:L,MATCH(K71,$B:$B,0)+10))</f>
        <v>198</v>
      </c>
      <c r="L75" s="425"/>
      <c r="M75" s="426"/>
      <c r="N75" s="424">
        <f>ABS(INDEX(O:O,MATCH(N71,$B:$B,0)+8)+INDEX(O:O,MATCH(N71,$B:$B,0)+9)+INDEX(O:O,MATCH(N71,$B:$B,0)+10))</f>
        <v>148</v>
      </c>
      <c r="O75" s="425"/>
      <c r="P75" s="426"/>
      <c r="Q75" s="424">
        <f>ABS(INDEX(R:R,MATCH(Q71,$B:$B,0)+8)+INDEX(R:R,MATCH(Q71,$B:$B,0)+9)+INDEX(R:R,MATCH(Q71,$B:$B,0)+10))</f>
        <v>181</v>
      </c>
      <c r="R75" s="425"/>
      <c r="S75" s="426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" customHeight="1">
      <c r="B76" s="417" t="s">
        <v>2277</v>
      </c>
      <c r="C76" s="418"/>
      <c r="D76" s="419"/>
      <c r="E76" s="424">
        <f>ABS(INDEX(F:F,MATCH(E71,$B:$B,0)+11)+INDEX(F:F,MATCH(E71,$B:$B,0)+12)+INDEX(F:F,MATCH(E71,$B:$B,0)+13))</f>
        <v>136</v>
      </c>
      <c r="F76" s="425"/>
      <c r="G76" s="426"/>
      <c r="H76" s="424">
        <f>ABS(INDEX(I:I,MATCH(H71,$B:$B,0)+11)+INDEX(I:I,MATCH(H71,$B:$B,0)+12)+INDEX(I:I,MATCH(H71,$B:$B,0)+13))</f>
        <v>0</v>
      </c>
      <c r="I76" s="425"/>
      <c r="J76" s="426"/>
      <c r="K76" s="424">
        <f>ABS(INDEX(L:L,MATCH(K71,$B:$B,0)+11)+INDEX(L:L,MATCH(K71,$B:$B,0)+12)+INDEX(L:L,MATCH(K71,$B:$B,0)+13))</f>
        <v>254</v>
      </c>
      <c r="L76" s="425"/>
      <c r="M76" s="426"/>
      <c r="N76" s="424">
        <f>ABS(INDEX(O:O,MATCH(N71,$B:$B,0)+11)+INDEX(O:O,MATCH(N71,$B:$B,0)+12)+INDEX(O:O,MATCH(N71,$B:$B,0)+13))</f>
        <v>137</v>
      </c>
      <c r="O76" s="425"/>
      <c r="P76" s="426"/>
      <c r="Q76" s="424">
        <f>ABS(INDEX(R:R,MATCH(Q71,$B:$B,0)+11)+INDEX(R:R,MATCH(Q71,$B:$B,0)+12)+INDEX(R:R,MATCH(Q71,$B:$B,0)+13))</f>
        <v>178</v>
      </c>
      <c r="R76" s="425"/>
      <c r="S76" s="426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" customHeight="1">
      <c r="B77" s="420" t="s">
        <v>2278</v>
      </c>
      <c r="C77" s="421"/>
      <c r="D77" s="422"/>
      <c r="E77" s="407">
        <f>SUM(E74:E76)</f>
        <v>446</v>
      </c>
      <c r="F77" s="423"/>
      <c r="G77" s="408"/>
      <c r="H77" s="407">
        <f>SUM(H74:H76)</f>
        <v>384</v>
      </c>
      <c r="I77" s="423"/>
      <c r="J77" s="408"/>
      <c r="K77" s="407">
        <f>SUM(K74:K76)</f>
        <v>653</v>
      </c>
      <c r="L77" s="423"/>
      <c r="M77" s="408"/>
      <c r="N77" s="407">
        <f>SUM(N74:N76)</f>
        <v>423</v>
      </c>
      <c r="O77" s="423"/>
      <c r="P77" s="408"/>
      <c r="Q77" s="407">
        <f>SUM(Q74:Q76)</f>
        <v>526</v>
      </c>
      <c r="R77" s="423"/>
      <c r="S77" s="408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>
      <c r="A79" s="255"/>
      <c r="B79" s="7" t="s">
        <v>1802</v>
      </c>
      <c r="C79" s="24"/>
      <c r="D79" s="24"/>
      <c r="E79" s="35" t="s">
        <v>1786</v>
      </c>
      <c r="F79" s="35"/>
      <c r="G79" s="427" t="str">
        <f>Schlüssel!$C$1</f>
        <v>Landesliga Jugend</v>
      </c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  <c r="S79" s="406">
        <f>Schlüssel!$M$1</f>
        <v>45211</v>
      </c>
      <c r="T79" s="406"/>
      <c r="U79" s="406"/>
      <c r="V79" s="406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>
      <c r="A80" s="53"/>
      <c r="B80" s="54">
        <v>4</v>
      </c>
      <c r="E80" s="35" t="s">
        <v>1787</v>
      </c>
      <c r="F80" s="35"/>
      <c r="G80" s="413" t="str">
        <f>Schlüssel!$C$2</f>
        <v>Brunnthal Max Munich</v>
      </c>
      <c r="H80" s="413"/>
      <c r="I80" s="413"/>
      <c r="J80" s="413"/>
      <c r="K80" s="413"/>
      <c r="L80" s="413"/>
      <c r="M80" s="413"/>
      <c r="N80" s="413"/>
      <c r="O80" s="413"/>
      <c r="P80" s="66"/>
      <c r="Q80" s="411" t="s">
        <v>1785</v>
      </c>
      <c r="R80" s="412"/>
      <c r="S80" s="38">
        <v>1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>
      <c r="B81" s="414" t="str">
        <f>VLOOKUP(B80,Schlüssel!$A$5:$B$12,2)</f>
        <v>Highroller Rosenheim 3</v>
      </c>
      <c r="C81" s="415"/>
      <c r="D81" s="415"/>
      <c r="E81" s="415"/>
      <c r="F81" s="415"/>
      <c r="G81" s="416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3.8" hidden="1" thickBot="1">
      <c r="A82" s="6"/>
      <c r="B82" s="7"/>
      <c r="C82" s="43"/>
      <c r="D82" s="43"/>
      <c r="E82" s="162" t="s">
        <v>10</v>
      </c>
      <c r="F82" s="220"/>
      <c r="G82" s="159">
        <f>VLOOKUP($B80,Schlüssel!$A$5:$EK$12,13)</f>
        <v>12</v>
      </c>
      <c r="H82" s="161" t="s">
        <v>10</v>
      </c>
      <c r="I82" s="220"/>
      <c r="J82" s="159">
        <f>VLOOKUP($B80,Schlüssel!$A$5:$EK$12,14)</f>
        <v>14</v>
      </c>
      <c r="K82" s="161" t="s">
        <v>10</v>
      </c>
      <c r="L82" s="220"/>
      <c r="M82" s="159">
        <f>VLOOKUP($B80,Schlüssel!$A$5:$EK$12,15)</f>
        <v>10</v>
      </c>
      <c r="N82" s="161" t="s">
        <v>10</v>
      </c>
      <c r="O82" s="220"/>
      <c r="P82" s="159">
        <f>VLOOKUP($B80,Schlüssel!$A$5:$EK$12,16)</f>
        <v>16</v>
      </c>
      <c r="Q82" s="161" t="s">
        <v>10</v>
      </c>
      <c r="R82" s="220"/>
      <c r="S82" s="160">
        <f>VLOOKUP($B80,Schlüssel!$A$5:$DZ$12,17)</f>
        <v>11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>
      <c r="B83" s="44" t="s">
        <v>1</v>
      </c>
      <c r="C83" s="208"/>
      <c r="D83" s="217"/>
      <c r="E83" s="423" t="s">
        <v>1793</v>
      </c>
      <c r="F83" s="423"/>
      <c r="G83" s="408"/>
      <c r="H83" s="407" t="s">
        <v>1794</v>
      </c>
      <c r="I83" s="423"/>
      <c r="J83" s="408"/>
      <c r="K83" s="407" t="s">
        <v>1795</v>
      </c>
      <c r="L83" s="423"/>
      <c r="M83" s="408"/>
      <c r="N83" s="407" t="s">
        <v>1796</v>
      </c>
      <c r="O83" s="423"/>
      <c r="P83" s="408"/>
      <c r="Q83" s="407" t="s">
        <v>1797</v>
      </c>
      <c r="R83" s="423"/>
      <c r="S83" s="437"/>
      <c r="T83" s="439" t="s">
        <v>1792</v>
      </c>
      <c r="U83" s="440"/>
      <c r="V83" s="410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6.95" customHeight="1">
      <c r="A85" s="403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6">+AP85</f>
        <v>34</v>
      </c>
      <c r="E85" s="221">
        <v>107</v>
      </c>
      <c r="F85" s="240">
        <f t="shared" ref="F85:F93" si="77">IF(E85&gt;0,E85+$D85,0)</f>
        <v>141</v>
      </c>
      <c r="G85" s="428">
        <f>IF(SUM(F85:F87)+E100=0,0,IF(ABS(SUM(F85:F87))=E100,Spielorte!$A$30/2,IF(ABS(SUM(F85:F87))&gt;E100,Spielorte!$A$30,0)))</f>
        <v>0.5</v>
      </c>
      <c r="H85" s="221">
        <v>137</v>
      </c>
      <c r="I85" s="240">
        <f t="shared" ref="I85:I93" si="78">IF(H85&gt;0,H85+$D85,0)</f>
        <v>171</v>
      </c>
      <c r="J85" s="428">
        <f>IF(SUM(I85:I87)+H100=0,0,IF(ABS(SUM(I85:I87))=H100,Spielorte!$A$30/2,IF(ABS(SUM(I85:I87))&gt;H100,Spielorte!$A$30,0)))</f>
        <v>0</v>
      </c>
      <c r="K85" s="221"/>
      <c r="L85" s="240">
        <f t="shared" ref="L85:L93" si="79">IF(K85&gt;0,K85+$D85,0)</f>
        <v>0</v>
      </c>
      <c r="M85" s="428">
        <f>IF(SUM(L85:L87)+K100=0,0,IF(ABS(SUM(L85:L87))=K100,Spielorte!$A$30/2,IF(ABS(SUM(L85:L87))&gt;K100,Spielorte!$A$30,0)))</f>
        <v>0</v>
      </c>
      <c r="N85" s="221"/>
      <c r="O85" s="240">
        <f t="shared" ref="O85:O93" si="80">IF(N85&gt;0,N85+$D85,0)</f>
        <v>0</v>
      </c>
      <c r="P85" s="428">
        <f>IF(SUM(O85:O87)+N100=0,0,IF(ABS(SUM(O85:O87))=N100,Spielorte!$A$30/2,IF(ABS(SUM(O85:O87))&gt;N100,Spielorte!$A$30,0)))</f>
        <v>1</v>
      </c>
      <c r="Q85" s="221"/>
      <c r="R85" s="240">
        <f t="shared" ref="R85:R93" si="81">IF(Q85&gt;0,Q85+$D85,0)</f>
        <v>0</v>
      </c>
      <c r="S85" s="428">
        <f>IF(SUM(R85:R87)+Q100=0,0,IF(ABS(SUM(R85:R87))=Q100,Spielorte!$A$30/2,IF(ABS(SUM(R85:R87))&gt;Q100,Spielorte!$A$30,0)))</f>
        <v>0</v>
      </c>
      <c r="T85" s="221">
        <f t="shared" ref="T85:T93" si="82">ABS(SUM(E85:E85))+ABS(SUM(H85:H85))+ABS(SUM(K85:K85))+ABS(SUM(N85:N85))+ABS(SUM(Q85:Q85))</f>
        <v>244</v>
      </c>
      <c r="U85" s="240">
        <f t="shared" ref="U85:U93" si="83">ABS(SUM(F85:F85))+ABS(SUM(I85:I85))+ABS(SUM(L85:L85))+ABS(SUM(O85:O85))+ABS(SUM(R85:R85))</f>
        <v>312</v>
      </c>
      <c r="V85" s="400">
        <f>SUM(G85+J85+M85+P85+S85)</f>
        <v>1.5</v>
      </c>
      <c r="W85" s="79"/>
      <c r="X85" s="79"/>
      <c r="Y85" s="79"/>
      <c r="Z85" s="79"/>
      <c r="AA85" s="79"/>
      <c r="AB85" s="79"/>
      <c r="AL85" s="169">
        <f>IF(AU85=0,0,IFERROR(INDEX(RanglisteST1!K:K,MATCH(AU85,RanglisteST1!A:A,0)),0))</f>
        <v>0</v>
      </c>
      <c r="AM85" s="169">
        <f>IF(AU85=0,0,SUMIF(AU85:AU93,AU85,AV85:AV93))</f>
        <v>471</v>
      </c>
      <c r="AN85" s="169">
        <f>IF(AU85=0,0,SUMIF(AU85:AU93,AU85,AW85:AW93))</f>
        <v>4</v>
      </c>
      <c r="AO85" s="169">
        <f t="shared" ref="AO85:AO93" si="84">IFERROR(AM85/AN85,0)</f>
        <v>117.75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34</v>
      </c>
      <c r="AQ85" s="166"/>
      <c r="AR85" s="167"/>
      <c r="AS85" s="167"/>
      <c r="AT85" s="168"/>
      <c r="AU85" s="171">
        <f t="shared" ref="AU85:AU93" si="85">C85</f>
        <v>38808</v>
      </c>
      <c r="AV85" s="167">
        <f>T85</f>
        <v>244</v>
      </c>
      <c r="AW85" s="169">
        <f t="shared" ref="AW85:AW93" si="86">COUNT(AY85:BC85)</f>
        <v>2</v>
      </c>
      <c r="AX85" s="169">
        <f t="shared" ref="AX85:AX93" si="87">COUNTIF(AY85:BC85,"&gt;0")</f>
        <v>2</v>
      </c>
      <c r="AY85" s="169">
        <f>IF(E85=0,"",E85)</f>
        <v>107</v>
      </c>
      <c r="AZ85" s="169">
        <f t="shared" ref="AZ85:AZ93" si="88">IF(H85=0,"",H85)</f>
        <v>137</v>
      </c>
      <c r="BA85" s="169" t="str">
        <f t="shared" ref="BA85:BA93" si="89">IF(K85=0,"",K85)</f>
        <v/>
      </c>
      <c r="BB85" s="169" t="str">
        <f t="shared" ref="BB85:BB93" si="90">IF(N85=0,"",N85)</f>
        <v/>
      </c>
      <c r="BC85" s="169" t="str">
        <f t="shared" ref="BC85:BC93" si="91">IF(Q85=0,"",Q85)</f>
        <v/>
      </c>
      <c r="BD85" s="170"/>
      <c r="BE85" s="168"/>
      <c r="BF85" s="169">
        <f t="shared" ref="BF85:BF93" si="92">MAX(AY85:BC85)</f>
        <v>137</v>
      </c>
      <c r="BG85" s="169">
        <f t="shared" ref="BG85:BG93" si="93">IF(BF85&lt;MAX(BF:BF),0,BF85+ROW()/1000000000)</f>
        <v>0</v>
      </c>
      <c r="BH85" s="169" t="str">
        <f>+B81</f>
        <v>Highroller Rosenheim 3</v>
      </c>
      <c r="BI85" s="168">
        <f t="shared" ref="BI85:BI93" si="94">RANK(BG85,BG:BG)</f>
        <v>2</v>
      </c>
      <c r="BJ85" s="169">
        <f t="shared" ref="BJ85:BJ93" si="95">SUMIF(AY85:BC85,"&gt;0")</f>
        <v>244</v>
      </c>
      <c r="BK85" s="169">
        <f>IF(COUNTIF(AY85:BC85,"&gt;0")&lt;Spielorte!$A$23,0,AV85/Spielorte!$A$23)</f>
        <v>0</v>
      </c>
      <c r="BL85" s="169">
        <f t="shared" ref="BL85:BL93" si="96">IF(BK85&lt;MAX(BK:BK),0,BK85+ROW()/1000000000)</f>
        <v>0</v>
      </c>
      <c r="BM85" s="168">
        <f t="shared" ref="BM85:BM93" si="97">IF(BL85=0,0,RANK(BL85,BL:BL))</f>
        <v>0</v>
      </c>
    </row>
    <row r="86" spans="1:65" ht="16.95" customHeight="1">
      <c r="A86" s="404"/>
      <c r="B86" s="58" t="str">
        <f>IF(C86=0,"",VLOOKUP(C86,Starter!$A$1:$D$196,2,FALSE))</f>
        <v>Vokshi, Finn</v>
      </c>
      <c r="C86" s="233">
        <v>38810</v>
      </c>
      <c r="D86" s="239">
        <f t="shared" si="76"/>
        <v>37</v>
      </c>
      <c r="E86" s="222"/>
      <c r="F86" s="241">
        <f t="shared" si="77"/>
        <v>0</v>
      </c>
      <c r="G86" s="429"/>
      <c r="H86" s="222"/>
      <c r="I86" s="241">
        <f t="shared" si="78"/>
        <v>0</v>
      </c>
      <c r="J86" s="429"/>
      <c r="K86" s="222">
        <v>110</v>
      </c>
      <c r="L86" s="241">
        <f t="shared" si="79"/>
        <v>147</v>
      </c>
      <c r="M86" s="429"/>
      <c r="N86" s="222">
        <v>124</v>
      </c>
      <c r="O86" s="241">
        <f t="shared" si="80"/>
        <v>161</v>
      </c>
      <c r="P86" s="429"/>
      <c r="Q86" s="222">
        <v>124</v>
      </c>
      <c r="R86" s="241">
        <f t="shared" si="81"/>
        <v>161</v>
      </c>
      <c r="S86" s="429"/>
      <c r="T86" s="222">
        <f t="shared" si="82"/>
        <v>358</v>
      </c>
      <c r="U86" s="241">
        <f t="shared" si="83"/>
        <v>469</v>
      </c>
      <c r="V86" s="401"/>
      <c r="W86" s="79"/>
      <c r="X86" s="79"/>
      <c r="Y86" s="79"/>
      <c r="Z86" s="79"/>
      <c r="AA86" s="79"/>
      <c r="AB86" s="79"/>
      <c r="AL86" s="169">
        <f>IF(AU86=0,0,IFERROR(INDEX(RanglisteST1!K:K,MATCH(AU86,RanglisteST1!A:A,0)),0))</f>
        <v>0</v>
      </c>
      <c r="AM86" s="169">
        <f>IF(AU86=0,0,SUMIF(AU85:AU93,AU86,AV85:AV93))</f>
        <v>457</v>
      </c>
      <c r="AN86" s="169">
        <f>IF(AU86=0,0,SUMIF(AU85:AU93,AU86,AW85:AW93))</f>
        <v>4</v>
      </c>
      <c r="AO86" s="169">
        <f t="shared" si="84"/>
        <v>114.25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37</v>
      </c>
      <c r="AQ86" s="166"/>
      <c r="AR86" s="167"/>
      <c r="AS86" s="167"/>
      <c r="AT86" s="168"/>
      <c r="AU86" s="171">
        <f t="shared" si="85"/>
        <v>38810</v>
      </c>
      <c r="AV86" s="167">
        <f t="shared" ref="AV86:AV93" si="98">T86</f>
        <v>358</v>
      </c>
      <c r="AW86" s="169">
        <f t="shared" si="86"/>
        <v>3</v>
      </c>
      <c r="AX86" s="169">
        <f t="shared" si="87"/>
        <v>3</v>
      </c>
      <c r="AY86" s="169" t="str">
        <f t="shared" ref="AY86:AY93" si="99">IF(E86=0,"",E86)</f>
        <v/>
      </c>
      <c r="AZ86" s="169" t="str">
        <f t="shared" si="88"/>
        <v/>
      </c>
      <c r="BA86" s="169">
        <f t="shared" si="89"/>
        <v>110</v>
      </c>
      <c r="BB86" s="169">
        <f t="shared" si="90"/>
        <v>124</v>
      </c>
      <c r="BC86" s="169">
        <f t="shared" si="91"/>
        <v>124</v>
      </c>
      <c r="BD86" s="170"/>
      <c r="BE86" s="168"/>
      <c r="BF86" s="169">
        <f t="shared" si="92"/>
        <v>124</v>
      </c>
      <c r="BG86" s="169">
        <f t="shared" si="93"/>
        <v>0</v>
      </c>
      <c r="BH86" s="169" t="str">
        <f t="shared" ref="BH86:BH93" si="100">+BH85</f>
        <v>Highroller Rosenheim 3</v>
      </c>
      <c r="BI86" s="168">
        <f t="shared" si="94"/>
        <v>2</v>
      </c>
      <c r="BJ86" s="169">
        <f t="shared" si="95"/>
        <v>358</v>
      </c>
      <c r="BK86" s="169">
        <f>IF(COUNTIF(AY86:BC86,"&gt;0")&lt;Spielorte!$A$23,0,AV86/Spielorte!$A$23)</f>
        <v>0</v>
      </c>
      <c r="BL86" s="169">
        <f t="shared" si="96"/>
        <v>0</v>
      </c>
      <c r="BM86" s="168">
        <f t="shared" si="97"/>
        <v>0</v>
      </c>
    </row>
    <row r="87" spans="1:65" ht="16.95" customHeight="1" thickBot="1">
      <c r="A87" s="405"/>
      <c r="B87" s="59" t="str">
        <f>IF(C87=0,"",VLOOKUP(C87,Starter!$A$1:$D$196,2,FALSE))</f>
        <v/>
      </c>
      <c r="C87" s="234"/>
      <c r="D87" s="223">
        <f t="shared" si="76"/>
        <v>0</v>
      </c>
      <c r="E87" s="224"/>
      <c r="F87" s="242">
        <f t="shared" si="77"/>
        <v>0</v>
      </c>
      <c r="G87" s="430"/>
      <c r="H87" s="224"/>
      <c r="I87" s="242">
        <f t="shared" si="78"/>
        <v>0</v>
      </c>
      <c r="J87" s="430"/>
      <c r="K87" s="224"/>
      <c r="L87" s="242">
        <f t="shared" si="79"/>
        <v>0</v>
      </c>
      <c r="M87" s="430"/>
      <c r="N87" s="224"/>
      <c r="O87" s="242">
        <f t="shared" si="80"/>
        <v>0</v>
      </c>
      <c r="P87" s="430"/>
      <c r="Q87" s="224"/>
      <c r="R87" s="242">
        <f t="shared" si="81"/>
        <v>0</v>
      </c>
      <c r="S87" s="430"/>
      <c r="T87" s="224">
        <f t="shared" si="82"/>
        <v>0</v>
      </c>
      <c r="U87" s="242">
        <f t="shared" si="83"/>
        <v>0</v>
      </c>
      <c r="V87" s="402"/>
      <c r="W87" s="79"/>
      <c r="X87" s="79"/>
      <c r="Y87" s="79"/>
      <c r="Z87" s="79"/>
      <c r="AA87" s="79"/>
      <c r="AB87" s="79"/>
      <c r="AL87" s="169">
        <f>IF(AU87=0,0,IFERROR(INDEX(RanglisteST1!K:K,MATCH(AU87,RanglisteST1!A:A,0)),0))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84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5"/>
        <v>0</v>
      </c>
      <c r="AV87" s="167">
        <f t="shared" si="98"/>
        <v>0</v>
      </c>
      <c r="AW87" s="169">
        <f t="shared" si="86"/>
        <v>0</v>
      </c>
      <c r="AX87" s="169">
        <f t="shared" si="87"/>
        <v>0</v>
      </c>
      <c r="AY87" s="169" t="str">
        <f t="shared" si="99"/>
        <v/>
      </c>
      <c r="AZ87" s="169" t="str">
        <f t="shared" si="88"/>
        <v/>
      </c>
      <c r="BA87" s="169" t="str">
        <f t="shared" si="89"/>
        <v/>
      </c>
      <c r="BB87" s="169" t="str">
        <f t="shared" si="90"/>
        <v/>
      </c>
      <c r="BC87" s="169" t="str">
        <f t="shared" si="91"/>
        <v/>
      </c>
      <c r="BD87" s="170"/>
      <c r="BE87" s="168"/>
      <c r="BF87" s="169">
        <f t="shared" si="92"/>
        <v>0</v>
      </c>
      <c r="BG87" s="169">
        <f t="shared" si="93"/>
        <v>0</v>
      </c>
      <c r="BH87" s="169" t="str">
        <f t="shared" si="100"/>
        <v>Highroller Rosenheim 3</v>
      </c>
      <c r="BI87" s="168">
        <f t="shared" si="94"/>
        <v>2</v>
      </c>
      <c r="BJ87" s="169">
        <f t="shared" si="95"/>
        <v>0</v>
      </c>
      <c r="BK87" s="169">
        <f>IF(COUNTIF(AY87:BC87,"&gt;0")&lt;Spielorte!$A$23,0,AV87/Spielorte!$A$23)</f>
        <v>0</v>
      </c>
      <c r="BL87" s="169">
        <f t="shared" si="96"/>
        <v>0</v>
      </c>
      <c r="BM87" s="168">
        <f t="shared" si="97"/>
        <v>0</v>
      </c>
    </row>
    <row r="88" spans="1:65" ht="16.95" customHeight="1">
      <c r="A88" s="403" t="s">
        <v>2</v>
      </c>
      <c r="B88" s="58" t="str">
        <f>IF(C88=0,"",VLOOKUP(C88,Starter!$A$1:$D$196,2,FALSE))</f>
        <v>Marker, Lena</v>
      </c>
      <c r="C88" s="235">
        <v>38849</v>
      </c>
      <c r="D88" s="238">
        <f t="shared" si="76"/>
        <v>36</v>
      </c>
      <c r="E88" s="221">
        <v>133</v>
      </c>
      <c r="F88" s="240">
        <f t="shared" si="77"/>
        <v>169</v>
      </c>
      <c r="G88" s="428">
        <f>IF(SUM(F88:F90)+E101=0,0,IF(ABS(SUM(F88:F90))=E101,Spielorte!$A$30/2,IF(ABS(SUM(F88:F90))&gt;E101,Spielorte!$A$30,0)))</f>
        <v>1</v>
      </c>
      <c r="H88" s="221">
        <v>117</v>
      </c>
      <c r="I88" s="240">
        <f t="shared" si="78"/>
        <v>153</v>
      </c>
      <c r="J88" s="428">
        <f>IF(SUM(I88:I90)+H101=0,0,IF(ABS(SUM(I88:I90))=H101,Spielorte!$A$30/2,IF(ABS(SUM(I88:I90))&gt;H101,Spielorte!$A$30,0)))</f>
        <v>1</v>
      </c>
      <c r="K88" s="221">
        <v>85</v>
      </c>
      <c r="L88" s="240">
        <f t="shared" si="79"/>
        <v>121</v>
      </c>
      <c r="M88" s="428">
        <f>IF(SUM(L88:L90)+K101=0,0,IF(ABS(SUM(L88:L90))=K101,Spielorte!$A$30/2,IF(ABS(SUM(L88:L90))&gt;K101,Spielorte!$A$30,0)))</f>
        <v>0</v>
      </c>
      <c r="N88" s="221"/>
      <c r="O88" s="240">
        <f t="shared" si="80"/>
        <v>0</v>
      </c>
      <c r="P88" s="428">
        <f>IF(SUM(O88:O90)+N101=0,0,IF(ABS(SUM(O88:O90))=N101,Spielorte!$A$30/2,IF(ABS(SUM(O88:O90))&gt;N101,Spielorte!$A$30,0)))</f>
        <v>0</v>
      </c>
      <c r="Q88" s="221"/>
      <c r="R88" s="240">
        <f t="shared" si="81"/>
        <v>0</v>
      </c>
      <c r="S88" s="428">
        <f>IF(SUM(R88:R90)+Q101=0,0,IF(ABS(SUM(R88:R90))=Q101,Spielorte!$A$30/2,IF(ABS(SUM(R88:R90))&gt;Q101,Spielorte!$A$30,0)))</f>
        <v>1</v>
      </c>
      <c r="T88" s="221">
        <f t="shared" si="82"/>
        <v>335</v>
      </c>
      <c r="U88" s="240">
        <f t="shared" si="83"/>
        <v>443</v>
      </c>
      <c r="V88" s="400">
        <f>SUM(G88+J88+M88+P88+S88)</f>
        <v>3</v>
      </c>
      <c r="W88" s="79"/>
      <c r="X88" s="79"/>
      <c r="Y88" s="79"/>
      <c r="Z88" s="79"/>
      <c r="AA88" s="79"/>
      <c r="AB88" s="79"/>
      <c r="AL88" s="169">
        <f>IF(AU88=0,0,IFERROR(INDEX(RanglisteST1!K:K,MATCH(AU88,RanglisteST1!A:A,0)),0))</f>
        <v>115.20999908447266</v>
      </c>
      <c r="AM88" s="169">
        <f>IF(AU88=0,0,SUMIF(AU85:AU93,AU88,AV85:AV93))</f>
        <v>415</v>
      </c>
      <c r="AN88" s="169">
        <f>IF(AU88=0,0,SUMIF(AU85:AU93,AU88,AW85:AW93))</f>
        <v>4</v>
      </c>
      <c r="AO88" s="169">
        <f t="shared" si="84"/>
        <v>103.75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36</v>
      </c>
      <c r="AQ88" s="166"/>
      <c r="AR88" s="167"/>
      <c r="AS88" s="167"/>
      <c r="AT88" s="168"/>
      <c r="AU88" s="171">
        <f t="shared" si="85"/>
        <v>38849</v>
      </c>
      <c r="AV88" s="167">
        <f t="shared" si="98"/>
        <v>335</v>
      </c>
      <c r="AW88" s="169">
        <f t="shared" si="86"/>
        <v>3</v>
      </c>
      <c r="AX88" s="169">
        <f t="shared" si="87"/>
        <v>3</v>
      </c>
      <c r="AY88" s="169">
        <f t="shared" si="99"/>
        <v>133</v>
      </c>
      <c r="AZ88" s="169">
        <f t="shared" si="88"/>
        <v>117</v>
      </c>
      <c r="BA88" s="169">
        <f t="shared" si="89"/>
        <v>85</v>
      </c>
      <c r="BB88" s="169" t="str">
        <f t="shared" si="90"/>
        <v/>
      </c>
      <c r="BC88" s="169" t="str">
        <f t="shared" si="91"/>
        <v/>
      </c>
      <c r="BD88" s="170"/>
      <c r="BE88" s="168"/>
      <c r="BF88" s="169">
        <f t="shared" si="92"/>
        <v>133</v>
      </c>
      <c r="BG88" s="169">
        <f t="shared" si="93"/>
        <v>0</v>
      </c>
      <c r="BH88" s="169" t="str">
        <f t="shared" si="100"/>
        <v>Highroller Rosenheim 3</v>
      </c>
      <c r="BI88" s="168">
        <f t="shared" si="94"/>
        <v>2</v>
      </c>
      <c r="BJ88" s="169">
        <f t="shared" si="95"/>
        <v>335</v>
      </c>
      <c r="BK88" s="169">
        <f>IF(COUNTIF(AY88:BC88,"&gt;0")&lt;Spielorte!$A$23,0,AV88/Spielorte!$A$23)</f>
        <v>0</v>
      </c>
      <c r="BL88" s="169">
        <f t="shared" si="96"/>
        <v>0</v>
      </c>
      <c r="BM88" s="168">
        <f t="shared" si="97"/>
        <v>0</v>
      </c>
    </row>
    <row r="89" spans="1:65" ht="16.95" customHeight="1">
      <c r="A89" s="404"/>
      <c r="B89" s="58" t="str">
        <f>IF(C89=0,"",VLOOKUP(C89,Starter!$A$1:$D$196,2,FALSE))</f>
        <v>Reinhold, Moritz</v>
      </c>
      <c r="C89" s="233">
        <v>38808</v>
      </c>
      <c r="D89" s="239">
        <f t="shared" si="76"/>
        <v>34</v>
      </c>
      <c r="E89" s="222"/>
      <c r="F89" s="241">
        <f t="shared" si="77"/>
        <v>0</v>
      </c>
      <c r="G89" s="429"/>
      <c r="H89" s="222"/>
      <c r="I89" s="241">
        <f t="shared" si="78"/>
        <v>0</v>
      </c>
      <c r="J89" s="429"/>
      <c r="K89" s="222"/>
      <c r="L89" s="241">
        <f t="shared" si="79"/>
        <v>0</v>
      </c>
      <c r="M89" s="429"/>
      <c r="N89" s="222">
        <v>103</v>
      </c>
      <c r="O89" s="241">
        <f t="shared" si="80"/>
        <v>137</v>
      </c>
      <c r="P89" s="429"/>
      <c r="Q89" s="222">
        <v>124</v>
      </c>
      <c r="R89" s="241">
        <f t="shared" si="81"/>
        <v>158</v>
      </c>
      <c r="S89" s="429"/>
      <c r="T89" s="222">
        <f t="shared" si="82"/>
        <v>227</v>
      </c>
      <c r="U89" s="241">
        <f t="shared" si="83"/>
        <v>295</v>
      </c>
      <c r="V89" s="401"/>
      <c r="W89" s="79"/>
      <c r="X89" s="79"/>
      <c r="Y89" s="79"/>
      <c r="Z89" s="79"/>
      <c r="AA89" s="79"/>
      <c r="AB89" s="79"/>
      <c r="AL89" s="169">
        <f>IF(AU89=0,0,IFERROR(INDEX(RanglisteST1!K:K,MATCH(AU89,RanglisteST1!A:A,0)),0))</f>
        <v>0</v>
      </c>
      <c r="AM89" s="169">
        <f>IF(AU89=0,0,SUMIF(AU85:AU93,AU89,AV85:AV93))</f>
        <v>471</v>
      </c>
      <c r="AN89" s="169">
        <f>IF(AU89=0,0,SUMIF(AU85:AU93,AU89,AW85:AW93))</f>
        <v>4</v>
      </c>
      <c r="AO89" s="169">
        <f t="shared" si="84"/>
        <v>117.75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34</v>
      </c>
      <c r="AQ89" s="166"/>
      <c r="AR89" s="167"/>
      <c r="AS89" s="167"/>
      <c r="AT89" s="168"/>
      <c r="AU89" s="171">
        <f t="shared" si="85"/>
        <v>38808</v>
      </c>
      <c r="AV89" s="167">
        <f t="shared" si="98"/>
        <v>227</v>
      </c>
      <c r="AW89" s="169">
        <f t="shared" si="86"/>
        <v>2</v>
      </c>
      <c r="AX89" s="169">
        <f t="shared" si="87"/>
        <v>2</v>
      </c>
      <c r="AY89" s="169" t="str">
        <f t="shared" si="99"/>
        <v/>
      </c>
      <c r="AZ89" s="169" t="str">
        <f t="shared" si="88"/>
        <v/>
      </c>
      <c r="BA89" s="169" t="str">
        <f t="shared" si="89"/>
        <v/>
      </c>
      <c r="BB89" s="169">
        <f t="shared" si="90"/>
        <v>103</v>
      </c>
      <c r="BC89" s="169">
        <f t="shared" si="91"/>
        <v>124</v>
      </c>
      <c r="BD89" s="170"/>
      <c r="BE89" s="168"/>
      <c r="BF89" s="169">
        <f t="shared" si="92"/>
        <v>124</v>
      </c>
      <c r="BG89" s="169">
        <f t="shared" si="93"/>
        <v>0</v>
      </c>
      <c r="BH89" s="169" t="str">
        <f t="shared" si="100"/>
        <v>Highroller Rosenheim 3</v>
      </c>
      <c r="BI89" s="168">
        <f t="shared" si="94"/>
        <v>2</v>
      </c>
      <c r="BJ89" s="169">
        <f t="shared" si="95"/>
        <v>227</v>
      </c>
      <c r="BK89" s="169">
        <f>IF(COUNTIF(AY89:BC89,"&gt;0")&lt;Spielorte!$A$23,0,AV89/Spielorte!$A$23)</f>
        <v>0</v>
      </c>
      <c r="BL89" s="169">
        <f t="shared" si="96"/>
        <v>0</v>
      </c>
      <c r="BM89" s="168">
        <f t="shared" si="97"/>
        <v>0</v>
      </c>
    </row>
    <row r="90" spans="1:65" ht="16.95" customHeight="1" thickBot="1">
      <c r="A90" s="405"/>
      <c r="B90" s="60" t="str">
        <f>IF(C90=0,"",VLOOKUP(C90,Starter!$A$1:$D$196,2,FALSE))</f>
        <v/>
      </c>
      <c r="C90" s="236"/>
      <c r="D90" s="223">
        <f t="shared" si="76"/>
        <v>0</v>
      </c>
      <c r="E90" s="224"/>
      <c r="F90" s="242">
        <f t="shared" si="77"/>
        <v>0</v>
      </c>
      <c r="G90" s="430"/>
      <c r="H90" s="224"/>
      <c r="I90" s="242">
        <f t="shared" si="78"/>
        <v>0</v>
      </c>
      <c r="J90" s="430"/>
      <c r="K90" s="224"/>
      <c r="L90" s="242">
        <f t="shared" si="79"/>
        <v>0</v>
      </c>
      <c r="M90" s="430"/>
      <c r="N90" s="224"/>
      <c r="O90" s="242">
        <f t="shared" si="80"/>
        <v>0</v>
      </c>
      <c r="P90" s="430"/>
      <c r="Q90" s="224"/>
      <c r="R90" s="242">
        <f t="shared" si="81"/>
        <v>0</v>
      </c>
      <c r="S90" s="430"/>
      <c r="T90" s="224">
        <f t="shared" si="82"/>
        <v>0</v>
      </c>
      <c r="U90" s="242">
        <f t="shared" si="83"/>
        <v>0</v>
      </c>
      <c r="V90" s="402"/>
      <c r="W90" s="79"/>
      <c r="X90" s="79"/>
      <c r="Y90" s="79"/>
      <c r="Z90" s="79"/>
      <c r="AA90" s="79"/>
      <c r="AB90" s="79"/>
      <c r="AL90" s="169">
        <f>IF(AU90=0,0,IFERROR(INDEX(RanglisteST1!K:K,MATCH(AU90,RanglisteST1!A:A,0)),0))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84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5"/>
        <v>0</v>
      </c>
      <c r="AV90" s="167">
        <f t="shared" si="98"/>
        <v>0</v>
      </c>
      <c r="AW90" s="169">
        <f t="shared" si="86"/>
        <v>0</v>
      </c>
      <c r="AX90" s="169">
        <f t="shared" si="87"/>
        <v>0</v>
      </c>
      <c r="AY90" s="169" t="str">
        <f t="shared" si="99"/>
        <v/>
      </c>
      <c r="AZ90" s="169" t="str">
        <f t="shared" si="88"/>
        <v/>
      </c>
      <c r="BA90" s="169" t="str">
        <f t="shared" si="89"/>
        <v/>
      </c>
      <c r="BB90" s="169" t="str">
        <f t="shared" si="90"/>
        <v/>
      </c>
      <c r="BC90" s="169" t="str">
        <f t="shared" si="91"/>
        <v/>
      </c>
      <c r="BD90" s="170"/>
      <c r="BE90" s="168"/>
      <c r="BF90" s="169">
        <f t="shared" si="92"/>
        <v>0</v>
      </c>
      <c r="BG90" s="169">
        <f t="shared" si="93"/>
        <v>0</v>
      </c>
      <c r="BH90" s="169" t="str">
        <f t="shared" si="100"/>
        <v>Highroller Rosenheim 3</v>
      </c>
      <c r="BI90" s="168">
        <f t="shared" si="94"/>
        <v>2</v>
      </c>
      <c r="BJ90" s="169">
        <f t="shared" si="95"/>
        <v>0</v>
      </c>
      <c r="BK90" s="169">
        <f>IF(COUNTIF(AY90:BC90,"&gt;0")&lt;Spielorte!$A$23,0,AV90/Spielorte!$A$23)</f>
        <v>0</v>
      </c>
      <c r="BL90" s="169">
        <f t="shared" si="96"/>
        <v>0</v>
      </c>
      <c r="BM90" s="168">
        <f t="shared" si="97"/>
        <v>0</v>
      </c>
    </row>
    <row r="91" spans="1:65" ht="16.95" customHeight="1">
      <c r="A91" s="403" t="s">
        <v>3</v>
      </c>
      <c r="B91" s="58" t="str">
        <f>IF(C91=0,"",VLOOKUP(C91,Starter!$A$1:$D$196,2,FALSE))</f>
        <v>Vokshi, Finn</v>
      </c>
      <c r="C91" s="235">
        <v>38810</v>
      </c>
      <c r="D91" s="238">
        <f t="shared" si="76"/>
        <v>37</v>
      </c>
      <c r="E91" s="221">
        <v>99</v>
      </c>
      <c r="F91" s="240">
        <f t="shared" si="77"/>
        <v>136</v>
      </c>
      <c r="G91" s="428">
        <f>IF(SUM(F91:F93)+E102=0,0,IF(ABS(SUM(F91:F93))=E102,Spielorte!$A$30/2,IF(ABS(SUM(F91:F93))&gt;E102,Spielorte!$A$30,0)))</f>
        <v>0</v>
      </c>
      <c r="H91" s="221"/>
      <c r="I91" s="240">
        <f t="shared" si="78"/>
        <v>0</v>
      </c>
      <c r="J91" s="428">
        <f>IF(SUM(I91:I93)+H102=0,0,IF(ABS(SUM(I91:I93))=H102,Spielorte!$A$30/2,IF(ABS(SUM(I91:I93))&gt;H102,Spielorte!$A$30,0)))</f>
        <v>0</v>
      </c>
      <c r="K91" s="221"/>
      <c r="L91" s="240">
        <f t="shared" si="79"/>
        <v>0</v>
      </c>
      <c r="M91" s="428">
        <f>IF(SUM(L91:L93)+K102=0,0,IF(ABS(SUM(L91:L93))=K102,Spielorte!$A$30/2,IF(ABS(SUM(L91:L93))&gt;K102,Spielorte!$A$30,0)))</f>
        <v>0</v>
      </c>
      <c r="N91" s="221"/>
      <c r="O91" s="240">
        <f t="shared" si="80"/>
        <v>0</v>
      </c>
      <c r="P91" s="428">
        <f>IF(SUM(O91:O93)+N102=0,0,IF(ABS(SUM(O91:O93))=N102,Spielorte!$A$30/2,IF(ABS(SUM(O91:O93))&gt;N102,Spielorte!$A$30,0)))</f>
        <v>0</v>
      </c>
      <c r="Q91" s="221"/>
      <c r="R91" s="240">
        <f t="shared" si="81"/>
        <v>0</v>
      </c>
      <c r="S91" s="428">
        <f>IF(SUM(R91:R93)+Q102=0,0,IF(ABS(SUM(R91:R93))=Q102,Spielorte!$A$30/2,IF(ABS(SUM(R91:R93))&gt;Q102,Spielorte!$A$30,0)))</f>
        <v>0</v>
      </c>
      <c r="T91" s="221">
        <f t="shared" si="82"/>
        <v>99</v>
      </c>
      <c r="U91" s="240">
        <f t="shared" si="83"/>
        <v>136</v>
      </c>
      <c r="V91" s="400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IF(AU91=0,0,IFERROR(INDEX(RanglisteST1!K:K,MATCH(AU91,RanglisteST1!A:A,0)),0))</f>
        <v>0</v>
      </c>
      <c r="AM91" s="169">
        <f>IF(AU91=0,0,SUMIF(AU85:AU93,AU91,AV85:AV93))</f>
        <v>457</v>
      </c>
      <c r="AN91" s="169">
        <f>IF(AU91=0,0,SUMIF(AU85:AU93,AU91,AW85:AW93))</f>
        <v>4</v>
      </c>
      <c r="AO91" s="169">
        <f t="shared" si="84"/>
        <v>114.25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37</v>
      </c>
      <c r="AQ91" s="166"/>
      <c r="AR91" s="167"/>
      <c r="AS91" s="167"/>
      <c r="AT91" s="168"/>
      <c r="AU91" s="171">
        <f t="shared" si="85"/>
        <v>38810</v>
      </c>
      <c r="AV91" s="167">
        <f t="shared" si="98"/>
        <v>99</v>
      </c>
      <c r="AW91" s="169">
        <f t="shared" si="86"/>
        <v>1</v>
      </c>
      <c r="AX91" s="169">
        <f t="shared" si="87"/>
        <v>1</v>
      </c>
      <c r="AY91" s="169">
        <f t="shared" si="99"/>
        <v>99</v>
      </c>
      <c r="AZ91" s="169" t="str">
        <f t="shared" si="88"/>
        <v/>
      </c>
      <c r="BA91" s="169" t="str">
        <f t="shared" si="89"/>
        <v/>
      </c>
      <c r="BB91" s="169" t="str">
        <f t="shared" si="90"/>
        <v/>
      </c>
      <c r="BC91" s="169" t="str">
        <f t="shared" si="91"/>
        <v/>
      </c>
      <c r="BD91" s="170"/>
      <c r="BE91" s="168"/>
      <c r="BF91" s="169">
        <f t="shared" si="92"/>
        <v>99</v>
      </c>
      <c r="BG91" s="169">
        <f t="shared" si="93"/>
        <v>0</v>
      </c>
      <c r="BH91" s="169" t="str">
        <f t="shared" si="100"/>
        <v>Highroller Rosenheim 3</v>
      </c>
      <c r="BI91" s="168">
        <f t="shared" si="94"/>
        <v>2</v>
      </c>
      <c r="BJ91" s="169">
        <f t="shared" si="95"/>
        <v>99</v>
      </c>
      <c r="BK91" s="169">
        <f>IF(COUNTIF(AY91:BC91,"&gt;0")&lt;Spielorte!$A$23,0,AV91/Spielorte!$A$23)</f>
        <v>0</v>
      </c>
      <c r="BL91" s="169">
        <f t="shared" si="96"/>
        <v>0</v>
      </c>
      <c r="BM91" s="168">
        <f t="shared" si="97"/>
        <v>0</v>
      </c>
    </row>
    <row r="92" spans="1:65" ht="16.95" customHeight="1">
      <c r="A92" s="404"/>
      <c r="B92" s="58" t="str">
        <f>IF(C92=0,"",VLOOKUP(C92,Starter!$A$1:$D$196,2,FALSE))</f>
        <v>Marker, Anna</v>
      </c>
      <c r="C92" s="233">
        <v>38848</v>
      </c>
      <c r="D92" s="239">
        <f t="shared" si="76"/>
        <v>34</v>
      </c>
      <c r="E92" s="222"/>
      <c r="F92" s="241">
        <f t="shared" si="77"/>
        <v>0</v>
      </c>
      <c r="G92" s="429"/>
      <c r="H92" s="222">
        <v>112</v>
      </c>
      <c r="I92" s="241">
        <f t="shared" si="78"/>
        <v>146</v>
      </c>
      <c r="J92" s="429"/>
      <c r="K92" s="222">
        <v>104</v>
      </c>
      <c r="L92" s="241">
        <f t="shared" si="79"/>
        <v>138</v>
      </c>
      <c r="M92" s="429"/>
      <c r="N92" s="222">
        <v>108</v>
      </c>
      <c r="O92" s="241">
        <f t="shared" si="80"/>
        <v>142</v>
      </c>
      <c r="P92" s="429"/>
      <c r="Q92" s="222"/>
      <c r="R92" s="241">
        <f t="shared" si="81"/>
        <v>0</v>
      </c>
      <c r="S92" s="429"/>
      <c r="T92" s="222">
        <f t="shared" si="82"/>
        <v>324</v>
      </c>
      <c r="U92" s="241">
        <f t="shared" si="83"/>
        <v>426</v>
      </c>
      <c r="V92" s="401"/>
      <c r="W92" s="79"/>
      <c r="X92" s="79"/>
      <c r="Y92" s="79"/>
      <c r="Z92" s="79"/>
      <c r="AA92" s="79"/>
      <c r="AB92" s="79"/>
      <c r="AL92" s="169">
        <f>IF(AU92=0,0,IFERROR(INDEX(RanglisteST1!K:K,MATCH(AU92,RanglisteST1!A:A,0)),0))</f>
        <v>118</v>
      </c>
      <c r="AM92" s="169">
        <f>IF(AU92=0,0,SUMIF(AU85:AU93,AU92,AV85:AV93))</f>
        <v>324</v>
      </c>
      <c r="AN92" s="169">
        <f>IF(AU92=0,0,SUMIF(AU85:AU93,AU92,AW85:AW93))</f>
        <v>3</v>
      </c>
      <c r="AO92" s="169">
        <f t="shared" si="84"/>
        <v>108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34</v>
      </c>
      <c r="AQ92" s="166"/>
      <c r="AR92" s="167"/>
      <c r="AS92" s="167"/>
      <c r="AT92" s="168"/>
      <c r="AU92" s="171">
        <f t="shared" si="85"/>
        <v>38848</v>
      </c>
      <c r="AV92" s="167">
        <f t="shared" si="98"/>
        <v>324</v>
      </c>
      <c r="AW92" s="169">
        <f t="shared" si="86"/>
        <v>3</v>
      </c>
      <c r="AX92" s="169">
        <f t="shared" si="87"/>
        <v>3</v>
      </c>
      <c r="AY92" s="169" t="str">
        <f t="shared" si="99"/>
        <v/>
      </c>
      <c r="AZ92" s="169">
        <f t="shared" si="88"/>
        <v>112</v>
      </c>
      <c r="BA92" s="169">
        <f t="shared" si="89"/>
        <v>104</v>
      </c>
      <c r="BB92" s="169">
        <f t="shared" si="90"/>
        <v>108</v>
      </c>
      <c r="BC92" s="169" t="str">
        <f t="shared" si="91"/>
        <v/>
      </c>
      <c r="BD92" s="170"/>
      <c r="BE92" s="168"/>
      <c r="BF92" s="169">
        <f t="shared" si="92"/>
        <v>112</v>
      </c>
      <c r="BG92" s="169">
        <f t="shared" si="93"/>
        <v>0</v>
      </c>
      <c r="BH92" s="169" t="str">
        <f t="shared" si="100"/>
        <v>Highroller Rosenheim 3</v>
      </c>
      <c r="BI92" s="168">
        <f t="shared" si="94"/>
        <v>2</v>
      </c>
      <c r="BJ92" s="169">
        <f t="shared" si="95"/>
        <v>324</v>
      </c>
      <c r="BK92" s="169">
        <f>IF(COUNTIF(AY92:BC92,"&gt;0")&lt;Spielorte!$A$23,0,AV92/Spielorte!$A$23)</f>
        <v>0</v>
      </c>
      <c r="BL92" s="169">
        <f t="shared" si="96"/>
        <v>0</v>
      </c>
      <c r="BM92" s="168">
        <f t="shared" si="97"/>
        <v>0</v>
      </c>
    </row>
    <row r="93" spans="1:65" ht="16.95" customHeight="1" thickBot="1">
      <c r="A93" s="405"/>
      <c r="B93" s="60" t="str">
        <f>IF(C93=0,"",VLOOKUP(C93,Starter!$A$1:$D$196,2,FALSE))</f>
        <v>Marker, Lena</v>
      </c>
      <c r="C93" s="236">
        <v>38849</v>
      </c>
      <c r="D93" s="223">
        <f t="shared" si="76"/>
        <v>36</v>
      </c>
      <c r="E93" s="224"/>
      <c r="F93" s="242">
        <f t="shared" si="77"/>
        <v>0</v>
      </c>
      <c r="G93" s="430"/>
      <c r="H93" s="224"/>
      <c r="I93" s="242">
        <f t="shared" si="78"/>
        <v>0</v>
      </c>
      <c r="J93" s="430"/>
      <c r="K93" s="224"/>
      <c r="L93" s="242">
        <f t="shared" si="79"/>
        <v>0</v>
      </c>
      <c r="M93" s="430"/>
      <c r="N93" s="224"/>
      <c r="O93" s="242">
        <f t="shared" si="80"/>
        <v>0</v>
      </c>
      <c r="P93" s="430"/>
      <c r="Q93" s="224">
        <v>80</v>
      </c>
      <c r="R93" s="242">
        <f t="shared" si="81"/>
        <v>116</v>
      </c>
      <c r="S93" s="430"/>
      <c r="T93" s="224">
        <f t="shared" si="82"/>
        <v>80</v>
      </c>
      <c r="U93" s="242">
        <f t="shared" si="83"/>
        <v>116</v>
      </c>
      <c r="V93" s="402"/>
      <c r="W93" s="79"/>
      <c r="X93" s="79"/>
      <c r="Y93" s="79"/>
      <c r="Z93" s="79"/>
      <c r="AA93" s="79"/>
      <c r="AB93" s="79"/>
      <c r="AL93" s="169">
        <f>IF(AU93=0,0,IFERROR(INDEX(RanglisteST1!K:K,MATCH(AU93,RanglisteST1!A:A,0)),0))</f>
        <v>115.20999908447266</v>
      </c>
      <c r="AM93" s="169">
        <f>IF(AU93=0,0,SUMIF(AU85:AU93,AU93,AV85:AV93))</f>
        <v>415</v>
      </c>
      <c r="AN93" s="169">
        <f>IF(AU93=0,0,SUMIF(AU85:AU93,AU93,AW85:AW93))</f>
        <v>4</v>
      </c>
      <c r="AO93" s="169">
        <f t="shared" si="84"/>
        <v>103.75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36</v>
      </c>
      <c r="AQ93" s="166"/>
      <c r="AR93" s="167"/>
      <c r="AS93" s="167"/>
      <c r="AT93" s="168"/>
      <c r="AU93" s="171">
        <f t="shared" si="85"/>
        <v>38849</v>
      </c>
      <c r="AV93" s="167">
        <f t="shared" si="98"/>
        <v>80</v>
      </c>
      <c r="AW93" s="169">
        <f t="shared" si="86"/>
        <v>1</v>
      </c>
      <c r="AX93" s="169">
        <f t="shared" si="87"/>
        <v>1</v>
      </c>
      <c r="AY93" s="169" t="str">
        <f t="shared" si="99"/>
        <v/>
      </c>
      <c r="AZ93" s="169" t="str">
        <f t="shared" si="88"/>
        <v/>
      </c>
      <c r="BA93" s="169" t="str">
        <f t="shared" si="89"/>
        <v/>
      </c>
      <c r="BB93" s="169" t="str">
        <f t="shared" si="90"/>
        <v/>
      </c>
      <c r="BC93" s="169">
        <f t="shared" si="91"/>
        <v>80</v>
      </c>
      <c r="BD93" s="170"/>
      <c r="BE93" s="168"/>
      <c r="BF93" s="169">
        <f t="shared" si="92"/>
        <v>80</v>
      </c>
      <c r="BG93" s="169">
        <f t="shared" si="93"/>
        <v>0</v>
      </c>
      <c r="BH93" s="169" t="str">
        <f t="shared" si="100"/>
        <v>Highroller Rosenheim 3</v>
      </c>
      <c r="BI93" s="168">
        <f t="shared" si="94"/>
        <v>2</v>
      </c>
      <c r="BJ93" s="169">
        <f t="shared" si="95"/>
        <v>80</v>
      </c>
      <c r="BK93" s="169">
        <f>IF(COUNTIF(AY93:BC93,"&gt;0")&lt;Spielorte!$A$23,0,AV93/Spielorte!$A$23)</f>
        <v>0</v>
      </c>
      <c r="BL93" s="169">
        <f t="shared" si="96"/>
        <v>0</v>
      </c>
      <c r="BM93" s="168">
        <f t="shared" si="97"/>
        <v>0</v>
      </c>
    </row>
    <row r="94" spans="1:65" ht="27.75" customHeight="1" thickBot="1">
      <c r="B94" s="218" t="s">
        <v>1792</v>
      </c>
      <c r="C94" s="204"/>
      <c r="D94" s="219"/>
      <c r="E94" s="226">
        <f>ABS(SUM(E85:E87))+ABS(SUM(E88:E90))+ABS(SUM(E91:E93))</f>
        <v>339</v>
      </c>
      <c r="F94" s="225">
        <f>ABS(SUM(F85:F87))+ABS(SUM(F88:F90))+ABS(SUM(F91:F93))</f>
        <v>446</v>
      </c>
      <c r="G94" s="81">
        <f>IF(F94+E103=0,0,IF(F94=E103,Spielorte!$A$31/2,IF(F94&gt;E103,Spielorte!$A$31,0)))</f>
        <v>0</v>
      </c>
      <c r="H94" s="226">
        <f>ABS(SUM(H85:H87))+ABS(SUM(H88:H90))+ABS(SUM(H91:H93))</f>
        <v>366</v>
      </c>
      <c r="I94" s="225">
        <f>ABS(SUM(I85:I87))+ABS(SUM(I88:I90))+ABS(SUM(I91:I93))</f>
        <v>470</v>
      </c>
      <c r="J94" s="81">
        <f>IF(I94+H103=0,0,IF(I94=H103,Spielorte!$A$31/2,IF(I94&gt;H103,Spielorte!$A$31,0)))</f>
        <v>0</v>
      </c>
      <c r="K94" s="226">
        <f>ABS(SUM(K85:K87))+ABS(SUM(K88:K90))+ABS(SUM(K91:K93))</f>
        <v>299</v>
      </c>
      <c r="L94" s="225">
        <f>ABS(SUM(L85:L87))+ABS(SUM(L88:L90))+ABS(SUM(L91:L93))</f>
        <v>406</v>
      </c>
      <c r="M94" s="81">
        <f>IF(L94+K103=0,0,IF(L94=K103,Spielorte!$A$31/2,IF(L94&gt;K103,Spielorte!$A$31,0)))</f>
        <v>0</v>
      </c>
      <c r="N94" s="226">
        <f>ABS(SUM(N85:N87))+ABS(SUM(N88:N90))+ABS(SUM(N91:N93))</f>
        <v>335</v>
      </c>
      <c r="O94" s="225">
        <f>ABS(SUM(O85:O87))+ABS(SUM(O88:O90))+ABS(SUM(O91:O93))</f>
        <v>440</v>
      </c>
      <c r="P94" s="81">
        <f>IF(O94+N103=0,0,IF(O94=N103,Spielorte!$A$31/2,IF(O94&gt;N103,Spielorte!$A$31,0)))</f>
        <v>0</v>
      </c>
      <c r="Q94" s="226">
        <f>ABS(SUM(Q85:Q87))+ABS(SUM(Q88:Q90))+ABS(SUM(Q91:Q93))</f>
        <v>328</v>
      </c>
      <c r="R94" s="225">
        <f>ABS(SUM(R85:R87))+ABS(SUM(R88:R90))+ABS(SUM(R91:R93))</f>
        <v>435</v>
      </c>
      <c r="S94" s="81">
        <f>IF(R94+Q103=0,0,IF(R94=Q103,Spielorte!$A$31/2,IF(R94&gt;Q103,Spielorte!$A$31,0)))</f>
        <v>0</v>
      </c>
      <c r="T94" s="228">
        <f>SUM(E94+H94+K94+N94+Q94)</f>
        <v>1667</v>
      </c>
      <c r="U94" s="229">
        <f>SUM(F94+I94+L94+O94+R94)</f>
        <v>2197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>
      <c r="B95" s="230" t="s">
        <v>1803</v>
      </c>
      <c r="C95" s="1"/>
      <c r="D95" s="1"/>
      <c r="E95" s="1"/>
      <c r="F95" s="1"/>
      <c r="G95" s="61">
        <f>SUM(G85:G94)</f>
        <v>1.5</v>
      </c>
      <c r="H95" s="1"/>
      <c r="I95" s="1"/>
      <c r="J95" s="61">
        <f>SUM(J85:J94)</f>
        <v>1</v>
      </c>
      <c r="K95" s="1"/>
      <c r="L95" s="1"/>
      <c r="M95" s="61">
        <f>SUM(M85:M94)</f>
        <v>0</v>
      </c>
      <c r="N95" s="1"/>
      <c r="O95" s="1"/>
      <c r="P95" s="61">
        <f>SUM(P85:P94)</f>
        <v>1</v>
      </c>
      <c r="Q95" s="1"/>
      <c r="R95" s="1"/>
      <c r="S95" s="61">
        <f>SUM(S85:S94)</f>
        <v>1</v>
      </c>
      <c r="T95" s="1"/>
      <c r="U95" s="1"/>
      <c r="V95" s="61">
        <f>SUM(V85:V94)</f>
        <v>4.5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4.5</v>
      </c>
      <c r="AR95" s="167">
        <f>+T94</f>
        <v>1667</v>
      </c>
      <c r="AS95" s="167">
        <f>+U94</f>
        <v>2197</v>
      </c>
      <c r="AT95" s="168">
        <f>+B80</f>
        <v>4</v>
      </c>
      <c r="AW95" s="169">
        <f>SUM(AW79:AW94)</f>
        <v>15</v>
      </c>
      <c r="BD95" s="166">
        <f>+AS95/1000000+AQ95+AR95/1000000000000</f>
        <v>4.5021970016669997</v>
      </c>
      <c r="BE95" s="168">
        <f>RANK(BD95,BD:BD)</f>
        <v>8</v>
      </c>
      <c r="BI95" s="168"/>
      <c r="BM95" s="168"/>
    </row>
    <row r="96" spans="1:65" ht="11.25" customHeight="1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>
      <c r="B97" s="231" t="s">
        <v>1790</v>
      </c>
      <c r="C97" s="210"/>
      <c r="D97" s="42"/>
      <c r="E97" s="434">
        <f>VLOOKUP($B80,Schlüssel!$A$5:$EK$12,3)</f>
        <v>3</v>
      </c>
      <c r="F97" s="435"/>
      <c r="G97" s="436"/>
      <c r="H97" s="434">
        <f>VLOOKUP($B80,Schlüssel!$A$5:$EK$12,4)</f>
        <v>2</v>
      </c>
      <c r="I97" s="435"/>
      <c r="J97" s="436"/>
      <c r="K97" s="434">
        <f>VLOOKUP($B80,Schlüssel!$A$5:$EK$12,5)</f>
        <v>5</v>
      </c>
      <c r="L97" s="435"/>
      <c r="M97" s="436"/>
      <c r="N97" s="434">
        <f>VLOOKUP($B80,Schlüssel!$A$5:$EK$12,6)</f>
        <v>8</v>
      </c>
      <c r="O97" s="435"/>
      <c r="P97" s="436"/>
      <c r="Q97" s="434">
        <f>VLOOKUP($B80,Schlüssel!$A$5:$EK$12,7)</f>
        <v>6</v>
      </c>
      <c r="R97" s="435"/>
      <c r="S97" s="436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>
      <c r="B98" s="3" t="s">
        <v>9</v>
      </c>
      <c r="C98" s="1"/>
      <c r="D98" s="1"/>
      <c r="E98" s="395" t="str">
        <f>VLOOKUP(E97,Schlüssel!$A$5:$K$12,2)</f>
        <v>Highroller Rosenheim 2</v>
      </c>
      <c r="F98" s="438"/>
      <c r="G98" s="396"/>
      <c r="H98" s="395" t="str">
        <f>VLOOKUP(H97,Schlüssel!$A$5:$K$12,2)</f>
        <v>Highroller Rosenheim 1</v>
      </c>
      <c r="I98" s="438"/>
      <c r="J98" s="396"/>
      <c r="K98" s="395" t="str">
        <f>VLOOKUP(K97,Schlüssel!$A$5:$K$12,2)</f>
        <v>Berchtesgaden 1</v>
      </c>
      <c r="L98" s="438"/>
      <c r="M98" s="396"/>
      <c r="N98" s="395" t="str">
        <f>VLOOKUP(N97,Schlüssel!$A$5:$K$12,2)</f>
        <v>EMAX 1</v>
      </c>
      <c r="O98" s="438"/>
      <c r="P98" s="396"/>
      <c r="Q98" s="395" t="str">
        <f>VLOOKUP(Q97,Schlüssel!$A$5:$K$12,2)</f>
        <v>Bowling Jugend Bayern 1</v>
      </c>
      <c r="R98" s="438"/>
      <c r="S98" s="396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" customHeight="1">
      <c r="B100" s="417" t="s">
        <v>2275</v>
      </c>
      <c r="C100" s="418"/>
      <c r="D100" s="419"/>
      <c r="E100" s="431">
        <f>ABS(INDEX(F:F,MATCH(E97,$B:$B,0)+5)+INDEX(F:F,MATCH(E97,$B:$B,0)+6)+INDEX(F:F,MATCH(E97,$B:$B,0)+7))</f>
        <v>141</v>
      </c>
      <c r="F100" s="432"/>
      <c r="G100" s="433"/>
      <c r="H100" s="431">
        <f>ABS(INDEX(I:I,MATCH(H97,$B:$B,0)+5)+INDEX(I:I,MATCH(H97,$B:$B,0)+6)+INDEX(I:I,MATCH(H97,$B:$B,0)+7))</f>
        <v>206</v>
      </c>
      <c r="I100" s="432"/>
      <c r="J100" s="433"/>
      <c r="K100" s="431">
        <f>ABS(INDEX(L:L,MATCH(K97,$B:$B,0)+5)+INDEX(L:L,MATCH(K97,$B:$B,0)+6)+INDEX(L:L,MATCH(K97,$B:$B,0)+7))</f>
        <v>149</v>
      </c>
      <c r="L100" s="432"/>
      <c r="M100" s="433"/>
      <c r="N100" s="431">
        <f>ABS(INDEX(O:O,MATCH(N97,$B:$B,0)+5)+INDEX(O:O,MATCH(N97,$B:$B,0)+6)+INDEX(O:O,MATCH(N97,$B:$B,0)+7))</f>
        <v>151</v>
      </c>
      <c r="O100" s="432"/>
      <c r="P100" s="433"/>
      <c r="Q100" s="431">
        <f>ABS(INDEX(R:R,MATCH(Q97,$B:$B,0)+5)+INDEX(R:R,MATCH(Q97,$B:$B,0)+6)+INDEX(R:R,MATCH(Q97,$B:$B,0)+7))</f>
        <v>195</v>
      </c>
      <c r="R100" s="432"/>
      <c r="S100" s="433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" customHeight="1">
      <c r="B101" s="417" t="s">
        <v>2276</v>
      </c>
      <c r="C101" s="418"/>
      <c r="D101" s="419"/>
      <c r="E101" s="424">
        <f>ABS(INDEX(F:F,MATCH(E97,$B:$B,0)+8)+INDEX(F:F,MATCH(E97,$B:$B,0)+9)+INDEX(F:F,MATCH(E97,$B:$B,0)+10))</f>
        <v>160</v>
      </c>
      <c r="F101" s="425"/>
      <c r="G101" s="426"/>
      <c r="H101" s="424">
        <f>ABS(INDEX(I:I,MATCH(H97,$B:$B,0)+8)+INDEX(I:I,MATCH(H97,$B:$B,0)+9)+INDEX(I:I,MATCH(H97,$B:$B,0)+10))</f>
        <v>146</v>
      </c>
      <c r="I101" s="425"/>
      <c r="J101" s="426"/>
      <c r="K101" s="424">
        <f>ABS(INDEX(L:L,MATCH(K97,$B:$B,0)+8)+INDEX(L:L,MATCH(K97,$B:$B,0)+9)+INDEX(L:L,MATCH(K97,$B:$B,0)+10))</f>
        <v>160</v>
      </c>
      <c r="L101" s="425"/>
      <c r="M101" s="426"/>
      <c r="N101" s="424">
        <f>ABS(INDEX(O:O,MATCH(N97,$B:$B,0)+8)+INDEX(O:O,MATCH(N97,$B:$B,0)+9)+INDEX(O:O,MATCH(N97,$B:$B,0)+10))</f>
        <v>159</v>
      </c>
      <c r="O101" s="425"/>
      <c r="P101" s="426"/>
      <c r="Q101" s="424">
        <f>ABS(INDEX(R:R,MATCH(Q97,$B:$B,0)+8)+INDEX(R:R,MATCH(Q97,$B:$B,0)+9)+INDEX(R:R,MATCH(Q97,$B:$B,0)+10))</f>
        <v>138</v>
      </c>
      <c r="R101" s="425"/>
      <c r="S101" s="426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" customHeight="1">
      <c r="B102" s="417" t="s">
        <v>2277</v>
      </c>
      <c r="C102" s="418"/>
      <c r="D102" s="419"/>
      <c r="E102" s="424">
        <f>ABS(INDEX(F:F,MATCH(E97,$B:$B,0)+11)+INDEX(F:F,MATCH(E97,$B:$B,0)+12)+INDEX(F:F,MATCH(E97,$B:$B,0)+13))</f>
        <v>161</v>
      </c>
      <c r="F102" s="425"/>
      <c r="G102" s="426"/>
      <c r="H102" s="424">
        <f>ABS(INDEX(I:I,MATCH(H97,$B:$B,0)+11)+INDEX(I:I,MATCH(H97,$B:$B,0)+12)+INDEX(I:I,MATCH(H97,$B:$B,0)+13))</f>
        <v>196</v>
      </c>
      <c r="I102" s="425"/>
      <c r="J102" s="426"/>
      <c r="K102" s="424">
        <f>ABS(INDEX(L:L,MATCH(K97,$B:$B,0)+11)+INDEX(L:L,MATCH(K97,$B:$B,0)+12)+INDEX(L:L,MATCH(K97,$B:$B,0)+13))</f>
        <v>177</v>
      </c>
      <c r="L102" s="425"/>
      <c r="M102" s="426"/>
      <c r="N102" s="424">
        <f>ABS(INDEX(O:O,MATCH(N97,$B:$B,0)+11)+INDEX(O:O,MATCH(N97,$B:$B,0)+12)+INDEX(O:O,MATCH(N97,$B:$B,0)+13))</f>
        <v>181</v>
      </c>
      <c r="O102" s="425"/>
      <c r="P102" s="426"/>
      <c r="Q102" s="424">
        <f>ABS(INDEX(R:R,MATCH(Q97,$B:$B,0)+11)+INDEX(R:R,MATCH(Q97,$B:$B,0)+12)+INDEX(R:R,MATCH(Q97,$B:$B,0)+13))</f>
        <v>161</v>
      </c>
      <c r="R102" s="425"/>
      <c r="S102" s="426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" customHeight="1">
      <c r="B103" s="420" t="s">
        <v>2278</v>
      </c>
      <c r="C103" s="421"/>
      <c r="D103" s="422"/>
      <c r="E103" s="407">
        <f>SUM(E100:E102)</f>
        <v>462</v>
      </c>
      <c r="F103" s="423"/>
      <c r="G103" s="408"/>
      <c r="H103" s="407">
        <f>SUM(H100:H102)</f>
        <v>548</v>
      </c>
      <c r="I103" s="423"/>
      <c r="J103" s="408"/>
      <c r="K103" s="407">
        <f>SUM(K100:K102)</f>
        <v>486</v>
      </c>
      <c r="L103" s="423"/>
      <c r="M103" s="408"/>
      <c r="N103" s="407">
        <f>SUM(N100:N102)</f>
        <v>491</v>
      </c>
      <c r="O103" s="423"/>
      <c r="P103" s="408"/>
      <c r="Q103" s="407">
        <f>SUM(Q100:Q102)</f>
        <v>494</v>
      </c>
      <c r="R103" s="423"/>
      <c r="S103" s="408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>
      <c r="A105" s="255"/>
      <c r="B105" s="7" t="s">
        <v>1802</v>
      </c>
      <c r="C105" s="24"/>
      <c r="D105" s="24"/>
      <c r="E105" s="35" t="s">
        <v>1786</v>
      </c>
      <c r="F105" s="35"/>
      <c r="G105" s="427" t="str">
        <f>Schlüssel!$C$1</f>
        <v>Landesliga Jugend</v>
      </c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  <c r="S105" s="406">
        <f>Schlüssel!$M$1</f>
        <v>45211</v>
      </c>
      <c r="T105" s="406"/>
      <c r="U105" s="406"/>
      <c r="V105" s="406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>
      <c r="A106" s="53"/>
      <c r="B106" s="54">
        <v>5</v>
      </c>
      <c r="E106" s="35" t="s">
        <v>1787</v>
      </c>
      <c r="F106" s="35"/>
      <c r="G106" s="413" t="str">
        <f>Schlüssel!$C$2</f>
        <v>Brunnthal Max Munich</v>
      </c>
      <c r="H106" s="413"/>
      <c r="I106" s="413"/>
      <c r="J106" s="413"/>
      <c r="K106" s="413"/>
      <c r="L106" s="413"/>
      <c r="M106" s="413"/>
      <c r="N106" s="413"/>
      <c r="O106" s="413"/>
      <c r="P106" s="66"/>
      <c r="Q106" s="411" t="s">
        <v>1785</v>
      </c>
      <c r="R106" s="412"/>
      <c r="S106" s="38">
        <v>1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>
      <c r="B107" s="414" t="str">
        <f>VLOOKUP(B106,Schlüssel!$A$5:$B$12,2)</f>
        <v>Berchtesgaden 1</v>
      </c>
      <c r="C107" s="415"/>
      <c r="D107" s="415"/>
      <c r="E107" s="415"/>
      <c r="F107" s="415"/>
      <c r="G107" s="416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3.8" hidden="1" thickBot="1">
      <c r="A108" s="6"/>
      <c r="B108" s="7"/>
      <c r="C108" s="43"/>
      <c r="D108" s="43"/>
      <c r="E108" s="162" t="s">
        <v>10</v>
      </c>
      <c r="F108" s="220"/>
      <c r="G108" s="159">
        <f>VLOOKUP($B106,Schlüssel!$A$5:$EK$12,13)</f>
        <v>13</v>
      </c>
      <c r="H108" s="161" t="s">
        <v>10</v>
      </c>
      <c r="I108" s="220"/>
      <c r="J108" s="159">
        <f>VLOOKUP($B106,Schlüssel!$A$5:$EK$12,14)</f>
        <v>11</v>
      </c>
      <c r="K108" s="161" t="s">
        <v>10</v>
      </c>
      <c r="L108" s="220"/>
      <c r="M108" s="159">
        <f>VLOOKUP($B106,Schlüssel!$A$5:$EK$12,15)</f>
        <v>9</v>
      </c>
      <c r="N108" s="161" t="s">
        <v>10</v>
      </c>
      <c r="O108" s="220"/>
      <c r="P108" s="159">
        <f>VLOOKUP($B106,Schlüssel!$A$5:$EK$12,16)</f>
        <v>14</v>
      </c>
      <c r="Q108" s="161" t="s">
        <v>10</v>
      </c>
      <c r="R108" s="220"/>
      <c r="S108" s="160">
        <f>VLOOKUP($B106,Schlüssel!$A$5:$DZ$12,17)</f>
        <v>15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>
      <c r="B109" s="44" t="s">
        <v>1</v>
      </c>
      <c r="C109" s="208"/>
      <c r="D109" s="217"/>
      <c r="E109" s="423" t="s">
        <v>1793</v>
      </c>
      <c r="F109" s="423"/>
      <c r="G109" s="408"/>
      <c r="H109" s="407" t="s">
        <v>1794</v>
      </c>
      <c r="I109" s="423"/>
      <c r="J109" s="408"/>
      <c r="K109" s="407" t="s">
        <v>1795</v>
      </c>
      <c r="L109" s="423"/>
      <c r="M109" s="408"/>
      <c r="N109" s="407" t="s">
        <v>1796</v>
      </c>
      <c r="O109" s="423"/>
      <c r="P109" s="408"/>
      <c r="Q109" s="407" t="s">
        <v>1797</v>
      </c>
      <c r="R109" s="423"/>
      <c r="S109" s="437"/>
      <c r="T109" s="439" t="s">
        <v>1792</v>
      </c>
      <c r="U109" s="440"/>
      <c r="V109" s="410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6.95" customHeight="1">
      <c r="A111" s="403" t="s">
        <v>0</v>
      </c>
      <c r="B111" s="58" t="str">
        <f>IF(C111=0,"",VLOOKUP(C111,Starter!$A$1:$D$196,2,FALSE))</f>
        <v>Wieser, Lukas</v>
      </c>
      <c r="C111" s="232">
        <v>38714</v>
      </c>
      <c r="D111" s="238">
        <f t="shared" ref="D111:D119" si="101">+AP111</f>
        <v>0</v>
      </c>
      <c r="E111" s="221">
        <v>157</v>
      </c>
      <c r="F111" s="240">
        <f t="shared" ref="F111:F119" si="102">IF(E111&gt;0,E111+$D111,0)</f>
        <v>157</v>
      </c>
      <c r="G111" s="428">
        <f>IF(SUM(F111:F113)+E126=0,0,IF(ABS(SUM(F111:F113))=E126,Spielorte!$A$30/2,IF(ABS(SUM(F111:F113))&gt;E126,Spielorte!$A$30,0)))</f>
        <v>1</v>
      </c>
      <c r="H111" s="221">
        <v>158</v>
      </c>
      <c r="I111" s="240">
        <f t="shared" ref="I111:I119" si="103">IF(H111&gt;0,H111+$D111,0)</f>
        <v>158</v>
      </c>
      <c r="J111" s="428">
        <f>IF(SUM(I111:I113)+H126=0,0,IF(ABS(SUM(I111:I113))=H126,Spielorte!$A$30/2,IF(ABS(SUM(I111:I113))&gt;H126,Spielorte!$A$30,0)))</f>
        <v>0</v>
      </c>
      <c r="K111" s="221"/>
      <c r="L111" s="240">
        <f t="shared" ref="L111:L119" si="104">IF(K111&gt;0,K111+$D111,0)</f>
        <v>0</v>
      </c>
      <c r="M111" s="428">
        <f>IF(SUM(L111:L113)+K126=0,0,IF(ABS(SUM(L111:L113))=K126,Spielorte!$A$30/2,IF(ABS(SUM(L111:L113))&gt;K126,Spielorte!$A$30,0)))</f>
        <v>1</v>
      </c>
      <c r="N111" s="221"/>
      <c r="O111" s="240">
        <f t="shared" ref="O111:O119" si="105">IF(N111&gt;0,N111+$D111,0)</f>
        <v>0</v>
      </c>
      <c r="P111" s="428">
        <f>IF(SUM(O111:O113)+N126=0,0,IF(ABS(SUM(O111:O113))=N126,Spielorte!$A$30/2,IF(ABS(SUM(O111:O113))&gt;N126,Spielorte!$A$30,0)))</f>
        <v>0</v>
      </c>
      <c r="Q111" s="221"/>
      <c r="R111" s="240">
        <f t="shared" ref="R111:R119" si="106">IF(Q111&gt;0,Q111+$D111,0)</f>
        <v>0</v>
      </c>
      <c r="S111" s="428">
        <f>IF(SUM(R111:R113)+Q126=0,0,IF(ABS(SUM(R111:R113))=Q126,Spielorte!$A$30/2,IF(ABS(SUM(R111:R113))&gt;Q126,Spielorte!$A$30,0)))</f>
        <v>1</v>
      </c>
      <c r="T111" s="221">
        <f t="shared" ref="T111:T119" si="107">ABS(SUM(E111:E111))+ABS(SUM(H111:H111))+ABS(SUM(K111:K111))+ABS(SUM(N111:N111))+ABS(SUM(Q111:Q111))</f>
        <v>315</v>
      </c>
      <c r="U111" s="240">
        <f t="shared" ref="U111:U119" si="108">ABS(SUM(F111:F111))+ABS(SUM(I111:I111))+ABS(SUM(L111:L111))+ABS(SUM(O111:O111))+ABS(SUM(R111:R111))</f>
        <v>315</v>
      </c>
      <c r="V111" s="400">
        <f>SUM(G111+J111+M111+P111+S111)</f>
        <v>3</v>
      </c>
      <c r="W111" s="79"/>
      <c r="X111" s="79"/>
      <c r="Y111" s="79"/>
      <c r="Z111" s="79"/>
      <c r="AA111" s="79"/>
      <c r="AB111" s="79"/>
      <c r="AL111" s="169">
        <f>IF(AU111=0,0,IFERROR(INDEX(RanglisteST1!K:K,MATCH(AU111,RanglisteST1!A:A,0)),0))</f>
        <v>171.66999816894531</v>
      </c>
      <c r="AM111" s="169">
        <f>IF(AU111=0,0,SUMIF(AU111:AU119,AU111,AV111:AV119))</f>
        <v>660</v>
      </c>
      <c r="AN111" s="169">
        <f>IF(AU111=0,0,SUMIF(AU111:AU119,AU111,AW111:AW119))</f>
        <v>4</v>
      </c>
      <c r="AO111" s="169">
        <f t="shared" ref="AO111:AO119" si="109">IFERROR(AM111/AN111,0)</f>
        <v>165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10">C111</f>
        <v>38714</v>
      </c>
      <c r="AV111" s="167">
        <f>T111</f>
        <v>315</v>
      </c>
      <c r="AW111" s="169">
        <f t="shared" ref="AW111:AW119" si="111">COUNT(AY111:BC111)</f>
        <v>2</v>
      </c>
      <c r="AX111" s="169">
        <f t="shared" ref="AX111:AX119" si="112">COUNTIF(AY111:BC111,"&gt;0")</f>
        <v>2</v>
      </c>
      <c r="AY111" s="169">
        <f>IF(E111=0,"",E111)</f>
        <v>157</v>
      </c>
      <c r="AZ111" s="169">
        <f t="shared" ref="AZ111:AZ119" si="113">IF(H111=0,"",H111)</f>
        <v>158</v>
      </c>
      <c r="BA111" s="169" t="str">
        <f t="shared" ref="BA111:BA119" si="114">IF(K111=0,"",K111)</f>
        <v/>
      </c>
      <c r="BB111" s="169" t="str">
        <f t="shared" ref="BB111:BB119" si="115">IF(N111=0,"",N111)</f>
        <v/>
      </c>
      <c r="BC111" s="169" t="str">
        <f t="shared" ref="BC111:BC119" si="116">IF(Q111=0,"",Q111)</f>
        <v/>
      </c>
      <c r="BD111" s="170"/>
      <c r="BE111" s="168"/>
      <c r="BF111" s="169">
        <f t="shared" ref="BF111:BF119" si="117">MAX(AY111:BC111)</f>
        <v>158</v>
      </c>
      <c r="BG111" s="169">
        <f t="shared" ref="BG111:BG119" si="118">IF(BF111&lt;MAX(BF:BF),0,BF111+ROW()/1000000000)</f>
        <v>0</v>
      </c>
      <c r="BH111" s="169" t="str">
        <f>+B107</f>
        <v>Berchtesgaden 1</v>
      </c>
      <c r="BI111" s="168">
        <f t="shared" ref="BI111:BI119" si="119">RANK(BG111,BG:BG)</f>
        <v>2</v>
      </c>
      <c r="BJ111" s="169">
        <f t="shared" ref="BJ111:BJ119" si="120">SUMIF(AY111:BC111,"&gt;0")</f>
        <v>315</v>
      </c>
      <c r="BK111" s="169">
        <f>IF(COUNTIF(AY111:BC111,"&gt;0")&lt;Spielorte!$A$23,0,AV111/Spielorte!$A$23)</f>
        <v>0</v>
      </c>
      <c r="BL111" s="169">
        <f t="shared" ref="BL111:BL119" si="121">IF(BK111&lt;MAX(BK:BK),0,BK111+ROW()/1000000000)</f>
        <v>0</v>
      </c>
      <c r="BM111" s="168">
        <f t="shared" ref="BM111:BM119" si="122">IF(BL111=0,0,RANK(BL111,BL:BL))</f>
        <v>0</v>
      </c>
    </row>
    <row r="112" spans="1:65" ht="16.95" customHeight="1">
      <c r="A112" s="404"/>
      <c r="B112" s="58" t="str">
        <f>IF(C112=0,"",VLOOKUP(C112,Starter!$A$1:$D$196,2,FALSE))</f>
        <v>Pittner, Gregor</v>
      </c>
      <c r="C112" s="233">
        <v>38819</v>
      </c>
      <c r="D112" s="239">
        <f t="shared" si="101"/>
        <v>36</v>
      </c>
      <c r="E112" s="222"/>
      <c r="F112" s="241">
        <f t="shared" si="102"/>
        <v>0</v>
      </c>
      <c r="G112" s="429"/>
      <c r="H112" s="222"/>
      <c r="I112" s="241">
        <f t="shared" si="103"/>
        <v>0</v>
      </c>
      <c r="J112" s="429"/>
      <c r="K112" s="222">
        <v>113</v>
      </c>
      <c r="L112" s="241">
        <f t="shared" si="104"/>
        <v>149</v>
      </c>
      <c r="M112" s="429"/>
      <c r="N112" s="222">
        <v>112</v>
      </c>
      <c r="O112" s="241">
        <f t="shared" si="105"/>
        <v>148</v>
      </c>
      <c r="P112" s="429"/>
      <c r="Q112" s="222"/>
      <c r="R112" s="241">
        <f t="shared" si="106"/>
        <v>0</v>
      </c>
      <c r="S112" s="429"/>
      <c r="T112" s="222">
        <f t="shared" si="107"/>
        <v>225</v>
      </c>
      <c r="U112" s="241">
        <f t="shared" si="108"/>
        <v>297</v>
      </c>
      <c r="V112" s="401"/>
      <c r="W112" s="79"/>
      <c r="X112" s="79"/>
      <c r="Y112" s="79"/>
      <c r="Z112" s="79"/>
      <c r="AA112" s="79"/>
      <c r="AB112" s="79"/>
      <c r="AL112" s="169">
        <f>IF(AU112=0,0,IFERROR(INDEX(RanglisteST1!K:K,MATCH(AU112,RanglisteST1!A:A,0)),0))</f>
        <v>0</v>
      </c>
      <c r="AM112" s="169">
        <f>IF(AU112=0,0,SUMIF(AU111:AU119,AU112,AV111:AV119))</f>
        <v>344</v>
      </c>
      <c r="AN112" s="169">
        <f>IF(AU112=0,0,SUMIF(AU111:AU119,AU112,AW111:AW119))</f>
        <v>3</v>
      </c>
      <c r="AO112" s="169">
        <f t="shared" si="109"/>
        <v>114.66666666666667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36</v>
      </c>
      <c r="AQ112" s="166"/>
      <c r="AR112" s="167"/>
      <c r="AS112" s="167"/>
      <c r="AT112" s="168"/>
      <c r="AU112" s="171">
        <f t="shared" si="110"/>
        <v>38819</v>
      </c>
      <c r="AV112" s="167">
        <f t="shared" ref="AV112:AV119" si="123">T112</f>
        <v>225</v>
      </c>
      <c r="AW112" s="169">
        <f t="shared" si="111"/>
        <v>2</v>
      </c>
      <c r="AX112" s="169">
        <f t="shared" si="112"/>
        <v>2</v>
      </c>
      <c r="AY112" s="169" t="str">
        <f t="shared" ref="AY112:AY119" si="124">IF(E112=0,"",E112)</f>
        <v/>
      </c>
      <c r="AZ112" s="169" t="str">
        <f t="shared" si="113"/>
        <v/>
      </c>
      <c r="BA112" s="169">
        <f t="shared" si="114"/>
        <v>113</v>
      </c>
      <c r="BB112" s="169">
        <f t="shared" si="115"/>
        <v>112</v>
      </c>
      <c r="BC112" s="169" t="str">
        <f t="shared" si="116"/>
        <v/>
      </c>
      <c r="BD112" s="170"/>
      <c r="BE112" s="168"/>
      <c r="BF112" s="169">
        <f t="shared" si="117"/>
        <v>113</v>
      </c>
      <c r="BG112" s="169">
        <f t="shared" si="118"/>
        <v>0</v>
      </c>
      <c r="BH112" s="169" t="str">
        <f t="shared" ref="BH112:BH119" si="125">+BH111</f>
        <v>Berchtesgaden 1</v>
      </c>
      <c r="BI112" s="168">
        <f t="shared" si="119"/>
        <v>2</v>
      </c>
      <c r="BJ112" s="169">
        <f t="shared" si="120"/>
        <v>225</v>
      </c>
      <c r="BK112" s="169">
        <f>IF(COUNTIF(AY112:BC112,"&gt;0")&lt;Spielorte!$A$23,0,AV112/Spielorte!$A$23)</f>
        <v>0</v>
      </c>
      <c r="BL112" s="169">
        <f t="shared" si="121"/>
        <v>0</v>
      </c>
      <c r="BM112" s="168">
        <f t="shared" si="122"/>
        <v>0</v>
      </c>
    </row>
    <row r="113" spans="1:65" ht="16.95" customHeight="1" thickBot="1">
      <c r="A113" s="405"/>
      <c r="B113" s="59" t="str">
        <f>IF(C113=0,"",VLOOKUP(C113,Starter!$A$1:$D$196,2,FALSE))</f>
        <v>Ruppert, Raja</v>
      </c>
      <c r="C113" s="234">
        <v>38937</v>
      </c>
      <c r="D113" s="223">
        <f t="shared" si="101"/>
        <v>22</v>
      </c>
      <c r="E113" s="224"/>
      <c r="F113" s="242">
        <f t="shared" si="102"/>
        <v>0</v>
      </c>
      <c r="G113" s="430"/>
      <c r="H113" s="224"/>
      <c r="I113" s="242">
        <f t="shared" si="103"/>
        <v>0</v>
      </c>
      <c r="J113" s="430"/>
      <c r="K113" s="224"/>
      <c r="L113" s="242">
        <f t="shared" si="104"/>
        <v>0</v>
      </c>
      <c r="M113" s="430"/>
      <c r="N113" s="224"/>
      <c r="O113" s="242">
        <f t="shared" si="105"/>
        <v>0</v>
      </c>
      <c r="P113" s="430"/>
      <c r="Q113" s="224">
        <v>157</v>
      </c>
      <c r="R113" s="242">
        <f t="shared" si="106"/>
        <v>179</v>
      </c>
      <c r="S113" s="430"/>
      <c r="T113" s="224">
        <f t="shared" si="107"/>
        <v>157</v>
      </c>
      <c r="U113" s="242">
        <f t="shared" si="108"/>
        <v>179</v>
      </c>
      <c r="V113" s="402"/>
      <c r="W113" s="79"/>
      <c r="X113" s="79"/>
      <c r="Y113" s="79"/>
      <c r="Z113" s="79"/>
      <c r="AA113" s="79"/>
      <c r="AB113" s="79"/>
      <c r="AL113" s="169">
        <f>IF(AU113=0,0,IFERROR(INDEX(RanglisteST1!K:K,MATCH(AU113,RanglisteST1!A:A,0)),0))</f>
        <v>0</v>
      </c>
      <c r="AM113" s="169">
        <f>IF(AU113=0,0,SUMIF(AU111:AU119,AU113,AV111:AV119))</f>
        <v>530</v>
      </c>
      <c r="AN113" s="169">
        <f>IF(AU113=0,0,SUMIF(AU111:AU119,AU113,AW111:AW119))</f>
        <v>4</v>
      </c>
      <c r="AO113" s="169">
        <f t="shared" si="109"/>
        <v>132.5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22</v>
      </c>
      <c r="AQ113" s="166"/>
      <c r="AR113" s="167"/>
      <c r="AS113" s="167"/>
      <c r="AT113" s="168"/>
      <c r="AU113" s="171">
        <f t="shared" si="110"/>
        <v>38937</v>
      </c>
      <c r="AV113" s="167">
        <f t="shared" si="123"/>
        <v>157</v>
      </c>
      <c r="AW113" s="169">
        <f t="shared" si="111"/>
        <v>1</v>
      </c>
      <c r="AX113" s="169">
        <f t="shared" si="112"/>
        <v>1</v>
      </c>
      <c r="AY113" s="169" t="str">
        <f t="shared" si="124"/>
        <v/>
      </c>
      <c r="AZ113" s="169" t="str">
        <f t="shared" si="113"/>
        <v/>
      </c>
      <c r="BA113" s="169" t="str">
        <f t="shared" si="114"/>
        <v/>
      </c>
      <c r="BB113" s="169" t="str">
        <f t="shared" si="115"/>
        <v/>
      </c>
      <c r="BC113" s="169">
        <f t="shared" si="116"/>
        <v>157</v>
      </c>
      <c r="BD113" s="170"/>
      <c r="BE113" s="168"/>
      <c r="BF113" s="169">
        <f t="shared" si="117"/>
        <v>157</v>
      </c>
      <c r="BG113" s="169">
        <f t="shared" si="118"/>
        <v>0</v>
      </c>
      <c r="BH113" s="169" t="str">
        <f t="shared" si="125"/>
        <v>Berchtesgaden 1</v>
      </c>
      <c r="BI113" s="168">
        <f t="shared" si="119"/>
        <v>2</v>
      </c>
      <c r="BJ113" s="169">
        <f t="shared" si="120"/>
        <v>157</v>
      </c>
      <c r="BK113" s="169">
        <f>IF(COUNTIF(AY113:BC113,"&gt;0")&lt;Spielorte!$A$23,0,AV113/Spielorte!$A$23)</f>
        <v>0</v>
      </c>
      <c r="BL113" s="169">
        <f t="shared" si="121"/>
        <v>0</v>
      </c>
      <c r="BM113" s="168">
        <f t="shared" si="122"/>
        <v>0</v>
      </c>
    </row>
    <row r="114" spans="1:65" ht="16.95" customHeight="1">
      <c r="A114" s="403" t="s">
        <v>2</v>
      </c>
      <c r="B114" s="58" t="str">
        <f>IF(C114=0,"",VLOOKUP(C114,Starter!$A$1:$D$196,2,FALSE))</f>
        <v>Ruppert, Raja</v>
      </c>
      <c r="C114" s="235">
        <v>38937</v>
      </c>
      <c r="D114" s="238">
        <f t="shared" si="101"/>
        <v>22</v>
      </c>
      <c r="E114" s="221">
        <v>141</v>
      </c>
      <c r="F114" s="240">
        <f t="shared" si="102"/>
        <v>163</v>
      </c>
      <c r="G114" s="428">
        <f>IF(SUM(F114:F116)+E127=0,0,IF(ABS(SUM(F114:F116))=E127,Spielorte!$A$30/2,IF(ABS(SUM(F114:F116))&gt;E127,Spielorte!$A$30,0)))</f>
        <v>1</v>
      </c>
      <c r="H114" s="221">
        <v>94</v>
      </c>
      <c r="I114" s="240">
        <f t="shared" si="103"/>
        <v>116</v>
      </c>
      <c r="J114" s="428">
        <f>IF(SUM(I114:I116)+H127=0,0,IF(ABS(SUM(I114:I116))=H127,Spielorte!$A$30/2,IF(ABS(SUM(I114:I116))&gt;H127,Spielorte!$A$30,0)))</f>
        <v>0</v>
      </c>
      <c r="K114" s="221">
        <v>138</v>
      </c>
      <c r="L114" s="240">
        <f t="shared" si="104"/>
        <v>160</v>
      </c>
      <c r="M114" s="428">
        <f>IF(SUM(L114:L116)+K127=0,0,IF(ABS(SUM(L114:L116))=K127,Spielorte!$A$30/2,IF(ABS(SUM(L114:L116))&gt;K127,Spielorte!$A$30,0)))</f>
        <v>1</v>
      </c>
      <c r="N114" s="221"/>
      <c r="O114" s="240">
        <f t="shared" si="105"/>
        <v>0</v>
      </c>
      <c r="P114" s="428">
        <f>IF(SUM(O114:O116)+N127=0,0,IF(ABS(SUM(O114:O116))=N127,Spielorte!$A$30/2,IF(ABS(SUM(O114:O116))&gt;N127,Spielorte!$A$30,0)))</f>
        <v>1</v>
      </c>
      <c r="Q114" s="221"/>
      <c r="R114" s="240">
        <f t="shared" si="106"/>
        <v>0</v>
      </c>
      <c r="S114" s="428">
        <f>IF(SUM(R114:R116)+Q127=0,0,IF(ABS(SUM(R114:R116))=Q127,Spielorte!$A$30/2,IF(ABS(SUM(R114:R116))&gt;Q127,Spielorte!$A$30,0)))</f>
        <v>1</v>
      </c>
      <c r="T114" s="221">
        <f t="shared" si="107"/>
        <v>373</v>
      </c>
      <c r="U114" s="240">
        <f t="shared" si="108"/>
        <v>439</v>
      </c>
      <c r="V114" s="400">
        <f>SUM(G114+J114+M114+P114+S114)</f>
        <v>4</v>
      </c>
      <c r="W114" s="79"/>
      <c r="X114" s="79"/>
      <c r="Y114" s="79"/>
      <c r="Z114" s="79"/>
      <c r="AA114" s="79"/>
      <c r="AB114" s="79"/>
      <c r="AL114" s="169">
        <f>IF(AU114=0,0,IFERROR(INDEX(RanglisteST1!K:K,MATCH(AU114,RanglisteST1!A:A,0)),0))</f>
        <v>0</v>
      </c>
      <c r="AM114" s="169">
        <f>IF(AU114=0,0,SUMIF(AU111:AU119,AU114,AV111:AV119))</f>
        <v>530</v>
      </c>
      <c r="AN114" s="169">
        <f>IF(AU114=0,0,SUMIF(AU111:AU119,AU114,AW111:AW119))</f>
        <v>4</v>
      </c>
      <c r="AO114" s="169">
        <f t="shared" si="109"/>
        <v>132.5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22</v>
      </c>
      <c r="AQ114" s="166"/>
      <c r="AR114" s="167"/>
      <c r="AS114" s="167"/>
      <c r="AT114" s="168"/>
      <c r="AU114" s="171">
        <f t="shared" si="110"/>
        <v>38937</v>
      </c>
      <c r="AV114" s="167">
        <f t="shared" si="123"/>
        <v>373</v>
      </c>
      <c r="AW114" s="169">
        <f t="shared" si="111"/>
        <v>3</v>
      </c>
      <c r="AX114" s="169">
        <f t="shared" si="112"/>
        <v>3</v>
      </c>
      <c r="AY114" s="169">
        <f t="shared" si="124"/>
        <v>141</v>
      </c>
      <c r="AZ114" s="169">
        <f t="shared" si="113"/>
        <v>94</v>
      </c>
      <c r="BA114" s="169">
        <f t="shared" si="114"/>
        <v>138</v>
      </c>
      <c r="BB114" s="169" t="str">
        <f t="shared" si="115"/>
        <v/>
      </c>
      <c r="BC114" s="169" t="str">
        <f t="shared" si="116"/>
        <v/>
      </c>
      <c r="BD114" s="170"/>
      <c r="BE114" s="168"/>
      <c r="BF114" s="169">
        <f t="shared" si="117"/>
        <v>141</v>
      </c>
      <c r="BG114" s="169">
        <f t="shared" si="118"/>
        <v>0</v>
      </c>
      <c r="BH114" s="169" t="str">
        <f t="shared" si="125"/>
        <v>Berchtesgaden 1</v>
      </c>
      <c r="BI114" s="168">
        <f t="shared" si="119"/>
        <v>2</v>
      </c>
      <c r="BJ114" s="169">
        <f t="shared" si="120"/>
        <v>373</v>
      </c>
      <c r="BK114" s="169">
        <f>IF(COUNTIF(AY114:BC114,"&gt;0")&lt;Spielorte!$A$23,0,AV114/Spielorte!$A$23)</f>
        <v>0</v>
      </c>
      <c r="BL114" s="169">
        <f t="shared" si="121"/>
        <v>0</v>
      </c>
      <c r="BM114" s="168">
        <f t="shared" si="122"/>
        <v>0</v>
      </c>
    </row>
    <row r="115" spans="1:65" ht="16.95" customHeight="1">
      <c r="A115" s="404"/>
      <c r="B115" s="58" t="str">
        <f>IF(C115=0,"",VLOOKUP(C115,Starter!$A$1:$D$196,2,FALSE))</f>
        <v>Wieser, Lukas</v>
      </c>
      <c r="C115" s="233">
        <v>38714</v>
      </c>
      <c r="D115" s="239">
        <f t="shared" si="101"/>
        <v>0</v>
      </c>
      <c r="E115" s="222"/>
      <c r="F115" s="241">
        <f t="shared" si="102"/>
        <v>0</v>
      </c>
      <c r="G115" s="429"/>
      <c r="H115" s="222"/>
      <c r="I115" s="241">
        <f t="shared" si="103"/>
        <v>0</v>
      </c>
      <c r="J115" s="429"/>
      <c r="K115" s="222"/>
      <c r="L115" s="241">
        <f t="shared" si="104"/>
        <v>0</v>
      </c>
      <c r="M115" s="429"/>
      <c r="N115" s="222">
        <v>174</v>
      </c>
      <c r="O115" s="241">
        <f t="shared" si="105"/>
        <v>174</v>
      </c>
      <c r="P115" s="429"/>
      <c r="Q115" s="222">
        <v>171</v>
      </c>
      <c r="R115" s="241">
        <f t="shared" si="106"/>
        <v>171</v>
      </c>
      <c r="S115" s="429"/>
      <c r="T115" s="222">
        <f t="shared" si="107"/>
        <v>345</v>
      </c>
      <c r="U115" s="241">
        <f t="shared" si="108"/>
        <v>345</v>
      </c>
      <c r="V115" s="401"/>
      <c r="W115" s="79"/>
      <c r="X115" s="79"/>
      <c r="Y115" s="79"/>
      <c r="Z115" s="79"/>
      <c r="AA115" s="79"/>
      <c r="AB115" s="79"/>
      <c r="AL115" s="169">
        <f>IF(AU115=0,0,IFERROR(INDEX(RanglisteST1!K:K,MATCH(AU115,RanglisteST1!A:A,0)),0))</f>
        <v>171.66999816894531</v>
      </c>
      <c r="AM115" s="169">
        <f>IF(AU115=0,0,SUMIF(AU111:AU119,AU115,AV111:AV119))</f>
        <v>660</v>
      </c>
      <c r="AN115" s="169">
        <f>IF(AU115=0,0,SUMIF(AU111:AU119,AU115,AW111:AW119))</f>
        <v>4</v>
      </c>
      <c r="AO115" s="169">
        <f t="shared" si="109"/>
        <v>165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10"/>
        <v>38714</v>
      </c>
      <c r="AV115" s="167">
        <f t="shared" si="123"/>
        <v>345</v>
      </c>
      <c r="AW115" s="169">
        <f t="shared" si="111"/>
        <v>2</v>
      </c>
      <c r="AX115" s="169">
        <f t="shared" si="112"/>
        <v>2</v>
      </c>
      <c r="AY115" s="169" t="str">
        <f t="shared" si="124"/>
        <v/>
      </c>
      <c r="AZ115" s="169" t="str">
        <f t="shared" si="113"/>
        <v/>
      </c>
      <c r="BA115" s="169" t="str">
        <f t="shared" si="114"/>
        <v/>
      </c>
      <c r="BB115" s="169">
        <f t="shared" si="115"/>
        <v>174</v>
      </c>
      <c r="BC115" s="169">
        <f t="shared" si="116"/>
        <v>171</v>
      </c>
      <c r="BD115" s="170"/>
      <c r="BE115" s="168"/>
      <c r="BF115" s="169">
        <f t="shared" si="117"/>
        <v>174</v>
      </c>
      <c r="BG115" s="169">
        <f t="shared" si="118"/>
        <v>0</v>
      </c>
      <c r="BH115" s="169" t="str">
        <f t="shared" si="125"/>
        <v>Berchtesgaden 1</v>
      </c>
      <c r="BI115" s="168">
        <f t="shared" si="119"/>
        <v>2</v>
      </c>
      <c r="BJ115" s="169">
        <f t="shared" si="120"/>
        <v>345</v>
      </c>
      <c r="BK115" s="169">
        <f>IF(COUNTIF(AY115:BC115,"&gt;0")&lt;Spielorte!$A$23,0,AV115/Spielorte!$A$23)</f>
        <v>0</v>
      </c>
      <c r="BL115" s="169">
        <f t="shared" si="121"/>
        <v>0</v>
      </c>
      <c r="BM115" s="168">
        <f t="shared" si="122"/>
        <v>0</v>
      </c>
    </row>
    <row r="116" spans="1:65" ht="16.95" customHeight="1" thickBot="1">
      <c r="A116" s="405"/>
      <c r="B116" s="60" t="str">
        <f>IF(C116=0,"",VLOOKUP(C116,Starter!$A$1:$D$196,2,FALSE))</f>
        <v/>
      </c>
      <c r="C116" s="236"/>
      <c r="D116" s="223">
        <f t="shared" si="101"/>
        <v>0</v>
      </c>
      <c r="E116" s="224"/>
      <c r="F116" s="242">
        <f t="shared" si="102"/>
        <v>0</v>
      </c>
      <c r="G116" s="430"/>
      <c r="H116" s="224"/>
      <c r="I116" s="242">
        <f t="shared" si="103"/>
        <v>0</v>
      </c>
      <c r="J116" s="430"/>
      <c r="K116" s="224"/>
      <c r="L116" s="242">
        <f t="shared" si="104"/>
        <v>0</v>
      </c>
      <c r="M116" s="430"/>
      <c r="N116" s="224"/>
      <c r="O116" s="242">
        <f t="shared" si="105"/>
        <v>0</v>
      </c>
      <c r="P116" s="430"/>
      <c r="Q116" s="224"/>
      <c r="R116" s="242">
        <f t="shared" si="106"/>
        <v>0</v>
      </c>
      <c r="S116" s="430"/>
      <c r="T116" s="224">
        <f t="shared" si="107"/>
        <v>0</v>
      </c>
      <c r="U116" s="242">
        <f t="shared" si="108"/>
        <v>0</v>
      </c>
      <c r="V116" s="402"/>
      <c r="W116" s="79"/>
      <c r="X116" s="79"/>
      <c r="Y116" s="79"/>
      <c r="Z116" s="79"/>
      <c r="AA116" s="79"/>
      <c r="AB116" s="79"/>
      <c r="AL116" s="169">
        <f>IF(AU116=0,0,IFERROR(INDEX(RanglisteST1!K:K,MATCH(AU116,RanglisteST1!A:A,0)),0))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9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10"/>
        <v>0</v>
      </c>
      <c r="AV116" s="167">
        <f t="shared" si="123"/>
        <v>0</v>
      </c>
      <c r="AW116" s="169">
        <f t="shared" si="111"/>
        <v>0</v>
      </c>
      <c r="AX116" s="169">
        <f t="shared" si="112"/>
        <v>0</v>
      </c>
      <c r="AY116" s="169" t="str">
        <f t="shared" si="124"/>
        <v/>
      </c>
      <c r="AZ116" s="169" t="str">
        <f t="shared" si="113"/>
        <v/>
      </c>
      <c r="BA116" s="169" t="str">
        <f t="shared" si="114"/>
        <v/>
      </c>
      <c r="BB116" s="169" t="str">
        <f t="shared" si="115"/>
        <v/>
      </c>
      <c r="BC116" s="169" t="str">
        <f t="shared" si="116"/>
        <v/>
      </c>
      <c r="BD116" s="170"/>
      <c r="BE116" s="168"/>
      <c r="BF116" s="169">
        <f t="shared" si="117"/>
        <v>0</v>
      </c>
      <c r="BG116" s="169">
        <f t="shared" si="118"/>
        <v>0</v>
      </c>
      <c r="BH116" s="169" t="str">
        <f t="shared" si="125"/>
        <v>Berchtesgaden 1</v>
      </c>
      <c r="BI116" s="168">
        <f t="shared" si="119"/>
        <v>2</v>
      </c>
      <c r="BJ116" s="169">
        <f t="shared" si="120"/>
        <v>0</v>
      </c>
      <c r="BK116" s="169">
        <f>IF(COUNTIF(AY116:BC116,"&gt;0")&lt;Spielorte!$A$23,0,AV116/Spielorte!$A$23)</f>
        <v>0</v>
      </c>
      <c r="BL116" s="169">
        <f t="shared" si="121"/>
        <v>0</v>
      </c>
      <c r="BM116" s="168">
        <f t="shared" si="122"/>
        <v>0</v>
      </c>
    </row>
    <row r="117" spans="1:65" ht="16.95" customHeight="1">
      <c r="A117" s="403" t="s">
        <v>3</v>
      </c>
      <c r="B117" s="58" t="str">
        <f>IF(C117=0,"",VLOOKUP(C117,Starter!$A$1:$D$196,2,FALSE))</f>
        <v>Pittner, Gregor</v>
      </c>
      <c r="C117" s="235">
        <v>38819</v>
      </c>
      <c r="D117" s="238">
        <f t="shared" si="101"/>
        <v>36</v>
      </c>
      <c r="E117" s="221">
        <v>119</v>
      </c>
      <c r="F117" s="240">
        <f t="shared" si="102"/>
        <v>155</v>
      </c>
      <c r="G117" s="428">
        <f>IF(SUM(F117:F119)+E128=0,0,IF(ABS(SUM(F117:F119))=E128,Spielorte!$A$30/2,IF(ABS(SUM(F117:F119))&gt;E128,Spielorte!$A$30,0)))</f>
        <v>1</v>
      </c>
      <c r="H117" s="221"/>
      <c r="I117" s="240">
        <f t="shared" si="103"/>
        <v>0</v>
      </c>
      <c r="J117" s="428">
        <f>IF(SUM(I117:I119)+H128=0,0,IF(ABS(SUM(I117:I119))=H128,Spielorte!$A$30/2,IF(ABS(SUM(I117:I119))&gt;H128,Spielorte!$A$30,0)))</f>
        <v>0</v>
      </c>
      <c r="K117" s="221"/>
      <c r="L117" s="240">
        <f t="shared" si="104"/>
        <v>0</v>
      </c>
      <c r="M117" s="428">
        <f>IF(SUM(L117:L119)+K128=0,0,IF(ABS(SUM(L117:L119))=K128,Spielorte!$A$30/2,IF(ABS(SUM(L117:L119))&gt;K128,Spielorte!$A$30,0)))</f>
        <v>1</v>
      </c>
      <c r="N117" s="221"/>
      <c r="O117" s="240">
        <f t="shared" si="105"/>
        <v>0</v>
      </c>
      <c r="P117" s="428">
        <f>IF(SUM(O117:O119)+N128=0,0,IF(ABS(SUM(O117:O119))=N128,Spielorte!$A$30/2,IF(ABS(SUM(O117:O119))&gt;N128,Spielorte!$A$30,0)))</f>
        <v>1</v>
      </c>
      <c r="Q117" s="221"/>
      <c r="R117" s="240">
        <f t="shared" si="106"/>
        <v>0</v>
      </c>
      <c r="S117" s="428">
        <f>IF(SUM(R117:R119)+Q128=0,0,IF(ABS(SUM(R117:R119))=Q128,Spielorte!$A$30/2,IF(ABS(SUM(R117:R119))&gt;Q128,Spielorte!$A$30,0)))</f>
        <v>0</v>
      </c>
      <c r="T117" s="221">
        <f t="shared" si="107"/>
        <v>119</v>
      </c>
      <c r="U117" s="240">
        <f t="shared" si="108"/>
        <v>155</v>
      </c>
      <c r="V117" s="400">
        <f>SUM(G117+J117+M117+P117+S117)</f>
        <v>3</v>
      </c>
      <c r="W117" s="79"/>
      <c r="X117" s="79"/>
      <c r="Y117" s="79"/>
      <c r="Z117" s="79"/>
      <c r="AA117" s="79"/>
      <c r="AB117" s="79"/>
      <c r="AL117" s="169">
        <f>IF(AU117=0,0,IFERROR(INDEX(RanglisteST1!K:K,MATCH(AU117,RanglisteST1!A:A,0)),0))</f>
        <v>0</v>
      </c>
      <c r="AM117" s="169">
        <f>IF(AU117=0,0,SUMIF(AU111:AU119,AU117,AV111:AV119))</f>
        <v>344</v>
      </c>
      <c r="AN117" s="169">
        <f>IF(AU117=0,0,SUMIF(AU111:AU119,AU117,AW111:AW119))</f>
        <v>3</v>
      </c>
      <c r="AO117" s="169">
        <f t="shared" si="109"/>
        <v>114.66666666666667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36</v>
      </c>
      <c r="AQ117" s="166"/>
      <c r="AR117" s="167"/>
      <c r="AS117" s="167"/>
      <c r="AT117" s="168"/>
      <c r="AU117" s="171">
        <f t="shared" si="110"/>
        <v>38819</v>
      </c>
      <c r="AV117" s="167">
        <f t="shared" si="123"/>
        <v>119</v>
      </c>
      <c r="AW117" s="169">
        <f t="shared" si="111"/>
        <v>1</v>
      </c>
      <c r="AX117" s="169">
        <f t="shared" si="112"/>
        <v>1</v>
      </c>
      <c r="AY117" s="169">
        <f t="shared" si="124"/>
        <v>119</v>
      </c>
      <c r="AZ117" s="169" t="str">
        <f t="shared" si="113"/>
        <v/>
      </c>
      <c r="BA117" s="169" t="str">
        <f t="shared" si="114"/>
        <v/>
      </c>
      <c r="BB117" s="169" t="str">
        <f t="shared" si="115"/>
        <v/>
      </c>
      <c r="BC117" s="169" t="str">
        <f t="shared" si="116"/>
        <v/>
      </c>
      <c r="BD117" s="170"/>
      <c r="BE117" s="168"/>
      <c r="BF117" s="169">
        <f t="shared" si="117"/>
        <v>119</v>
      </c>
      <c r="BG117" s="169">
        <f t="shared" si="118"/>
        <v>0</v>
      </c>
      <c r="BH117" s="169" t="str">
        <f t="shared" si="125"/>
        <v>Berchtesgaden 1</v>
      </c>
      <c r="BI117" s="168">
        <f t="shared" si="119"/>
        <v>2</v>
      </c>
      <c r="BJ117" s="169">
        <f t="shared" si="120"/>
        <v>119</v>
      </c>
      <c r="BK117" s="169">
        <f>IF(COUNTIF(AY117:BC117,"&gt;0")&lt;Spielorte!$A$23,0,AV117/Spielorte!$A$23)</f>
        <v>0</v>
      </c>
      <c r="BL117" s="169">
        <f t="shared" si="121"/>
        <v>0</v>
      </c>
      <c r="BM117" s="168">
        <f t="shared" si="122"/>
        <v>0</v>
      </c>
    </row>
    <row r="118" spans="1:65" ht="16.95" customHeight="1">
      <c r="A118" s="404"/>
      <c r="B118" s="58" t="str">
        <f>IF(C118=0,"",VLOOKUP(C118,Starter!$A$1:$D$196,2,FALSE))</f>
        <v>Labs, Leon</v>
      </c>
      <c r="C118" s="233">
        <v>38865</v>
      </c>
      <c r="D118" s="239">
        <f t="shared" si="101"/>
        <v>38</v>
      </c>
      <c r="E118" s="222"/>
      <c r="F118" s="241">
        <f t="shared" si="102"/>
        <v>0</v>
      </c>
      <c r="G118" s="429"/>
      <c r="H118" s="222">
        <v>125</v>
      </c>
      <c r="I118" s="241">
        <f t="shared" si="103"/>
        <v>163</v>
      </c>
      <c r="J118" s="429"/>
      <c r="K118" s="222">
        <v>139</v>
      </c>
      <c r="L118" s="241">
        <f t="shared" si="104"/>
        <v>177</v>
      </c>
      <c r="M118" s="429"/>
      <c r="N118" s="222">
        <v>112</v>
      </c>
      <c r="O118" s="241">
        <f t="shared" si="105"/>
        <v>150</v>
      </c>
      <c r="P118" s="429"/>
      <c r="Q118" s="222">
        <v>97</v>
      </c>
      <c r="R118" s="241">
        <f t="shared" si="106"/>
        <v>135</v>
      </c>
      <c r="S118" s="429"/>
      <c r="T118" s="222">
        <f t="shared" si="107"/>
        <v>473</v>
      </c>
      <c r="U118" s="241">
        <f t="shared" si="108"/>
        <v>625</v>
      </c>
      <c r="V118" s="401"/>
      <c r="W118" s="79"/>
      <c r="X118" s="79"/>
      <c r="Y118" s="79"/>
      <c r="Z118" s="79"/>
      <c r="AA118" s="79"/>
      <c r="AB118" s="79"/>
      <c r="AL118" s="169">
        <f>IF(AU118=0,0,IFERROR(INDEX(RanglisteST1!K:K,MATCH(AU118,RanglisteST1!A:A,0)),0))</f>
        <v>112.25</v>
      </c>
      <c r="AM118" s="169">
        <f>IF(AU118=0,0,SUMIF(AU111:AU119,AU118,AV111:AV119))</f>
        <v>473</v>
      </c>
      <c r="AN118" s="169">
        <f>IF(AU118=0,0,SUMIF(AU111:AU119,AU118,AW111:AW119))</f>
        <v>4</v>
      </c>
      <c r="AO118" s="169">
        <f t="shared" si="109"/>
        <v>118.25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38</v>
      </c>
      <c r="AQ118" s="166"/>
      <c r="AR118" s="167"/>
      <c r="AS118" s="167"/>
      <c r="AT118" s="168"/>
      <c r="AU118" s="171">
        <f t="shared" si="110"/>
        <v>38865</v>
      </c>
      <c r="AV118" s="167">
        <f t="shared" si="123"/>
        <v>473</v>
      </c>
      <c r="AW118" s="169">
        <f t="shared" si="111"/>
        <v>4</v>
      </c>
      <c r="AX118" s="169">
        <f t="shared" si="112"/>
        <v>4</v>
      </c>
      <c r="AY118" s="169" t="str">
        <f t="shared" si="124"/>
        <v/>
      </c>
      <c r="AZ118" s="169">
        <f t="shared" si="113"/>
        <v>125</v>
      </c>
      <c r="BA118" s="169">
        <f t="shared" si="114"/>
        <v>139</v>
      </c>
      <c r="BB118" s="169">
        <f t="shared" si="115"/>
        <v>112</v>
      </c>
      <c r="BC118" s="169">
        <f t="shared" si="116"/>
        <v>97</v>
      </c>
      <c r="BD118" s="170"/>
      <c r="BE118" s="168"/>
      <c r="BF118" s="169">
        <f t="shared" si="117"/>
        <v>139</v>
      </c>
      <c r="BG118" s="169">
        <f t="shared" si="118"/>
        <v>0</v>
      </c>
      <c r="BH118" s="169" t="str">
        <f t="shared" si="125"/>
        <v>Berchtesgaden 1</v>
      </c>
      <c r="BI118" s="168">
        <f t="shared" si="119"/>
        <v>2</v>
      </c>
      <c r="BJ118" s="169">
        <f t="shared" si="120"/>
        <v>473</v>
      </c>
      <c r="BK118" s="169">
        <f>IF(COUNTIF(AY118:BC118,"&gt;0")&lt;Spielorte!$A$23,0,AV118/Spielorte!$A$23)</f>
        <v>0</v>
      </c>
      <c r="BL118" s="169">
        <f t="shared" si="121"/>
        <v>0</v>
      </c>
      <c r="BM118" s="168">
        <f t="shared" si="122"/>
        <v>0</v>
      </c>
    </row>
    <row r="119" spans="1:65" ht="16.95" customHeight="1" thickBot="1">
      <c r="A119" s="405"/>
      <c r="B119" s="60" t="str">
        <f>IF(C119=0,"",VLOOKUP(C119,Starter!$A$1:$D$196,2,FALSE))</f>
        <v/>
      </c>
      <c r="C119" s="236"/>
      <c r="D119" s="223">
        <f t="shared" si="101"/>
        <v>0</v>
      </c>
      <c r="E119" s="224"/>
      <c r="F119" s="242">
        <f t="shared" si="102"/>
        <v>0</v>
      </c>
      <c r="G119" s="430"/>
      <c r="H119" s="224"/>
      <c r="I119" s="242">
        <f t="shared" si="103"/>
        <v>0</v>
      </c>
      <c r="J119" s="430"/>
      <c r="K119" s="224"/>
      <c r="L119" s="242">
        <f t="shared" si="104"/>
        <v>0</v>
      </c>
      <c r="M119" s="430"/>
      <c r="N119" s="224"/>
      <c r="O119" s="242">
        <f t="shared" si="105"/>
        <v>0</v>
      </c>
      <c r="P119" s="430"/>
      <c r="Q119" s="224"/>
      <c r="R119" s="242">
        <f t="shared" si="106"/>
        <v>0</v>
      </c>
      <c r="S119" s="430"/>
      <c r="T119" s="224">
        <f t="shared" si="107"/>
        <v>0</v>
      </c>
      <c r="U119" s="242">
        <f t="shared" si="108"/>
        <v>0</v>
      </c>
      <c r="V119" s="402"/>
      <c r="W119" s="79"/>
      <c r="X119" s="79"/>
      <c r="Y119" s="79"/>
      <c r="Z119" s="79"/>
      <c r="AA119" s="79"/>
      <c r="AB119" s="79"/>
      <c r="AL119" s="169">
        <f>IF(AU119=0,0,IFERROR(INDEX(RanglisteST1!K:K,MATCH(AU119,RanglisteST1!A:A,0)),0))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9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10"/>
        <v>0</v>
      </c>
      <c r="AV119" s="167">
        <f t="shared" si="123"/>
        <v>0</v>
      </c>
      <c r="AW119" s="169">
        <f t="shared" si="111"/>
        <v>0</v>
      </c>
      <c r="AX119" s="169">
        <f t="shared" si="112"/>
        <v>0</v>
      </c>
      <c r="AY119" s="169" t="str">
        <f t="shared" si="124"/>
        <v/>
      </c>
      <c r="AZ119" s="169" t="str">
        <f t="shared" si="113"/>
        <v/>
      </c>
      <c r="BA119" s="169" t="str">
        <f t="shared" si="114"/>
        <v/>
      </c>
      <c r="BB119" s="169" t="str">
        <f t="shared" si="115"/>
        <v/>
      </c>
      <c r="BC119" s="169" t="str">
        <f t="shared" si="116"/>
        <v/>
      </c>
      <c r="BD119" s="170"/>
      <c r="BE119" s="168"/>
      <c r="BF119" s="169">
        <f t="shared" si="117"/>
        <v>0</v>
      </c>
      <c r="BG119" s="169">
        <f t="shared" si="118"/>
        <v>0</v>
      </c>
      <c r="BH119" s="169" t="str">
        <f t="shared" si="125"/>
        <v>Berchtesgaden 1</v>
      </c>
      <c r="BI119" s="168">
        <f t="shared" si="119"/>
        <v>2</v>
      </c>
      <c r="BJ119" s="169">
        <f t="shared" si="120"/>
        <v>0</v>
      </c>
      <c r="BK119" s="169">
        <f>IF(COUNTIF(AY119:BC119,"&gt;0")&lt;Spielorte!$A$23,0,AV119/Spielorte!$A$23)</f>
        <v>0</v>
      </c>
      <c r="BL119" s="169">
        <f t="shared" si="121"/>
        <v>0</v>
      </c>
      <c r="BM119" s="168">
        <f t="shared" si="122"/>
        <v>0</v>
      </c>
    </row>
    <row r="120" spans="1:65" ht="27.75" customHeight="1" thickBot="1">
      <c r="B120" s="218" t="s">
        <v>1792</v>
      </c>
      <c r="C120" s="204"/>
      <c r="D120" s="219"/>
      <c r="E120" s="226">
        <f>ABS(SUM(E111:E113))+ABS(SUM(E114:E116))+ABS(SUM(E117:E119))</f>
        <v>417</v>
      </c>
      <c r="F120" s="225">
        <f>ABS(SUM(F111:F113))+ABS(SUM(F114:F116))+ABS(SUM(F117:F119))</f>
        <v>475</v>
      </c>
      <c r="G120" s="81">
        <f>IF(F120+E129=0,0,IF(F120=E129,Spielorte!$A$31/2,IF(F120&gt;E129,Spielorte!$A$31,0)))</f>
        <v>2</v>
      </c>
      <c r="H120" s="226">
        <f>ABS(SUM(H111:H113))+ABS(SUM(H114:H116))+ABS(SUM(H117:H119))</f>
        <v>377</v>
      </c>
      <c r="I120" s="225">
        <f>ABS(SUM(I111:I113))+ABS(SUM(I114:I116))+ABS(SUM(I117:I119))</f>
        <v>437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390</v>
      </c>
      <c r="L120" s="225">
        <f>ABS(SUM(L111:L113))+ABS(SUM(L114:L116))+ABS(SUM(L117:L119))</f>
        <v>486</v>
      </c>
      <c r="M120" s="81">
        <f>IF(L120+K129=0,0,IF(L120=K129,Spielorte!$A$31/2,IF(L120&gt;K129,Spielorte!$A$31,0)))</f>
        <v>2</v>
      </c>
      <c r="N120" s="226">
        <f>ABS(SUM(N111:N113))+ABS(SUM(N114:N116))+ABS(SUM(N117:N119))</f>
        <v>398</v>
      </c>
      <c r="O120" s="225">
        <f>ABS(SUM(O111:O113))+ABS(SUM(O114:O116))+ABS(SUM(O117:O119))</f>
        <v>472</v>
      </c>
      <c r="P120" s="81">
        <f>IF(O120+N129=0,0,IF(O120=N129,Spielorte!$A$31/2,IF(O120&gt;N129,Spielorte!$A$31,0)))</f>
        <v>2</v>
      </c>
      <c r="Q120" s="226">
        <f>ABS(SUM(Q111:Q113))+ABS(SUM(Q114:Q116))+ABS(SUM(Q117:Q119))</f>
        <v>425</v>
      </c>
      <c r="R120" s="225">
        <f>ABS(SUM(R111:R113))+ABS(SUM(R114:R116))+ABS(SUM(R117:R119))</f>
        <v>485</v>
      </c>
      <c r="S120" s="81">
        <f>IF(R120+Q129=0,0,IF(R120=Q129,Spielorte!$A$31/2,IF(R120&gt;Q129,Spielorte!$A$31,0)))</f>
        <v>2</v>
      </c>
      <c r="T120" s="228">
        <f>SUM(E120+H120+K120+N120+Q120)</f>
        <v>2007</v>
      </c>
      <c r="U120" s="229">
        <f>SUM(F120+I120+L120+O120+R120)</f>
        <v>2355</v>
      </c>
      <c r="V120" s="12">
        <f>SUM(G120+J120+M120+P120+S120)</f>
        <v>8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>
      <c r="B121" s="230" t="s">
        <v>1803</v>
      </c>
      <c r="C121" s="1"/>
      <c r="D121" s="1"/>
      <c r="E121" s="1"/>
      <c r="F121" s="1"/>
      <c r="G121" s="61">
        <f>SUM(G111:G120)</f>
        <v>5</v>
      </c>
      <c r="H121" s="1"/>
      <c r="I121" s="1"/>
      <c r="J121" s="61">
        <f>SUM(J111:J120)</f>
        <v>0</v>
      </c>
      <c r="K121" s="1"/>
      <c r="L121" s="1"/>
      <c r="M121" s="61">
        <f>SUM(M111:M120)</f>
        <v>5</v>
      </c>
      <c r="N121" s="1"/>
      <c r="O121" s="1"/>
      <c r="P121" s="61">
        <f>SUM(P111:P120)</f>
        <v>4</v>
      </c>
      <c r="Q121" s="1"/>
      <c r="R121" s="1"/>
      <c r="S121" s="61">
        <f>SUM(S111:S120)</f>
        <v>4</v>
      </c>
      <c r="T121" s="1"/>
      <c r="U121" s="1"/>
      <c r="V121" s="61">
        <f>SUM(V111:V120)</f>
        <v>18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18</v>
      </c>
      <c r="AR121" s="167">
        <f>+T120</f>
        <v>2007</v>
      </c>
      <c r="AS121" s="167">
        <f>+U120</f>
        <v>2355</v>
      </c>
      <c r="AT121" s="168">
        <f>+B106</f>
        <v>5</v>
      </c>
      <c r="AW121" s="169">
        <f>SUM(AW105:AW120)</f>
        <v>15</v>
      </c>
      <c r="BD121" s="166">
        <f>+AS121/1000000+AQ121+AR121/1000000000000</f>
        <v>18.002355002007</v>
      </c>
      <c r="BE121" s="168">
        <f>RANK(BD121,BD:BD)</f>
        <v>2</v>
      </c>
      <c r="BI121" s="168"/>
      <c r="BM121" s="168"/>
    </row>
    <row r="122" spans="1:65" ht="11.25" customHeight="1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>
      <c r="B123" s="231" t="s">
        <v>1790</v>
      </c>
      <c r="C123" s="210"/>
      <c r="D123" s="42"/>
      <c r="E123" s="434">
        <f>VLOOKUP($B106,Schlüssel!$A$5:$EK$12,3)</f>
        <v>6</v>
      </c>
      <c r="F123" s="435"/>
      <c r="G123" s="436"/>
      <c r="H123" s="434">
        <f>VLOOKUP($B106,Schlüssel!$A$5:$EK$12,4)</f>
        <v>7</v>
      </c>
      <c r="I123" s="435"/>
      <c r="J123" s="436"/>
      <c r="K123" s="434">
        <f>VLOOKUP($B106,Schlüssel!$A$5:$EK$12,5)</f>
        <v>4</v>
      </c>
      <c r="L123" s="435"/>
      <c r="M123" s="436"/>
      <c r="N123" s="434">
        <f>VLOOKUP($B106,Schlüssel!$A$5:$EK$12,6)</f>
        <v>1</v>
      </c>
      <c r="O123" s="435"/>
      <c r="P123" s="436"/>
      <c r="Q123" s="434">
        <f>VLOOKUP($B106,Schlüssel!$A$5:$EK$12,7)</f>
        <v>2</v>
      </c>
      <c r="R123" s="435"/>
      <c r="S123" s="436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>
      <c r="B124" s="3" t="s">
        <v>9</v>
      </c>
      <c r="C124" s="1"/>
      <c r="D124" s="1"/>
      <c r="E124" s="395" t="str">
        <f>VLOOKUP(E123,Schlüssel!$A$5:$K$12,2)</f>
        <v>Bowling Jugend Bayern 1</v>
      </c>
      <c r="F124" s="438"/>
      <c r="G124" s="396"/>
      <c r="H124" s="395" t="str">
        <f>VLOOKUP(H123,Schlüssel!$A$5:$K$12,2)</f>
        <v>BK München 1</v>
      </c>
      <c r="I124" s="438"/>
      <c r="J124" s="396"/>
      <c r="K124" s="395" t="str">
        <f>VLOOKUP(K123,Schlüssel!$A$5:$K$12,2)</f>
        <v>Highroller Rosenheim 3</v>
      </c>
      <c r="L124" s="438"/>
      <c r="M124" s="396"/>
      <c r="N124" s="395" t="str">
        <f>VLOOKUP(N123,Schlüssel!$A$5:$K$12,2)</f>
        <v>Bad Tölz 1</v>
      </c>
      <c r="O124" s="438"/>
      <c r="P124" s="396"/>
      <c r="Q124" s="395" t="str">
        <f>VLOOKUP(Q123,Schlüssel!$A$5:$K$12,2)</f>
        <v>Highroller Rosenheim 1</v>
      </c>
      <c r="R124" s="438"/>
      <c r="S124" s="396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" customHeight="1">
      <c r="B126" s="417" t="s">
        <v>2275</v>
      </c>
      <c r="C126" s="418"/>
      <c r="D126" s="419"/>
      <c r="E126" s="431">
        <f>ABS(INDEX(F:F,MATCH(E123,$B:$B,0)+5)+INDEX(F:F,MATCH(E123,$B:$B,0)+6)+INDEX(F:F,MATCH(E123,$B:$B,0)+7))</f>
        <v>142</v>
      </c>
      <c r="F126" s="432"/>
      <c r="G126" s="433"/>
      <c r="H126" s="431">
        <f>ABS(INDEX(I:I,MATCH(H123,$B:$B,0)+5)+INDEX(I:I,MATCH(H123,$B:$B,0)+6)+INDEX(I:I,MATCH(H123,$B:$B,0)+7))</f>
        <v>238</v>
      </c>
      <c r="I126" s="432"/>
      <c r="J126" s="433"/>
      <c r="K126" s="431">
        <f>ABS(INDEX(L:L,MATCH(K123,$B:$B,0)+5)+INDEX(L:L,MATCH(K123,$B:$B,0)+6)+INDEX(L:L,MATCH(K123,$B:$B,0)+7))</f>
        <v>147</v>
      </c>
      <c r="L126" s="432"/>
      <c r="M126" s="433"/>
      <c r="N126" s="431">
        <f>ABS(INDEX(O:O,MATCH(N123,$B:$B,0)+5)+INDEX(O:O,MATCH(N123,$B:$B,0)+6)+INDEX(O:O,MATCH(N123,$B:$B,0)+7))</f>
        <v>187</v>
      </c>
      <c r="O126" s="432"/>
      <c r="P126" s="433"/>
      <c r="Q126" s="431">
        <f>ABS(INDEX(R:R,MATCH(Q123,$B:$B,0)+5)+INDEX(R:R,MATCH(Q123,$B:$B,0)+6)+INDEX(R:R,MATCH(Q123,$B:$B,0)+7))</f>
        <v>158</v>
      </c>
      <c r="R126" s="432"/>
      <c r="S126" s="433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" customHeight="1">
      <c r="B127" s="417" t="s">
        <v>2276</v>
      </c>
      <c r="C127" s="418"/>
      <c r="D127" s="419"/>
      <c r="E127" s="424">
        <f>ABS(INDEX(F:F,MATCH(E123,$B:$B,0)+8)+INDEX(F:F,MATCH(E123,$B:$B,0)+9)+INDEX(F:F,MATCH(E123,$B:$B,0)+10))</f>
        <v>141</v>
      </c>
      <c r="F127" s="425"/>
      <c r="G127" s="426"/>
      <c r="H127" s="424">
        <f>ABS(INDEX(I:I,MATCH(H123,$B:$B,0)+8)+INDEX(I:I,MATCH(H123,$B:$B,0)+9)+INDEX(I:I,MATCH(H123,$B:$B,0)+10))</f>
        <v>171</v>
      </c>
      <c r="I127" s="425"/>
      <c r="J127" s="426"/>
      <c r="K127" s="424">
        <f>ABS(INDEX(L:L,MATCH(K123,$B:$B,0)+8)+INDEX(L:L,MATCH(K123,$B:$B,0)+9)+INDEX(L:L,MATCH(K123,$B:$B,0)+10))</f>
        <v>121</v>
      </c>
      <c r="L127" s="425"/>
      <c r="M127" s="426"/>
      <c r="N127" s="424">
        <f>ABS(INDEX(O:O,MATCH(N123,$B:$B,0)+8)+INDEX(O:O,MATCH(N123,$B:$B,0)+9)+INDEX(O:O,MATCH(N123,$B:$B,0)+10))</f>
        <v>160</v>
      </c>
      <c r="O127" s="425"/>
      <c r="P127" s="426"/>
      <c r="Q127" s="424">
        <f>ABS(INDEX(R:R,MATCH(Q123,$B:$B,0)+8)+INDEX(R:R,MATCH(Q123,$B:$B,0)+9)+INDEX(R:R,MATCH(Q123,$B:$B,0)+10))</f>
        <v>137</v>
      </c>
      <c r="R127" s="425"/>
      <c r="S127" s="426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" customHeight="1">
      <c r="B128" s="417" t="s">
        <v>2277</v>
      </c>
      <c r="C128" s="418"/>
      <c r="D128" s="419"/>
      <c r="E128" s="424">
        <f>ABS(INDEX(F:F,MATCH(E123,$B:$B,0)+11)+INDEX(F:F,MATCH(E123,$B:$B,0)+12)+INDEX(F:F,MATCH(E123,$B:$B,0)+13))</f>
        <v>132</v>
      </c>
      <c r="F128" s="425"/>
      <c r="G128" s="426"/>
      <c r="H128" s="424">
        <f>ABS(INDEX(I:I,MATCH(H123,$B:$B,0)+11)+INDEX(I:I,MATCH(H123,$B:$B,0)+12)+INDEX(I:I,MATCH(H123,$B:$B,0)+13))</f>
        <v>192</v>
      </c>
      <c r="I128" s="425"/>
      <c r="J128" s="426"/>
      <c r="K128" s="424">
        <f>ABS(INDEX(L:L,MATCH(K123,$B:$B,0)+11)+INDEX(L:L,MATCH(K123,$B:$B,0)+12)+INDEX(L:L,MATCH(K123,$B:$B,0)+13))</f>
        <v>138</v>
      </c>
      <c r="L128" s="425"/>
      <c r="M128" s="426"/>
      <c r="N128" s="424">
        <f>ABS(INDEX(O:O,MATCH(N123,$B:$B,0)+11)+INDEX(O:O,MATCH(N123,$B:$B,0)+12)+INDEX(O:O,MATCH(N123,$B:$B,0)+13))</f>
        <v>0</v>
      </c>
      <c r="O128" s="425"/>
      <c r="P128" s="426"/>
      <c r="Q128" s="424">
        <f>ABS(INDEX(R:R,MATCH(Q123,$B:$B,0)+11)+INDEX(R:R,MATCH(Q123,$B:$B,0)+12)+INDEX(R:R,MATCH(Q123,$B:$B,0)+13))</f>
        <v>152</v>
      </c>
      <c r="R128" s="425"/>
      <c r="S128" s="426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" customHeight="1">
      <c r="B129" s="420" t="s">
        <v>2278</v>
      </c>
      <c r="C129" s="421"/>
      <c r="D129" s="422"/>
      <c r="E129" s="407">
        <f>SUM(E126:E128)</f>
        <v>415</v>
      </c>
      <c r="F129" s="423"/>
      <c r="G129" s="408"/>
      <c r="H129" s="407">
        <f>SUM(H126:H128)</f>
        <v>601</v>
      </c>
      <c r="I129" s="423"/>
      <c r="J129" s="408"/>
      <c r="K129" s="407">
        <f>SUM(K126:K128)</f>
        <v>406</v>
      </c>
      <c r="L129" s="423"/>
      <c r="M129" s="408"/>
      <c r="N129" s="407">
        <f>SUM(N126:N128)</f>
        <v>347</v>
      </c>
      <c r="O129" s="423"/>
      <c r="P129" s="408"/>
      <c r="Q129" s="407">
        <f>SUM(Q126:Q128)</f>
        <v>447</v>
      </c>
      <c r="R129" s="423"/>
      <c r="S129" s="408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>
      <c r="A131" s="255"/>
      <c r="B131" s="7" t="s">
        <v>1802</v>
      </c>
      <c r="C131" s="24"/>
      <c r="D131" s="24"/>
      <c r="E131" s="35" t="s">
        <v>1786</v>
      </c>
      <c r="F131" s="35"/>
      <c r="G131" s="427" t="str">
        <f>Schlüssel!$C$1</f>
        <v>Landesliga Jugend</v>
      </c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  <c r="S131" s="406">
        <f>Schlüssel!$M$1</f>
        <v>45211</v>
      </c>
      <c r="T131" s="406"/>
      <c r="U131" s="406"/>
      <c r="V131" s="406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>
      <c r="A132" s="53"/>
      <c r="B132" s="54">
        <v>6</v>
      </c>
      <c r="E132" s="35" t="s">
        <v>1787</v>
      </c>
      <c r="F132" s="35"/>
      <c r="G132" s="413" t="str">
        <f>Schlüssel!$C$2</f>
        <v>Brunnthal Max Munich</v>
      </c>
      <c r="H132" s="413"/>
      <c r="I132" s="413"/>
      <c r="J132" s="413"/>
      <c r="K132" s="413"/>
      <c r="L132" s="413"/>
      <c r="M132" s="413"/>
      <c r="N132" s="413"/>
      <c r="O132" s="413"/>
      <c r="P132" s="66"/>
      <c r="Q132" s="411" t="s">
        <v>1785</v>
      </c>
      <c r="R132" s="412"/>
      <c r="S132" s="38">
        <v>1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>
      <c r="B133" s="414" t="str">
        <f>VLOOKUP(B132,Schlüssel!$A$5:$B$12,2)</f>
        <v>Bowling Jugend Bayern 1</v>
      </c>
      <c r="C133" s="415"/>
      <c r="D133" s="415"/>
      <c r="E133" s="415"/>
      <c r="F133" s="415"/>
      <c r="G133" s="416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3.8" hidden="1" thickBot="1">
      <c r="A134" s="6"/>
      <c r="B134" s="7"/>
      <c r="C134" s="43"/>
      <c r="D134" s="43"/>
      <c r="E134" s="162" t="s">
        <v>10</v>
      </c>
      <c r="F134" s="220"/>
      <c r="G134" s="159">
        <f>VLOOKUP($B132,Schlüssel!$A$5:$EK$12,13)</f>
        <v>14</v>
      </c>
      <c r="H134" s="161" t="s">
        <v>10</v>
      </c>
      <c r="I134" s="220"/>
      <c r="J134" s="159">
        <f>VLOOKUP($B132,Schlüssel!$A$5:$EK$12,14)</f>
        <v>9</v>
      </c>
      <c r="K134" s="161" t="s">
        <v>10</v>
      </c>
      <c r="L134" s="220"/>
      <c r="M134" s="159">
        <f>VLOOKUP($B132,Schlüssel!$A$5:$EK$12,15)</f>
        <v>16</v>
      </c>
      <c r="N134" s="161" t="s">
        <v>10</v>
      </c>
      <c r="O134" s="220"/>
      <c r="P134" s="159">
        <f>VLOOKUP($B132,Schlüssel!$A$5:$EK$12,16)</f>
        <v>10</v>
      </c>
      <c r="Q134" s="161" t="s">
        <v>10</v>
      </c>
      <c r="R134" s="220"/>
      <c r="S134" s="160">
        <f>VLOOKUP($B132,Schlüssel!$A$5:$DZ$12,17)</f>
        <v>12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>
      <c r="B135" s="44" t="s">
        <v>1</v>
      </c>
      <c r="C135" s="208"/>
      <c r="D135" s="217"/>
      <c r="E135" s="423" t="s">
        <v>1793</v>
      </c>
      <c r="F135" s="423"/>
      <c r="G135" s="408"/>
      <c r="H135" s="407" t="s">
        <v>1794</v>
      </c>
      <c r="I135" s="423"/>
      <c r="J135" s="408"/>
      <c r="K135" s="407" t="s">
        <v>1795</v>
      </c>
      <c r="L135" s="423"/>
      <c r="M135" s="408"/>
      <c r="N135" s="407" t="s">
        <v>1796</v>
      </c>
      <c r="O135" s="423"/>
      <c r="P135" s="408"/>
      <c r="Q135" s="407" t="s">
        <v>1797</v>
      </c>
      <c r="R135" s="423"/>
      <c r="S135" s="437"/>
      <c r="T135" s="439" t="s">
        <v>1792</v>
      </c>
      <c r="U135" s="440"/>
      <c r="V135" s="410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6.95" customHeight="1">
      <c r="A137" s="403" t="s">
        <v>0</v>
      </c>
      <c r="B137" s="58" t="str">
        <f>IF(C137=0,"",VLOOKUP(C137,Starter!$A$1:$D$196,2,FALSE))</f>
        <v>Bonnaire, Ben</v>
      </c>
      <c r="C137" s="232">
        <v>38927</v>
      </c>
      <c r="D137" s="238">
        <f t="shared" ref="D137:D145" si="126">+AP137</f>
        <v>44</v>
      </c>
      <c r="E137" s="221">
        <v>98</v>
      </c>
      <c r="F137" s="240">
        <f t="shared" ref="F137:F145" si="127">IF(E137&gt;0,E137+$D137,0)</f>
        <v>142</v>
      </c>
      <c r="G137" s="428">
        <f>IF(SUM(F137:F139)+E152=0,0,IF(ABS(SUM(F137:F139))=E152,Spielorte!$A$30/2,IF(ABS(SUM(F137:F139))&gt;E152,Spielorte!$A$30,0)))</f>
        <v>0</v>
      </c>
      <c r="H137" s="221">
        <v>96</v>
      </c>
      <c r="I137" s="240">
        <f t="shared" ref="I137:I145" si="128">IF(H137&gt;0,H137+$D137,0)</f>
        <v>140</v>
      </c>
      <c r="J137" s="428">
        <f>IF(SUM(I137:I139)+H152=0,0,IF(ABS(SUM(I137:I139))=H152,Spielorte!$A$30/2,IF(ABS(SUM(I137:I139))&gt;H152,Spielorte!$A$30,0)))</f>
        <v>0</v>
      </c>
      <c r="K137" s="221">
        <v>88</v>
      </c>
      <c r="L137" s="240">
        <f t="shared" ref="L137:L145" si="129">IF(K137&gt;0,K137+$D137,0)</f>
        <v>132</v>
      </c>
      <c r="M137" s="428">
        <f>IF(SUM(L137:L139)+K152=0,0,IF(ABS(SUM(L137:L139))=K152,Spielorte!$A$30/2,IF(ABS(SUM(L137:L139))&gt;K152,Spielorte!$A$30,0)))</f>
        <v>0</v>
      </c>
      <c r="N137" s="221">
        <v>94</v>
      </c>
      <c r="O137" s="240">
        <f t="shared" ref="O137:O145" si="130">IF(N137&gt;0,N137+$D137,0)</f>
        <v>138</v>
      </c>
      <c r="P137" s="428">
        <f>IF(SUM(O137:O139)+N152=0,0,IF(ABS(SUM(O137:O139))=N152,Spielorte!$A$30/2,IF(ABS(SUM(O137:O139))&gt;N152,Spielorte!$A$30,0)))</f>
        <v>1</v>
      </c>
      <c r="Q137" s="221">
        <v>151</v>
      </c>
      <c r="R137" s="240">
        <f t="shared" ref="R137:R145" si="131">IF(Q137&gt;0,Q137+$D137,0)</f>
        <v>195</v>
      </c>
      <c r="S137" s="428">
        <f>IF(SUM(R137:R139)+Q152=0,0,IF(ABS(SUM(R137:R139))=Q152,Spielorte!$A$30/2,IF(ABS(SUM(R137:R139))&gt;Q152,Spielorte!$A$30,0)))</f>
        <v>1</v>
      </c>
      <c r="T137" s="221">
        <f t="shared" ref="T137:T145" si="132">ABS(SUM(E137:E137))+ABS(SUM(H137:H137))+ABS(SUM(K137:K137))+ABS(SUM(N137:N137))+ABS(SUM(Q137:Q137))</f>
        <v>527</v>
      </c>
      <c r="U137" s="240">
        <f t="shared" ref="U137:U145" si="133">ABS(SUM(F137:F137))+ABS(SUM(I137:I137))+ABS(SUM(L137:L137))+ABS(SUM(O137:O137))+ABS(SUM(R137:R137))</f>
        <v>747</v>
      </c>
      <c r="V137" s="400">
        <f>SUM(G137+J137+M137+P137+S137)</f>
        <v>2</v>
      </c>
      <c r="W137" s="79"/>
      <c r="X137" s="79"/>
      <c r="Y137" s="79"/>
      <c r="Z137" s="79"/>
      <c r="AA137" s="79"/>
      <c r="AB137" s="79"/>
      <c r="AL137" s="169">
        <f>IF(AU137=0,0,IFERROR(INDEX(RanglisteST1!K:K,MATCH(AU137,RanglisteST1!A:A,0)),0))</f>
        <v>0</v>
      </c>
      <c r="AM137" s="169">
        <f>IF(AU137=0,0,SUMIF(AU137:AU145,AU137,AV137:AV145))</f>
        <v>527</v>
      </c>
      <c r="AN137" s="169">
        <f>IF(AU137=0,0,SUMIF(AU137:AU145,AU137,AW137:AW145))</f>
        <v>5</v>
      </c>
      <c r="AO137" s="169">
        <f t="shared" ref="AO137:AO145" si="134">IFERROR(AM137/AN137,0)</f>
        <v>105.4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44</v>
      </c>
      <c r="AQ137" s="166"/>
      <c r="AR137" s="167"/>
      <c r="AS137" s="167"/>
      <c r="AT137" s="168"/>
      <c r="AU137" s="171">
        <f t="shared" ref="AU137:AU145" si="135">C137</f>
        <v>38927</v>
      </c>
      <c r="AV137" s="167">
        <f>T137</f>
        <v>527</v>
      </c>
      <c r="AW137" s="169">
        <f t="shared" ref="AW137:AW145" si="136">COUNT(AY137:BC137)</f>
        <v>5</v>
      </c>
      <c r="AX137" s="169">
        <f t="shared" ref="AX137:AX145" si="137">COUNTIF(AY137:BC137,"&gt;0")</f>
        <v>5</v>
      </c>
      <c r="AY137" s="169">
        <f>IF(E137=0,"",E137)</f>
        <v>98</v>
      </c>
      <c r="AZ137" s="169">
        <f t="shared" ref="AZ137:AZ145" si="138">IF(H137=0,"",H137)</f>
        <v>96</v>
      </c>
      <c r="BA137" s="169">
        <f t="shared" ref="BA137:BA145" si="139">IF(K137=0,"",K137)</f>
        <v>88</v>
      </c>
      <c r="BB137" s="169">
        <f t="shared" ref="BB137:BB145" si="140">IF(N137=0,"",N137)</f>
        <v>94</v>
      </c>
      <c r="BC137" s="169">
        <f t="shared" ref="BC137:BC145" si="141">IF(Q137=0,"",Q137)</f>
        <v>151</v>
      </c>
      <c r="BD137" s="170"/>
      <c r="BE137" s="168"/>
      <c r="BF137" s="169">
        <f t="shared" ref="BF137:BF145" si="142">MAX(AY137:BC137)</f>
        <v>151</v>
      </c>
      <c r="BG137" s="169">
        <f t="shared" ref="BG137:BG145" si="143">IF(BF137&lt;MAX(BF:BF),0,BF137+ROW()/1000000000)</f>
        <v>0</v>
      </c>
      <c r="BH137" s="169" t="str">
        <f>+B133</f>
        <v>Bowling Jugend Bayern 1</v>
      </c>
      <c r="BI137" s="168">
        <f t="shared" ref="BI137:BI145" si="144">RANK(BG137,BG:BG)</f>
        <v>2</v>
      </c>
      <c r="BJ137" s="169">
        <f t="shared" ref="BJ137:BJ145" si="145">SUMIF(AY137:BC137,"&gt;0")</f>
        <v>527</v>
      </c>
      <c r="BK137" s="169">
        <f>IF(COUNTIF(AY137:BC137,"&gt;0")&lt;Spielorte!$A$23,0,AV137/Spielorte!$A$23)</f>
        <v>105.4</v>
      </c>
      <c r="BL137" s="169">
        <f t="shared" ref="BL137:BL145" si="146">IF(BK137&lt;MAX(BK:BK),0,BK137+ROW()/1000000000)</f>
        <v>0</v>
      </c>
      <c r="BM137" s="168">
        <f t="shared" ref="BM137:BM145" si="147">IF(BL137=0,0,RANK(BL137,BL:BL))</f>
        <v>0</v>
      </c>
    </row>
    <row r="138" spans="1:65" ht="16.95" customHeight="1">
      <c r="A138" s="404"/>
      <c r="B138" s="58" t="str">
        <f>IF(C138=0,"",VLOOKUP(C138,Starter!$A$1:$D$196,2,FALSE))</f>
        <v/>
      </c>
      <c r="C138" s="233"/>
      <c r="D138" s="239">
        <f t="shared" si="126"/>
        <v>0</v>
      </c>
      <c r="E138" s="222"/>
      <c r="F138" s="241">
        <f t="shared" si="127"/>
        <v>0</v>
      </c>
      <c r="G138" s="429"/>
      <c r="H138" s="222"/>
      <c r="I138" s="241">
        <f t="shared" si="128"/>
        <v>0</v>
      </c>
      <c r="J138" s="429"/>
      <c r="K138" s="222"/>
      <c r="L138" s="241">
        <f t="shared" si="129"/>
        <v>0</v>
      </c>
      <c r="M138" s="429"/>
      <c r="N138" s="222"/>
      <c r="O138" s="241">
        <f t="shared" si="130"/>
        <v>0</v>
      </c>
      <c r="P138" s="429"/>
      <c r="Q138" s="222"/>
      <c r="R138" s="241">
        <f t="shared" si="131"/>
        <v>0</v>
      </c>
      <c r="S138" s="429"/>
      <c r="T138" s="222">
        <f t="shared" si="132"/>
        <v>0</v>
      </c>
      <c r="U138" s="241">
        <f t="shared" si="133"/>
        <v>0</v>
      </c>
      <c r="V138" s="401"/>
      <c r="W138" s="79"/>
      <c r="X138" s="79"/>
      <c r="Y138" s="79"/>
      <c r="Z138" s="79"/>
      <c r="AA138" s="79"/>
      <c r="AB138" s="79"/>
      <c r="AL138" s="169">
        <f>IF(AU138=0,0,IFERROR(INDEX(RanglisteST1!K:K,MATCH(AU138,RanglisteST1!A:A,0)),0))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34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35"/>
        <v>0</v>
      </c>
      <c r="AV138" s="167">
        <f t="shared" ref="AV138:AV145" si="148">T138</f>
        <v>0</v>
      </c>
      <c r="AW138" s="169">
        <f t="shared" si="136"/>
        <v>0</v>
      </c>
      <c r="AX138" s="169">
        <f t="shared" si="137"/>
        <v>0</v>
      </c>
      <c r="AY138" s="169" t="str">
        <f t="shared" ref="AY138:AY145" si="149">IF(E138=0,"",E138)</f>
        <v/>
      </c>
      <c r="AZ138" s="169" t="str">
        <f t="shared" si="138"/>
        <v/>
      </c>
      <c r="BA138" s="169" t="str">
        <f t="shared" si="139"/>
        <v/>
      </c>
      <c r="BB138" s="169" t="str">
        <f t="shared" si="140"/>
        <v/>
      </c>
      <c r="BC138" s="169" t="str">
        <f t="shared" si="141"/>
        <v/>
      </c>
      <c r="BD138" s="170"/>
      <c r="BE138" s="168"/>
      <c r="BF138" s="169">
        <f t="shared" si="142"/>
        <v>0</v>
      </c>
      <c r="BG138" s="169">
        <f t="shared" si="143"/>
        <v>0</v>
      </c>
      <c r="BH138" s="169" t="str">
        <f t="shared" ref="BH138:BH145" si="150">+BH137</f>
        <v>Bowling Jugend Bayern 1</v>
      </c>
      <c r="BI138" s="168">
        <f t="shared" si="144"/>
        <v>2</v>
      </c>
      <c r="BJ138" s="169">
        <f t="shared" si="145"/>
        <v>0</v>
      </c>
      <c r="BK138" s="169">
        <f>IF(COUNTIF(AY138:BC138,"&gt;0")&lt;Spielorte!$A$23,0,AV138/Spielorte!$A$23)</f>
        <v>0</v>
      </c>
      <c r="BL138" s="169">
        <f t="shared" si="146"/>
        <v>0</v>
      </c>
      <c r="BM138" s="168">
        <f t="shared" si="147"/>
        <v>0</v>
      </c>
    </row>
    <row r="139" spans="1:65" ht="16.95" customHeight="1" thickBot="1">
      <c r="A139" s="405"/>
      <c r="B139" s="59" t="str">
        <f>IF(C139=0,"",VLOOKUP(C139,Starter!$A$1:$D$196,2,FALSE))</f>
        <v/>
      </c>
      <c r="C139" s="234"/>
      <c r="D139" s="223">
        <f t="shared" si="126"/>
        <v>0</v>
      </c>
      <c r="E139" s="224"/>
      <c r="F139" s="242">
        <f t="shared" si="127"/>
        <v>0</v>
      </c>
      <c r="G139" s="430"/>
      <c r="H139" s="224"/>
      <c r="I139" s="242">
        <f t="shared" si="128"/>
        <v>0</v>
      </c>
      <c r="J139" s="430"/>
      <c r="K139" s="224"/>
      <c r="L139" s="242">
        <f t="shared" si="129"/>
        <v>0</v>
      </c>
      <c r="M139" s="430"/>
      <c r="N139" s="224"/>
      <c r="O139" s="242">
        <f t="shared" si="130"/>
        <v>0</v>
      </c>
      <c r="P139" s="430"/>
      <c r="Q139" s="224"/>
      <c r="R139" s="242">
        <f t="shared" si="131"/>
        <v>0</v>
      </c>
      <c r="S139" s="430"/>
      <c r="T139" s="224">
        <f t="shared" si="132"/>
        <v>0</v>
      </c>
      <c r="U139" s="242">
        <f t="shared" si="133"/>
        <v>0</v>
      </c>
      <c r="V139" s="402"/>
      <c r="W139" s="79"/>
      <c r="X139" s="79"/>
      <c r="Y139" s="79"/>
      <c r="Z139" s="79"/>
      <c r="AA139" s="79"/>
      <c r="AB139" s="79"/>
      <c r="AL139" s="169">
        <f>IF(AU139=0,0,IFERROR(INDEX(RanglisteST1!K:K,MATCH(AU139,RanglisteST1!A:A,0)),0))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34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35"/>
        <v>0</v>
      </c>
      <c r="AV139" s="167">
        <f t="shared" si="148"/>
        <v>0</v>
      </c>
      <c r="AW139" s="169">
        <f t="shared" si="136"/>
        <v>0</v>
      </c>
      <c r="AX139" s="169">
        <f t="shared" si="137"/>
        <v>0</v>
      </c>
      <c r="AY139" s="169" t="str">
        <f t="shared" si="149"/>
        <v/>
      </c>
      <c r="AZ139" s="169" t="str">
        <f t="shared" si="138"/>
        <v/>
      </c>
      <c r="BA139" s="169" t="str">
        <f t="shared" si="139"/>
        <v/>
      </c>
      <c r="BB139" s="169" t="str">
        <f t="shared" si="140"/>
        <v/>
      </c>
      <c r="BC139" s="169" t="str">
        <f t="shared" si="141"/>
        <v/>
      </c>
      <c r="BD139" s="170"/>
      <c r="BE139" s="168"/>
      <c r="BF139" s="169">
        <f t="shared" si="142"/>
        <v>0</v>
      </c>
      <c r="BG139" s="169">
        <f t="shared" si="143"/>
        <v>0</v>
      </c>
      <c r="BH139" s="169" t="str">
        <f t="shared" si="150"/>
        <v>Bowling Jugend Bayern 1</v>
      </c>
      <c r="BI139" s="168">
        <f t="shared" si="144"/>
        <v>2</v>
      </c>
      <c r="BJ139" s="169">
        <f t="shared" si="145"/>
        <v>0</v>
      </c>
      <c r="BK139" s="169">
        <f>IF(COUNTIF(AY139:BC139,"&gt;0")&lt;Spielorte!$A$23,0,AV139/Spielorte!$A$23)</f>
        <v>0</v>
      </c>
      <c r="BL139" s="169">
        <f t="shared" si="146"/>
        <v>0</v>
      </c>
      <c r="BM139" s="168">
        <f t="shared" si="147"/>
        <v>0</v>
      </c>
    </row>
    <row r="140" spans="1:65" ht="16.95" customHeight="1">
      <c r="A140" s="403" t="s">
        <v>2</v>
      </c>
      <c r="B140" s="58" t="str">
        <f>IF(C140=0,"",VLOOKUP(C140,Starter!$A$1:$D$196,2,FALSE))</f>
        <v>Raj, Milan</v>
      </c>
      <c r="C140" s="235">
        <v>38915</v>
      </c>
      <c r="D140" s="238">
        <f t="shared" si="126"/>
        <v>38</v>
      </c>
      <c r="E140" s="221">
        <v>103</v>
      </c>
      <c r="F140" s="240">
        <f t="shared" si="127"/>
        <v>141</v>
      </c>
      <c r="G140" s="428">
        <f>IF(SUM(F140:F142)+E153=0,0,IF(ABS(SUM(F140:F142))=E153,Spielorte!$A$30/2,IF(ABS(SUM(F140:F142))&gt;E153,Spielorte!$A$30,0)))</f>
        <v>0</v>
      </c>
      <c r="H140" s="221">
        <v>150</v>
      </c>
      <c r="I140" s="240">
        <f t="shared" si="128"/>
        <v>188</v>
      </c>
      <c r="J140" s="428">
        <f>IF(SUM(I140:I142)+H153=0,0,IF(ABS(SUM(I140:I142))=H153,Spielorte!$A$30/2,IF(ABS(SUM(I140:I142))&gt;H153,Spielorte!$A$30,0)))</f>
        <v>1</v>
      </c>
      <c r="K140" s="221">
        <v>98</v>
      </c>
      <c r="L140" s="240">
        <f t="shared" si="129"/>
        <v>136</v>
      </c>
      <c r="M140" s="428">
        <f>IF(SUM(L140:L142)+K153=0,0,IF(ABS(SUM(L140:L142))=K153,Spielorte!$A$30/2,IF(ABS(SUM(L140:L142))&gt;K153,Spielorte!$A$30,0)))</f>
        <v>1</v>
      </c>
      <c r="N140" s="221">
        <v>110</v>
      </c>
      <c r="O140" s="240">
        <f t="shared" si="130"/>
        <v>148</v>
      </c>
      <c r="P140" s="428">
        <f>IF(SUM(O140:O142)+N153=0,0,IF(ABS(SUM(O140:O142))=N153,Spielorte!$A$30/2,IF(ABS(SUM(O140:O142))&gt;N153,Spielorte!$A$30,0)))</f>
        <v>1</v>
      </c>
      <c r="Q140" s="221">
        <v>100</v>
      </c>
      <c r="R140" s="240">
        <f t="shared" si="131"/>
        <v>138</v>
      </c>
      <c r="S140" s="428">
        <f>IF(SUM(R140:R142)+Q153=0,0,IF(ABS(SUM(R140:R142))=Q153,Spielorte!$A$30/2,IF(ABS(SUM(R140:R142))&gt;Q153,Spielorte!$A$30,0)))</f>
        <v>0</v>
      </c>
      <c r="T140" s="221">
        <f t="shared" si="132"/>
        <v>561</v>
      </c>
      <c r="U140" s="240">
        <f t="shared" si="133"/>
        <v>751</v>
      </c>
      <c r="V140" s="400">
        <f>SUM(G140+J140+M140+P140+S140)</f>
        <v>3</v>
      </c>
      <c r="W140" s="79"/>
      <c r="X140" s="79"/>
      <c r="Y140" s="79"/>
      <c r="Z140" s="79"/>
      <c r="AA140" s="79"/>
      <c r="AB140" s="79"/>
      <c r="AL140" s="169">
        <f>IF(AU140=0,0,IFERROR(INDEX(RanglisteST1!K:K,MATCH(AU140,RanglisteST1!A:A,0)),0))</f>
        <v>0</v>
      </c>
      <c r="AM140" s="169">
        <f>IF(AU140=0,0,SUMIF(AU137:AU145,AU140,AV137:AV145))</f>
        <v>561</v>
      </c>
      <c r="AN140" s="169">
        <f>IF(AU140=0,0,SUMIF(AU137:AU145,AU140,AW137:AW145))</f>
        <v>5</v>
      </c>
      <c r="AO140" s="169">
        <f t="shared" si="134"/>
        <v>112.2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38</v>
      </c>
      <c r="AQ140" s="166"/>
      <c r="AR140" s="167"/>
      <c r="AS140" s="167"/>
      <c r="AT140" s="168"/>
      <c r="AU140" s="171">
        <f t="shared" si="135"/>
        <v>38915</v>
      </c>
      <c r="AV140" s="167">
        <f t="shared" si="148"/>
        <v>561</v>
      </c>
      <c r="AW140" s="169">
        <f t="shared" si="136"/>
        <v>5</v>
      </c>
      <c r="AX140" s="169">
        <f t="shared" si="137"/>
        <v>5</v>
      </c>
      <c r="AY140" s="169">
        <f t="shared" si="149"/>
        <v>103</v>
      </c>
      <c r="AZ140" s="169">
        <f t="shared" si="138"/>
        <v>150</v>
      </c>
      <c r="BA140" s="169">
        <f t="shared" si="139"/>
        <v>98</v>
      </c>
      <c r="BB140" s="169">
        <f t="shared" si="140"/>
        <v>110</v>
      </c>
      <c r="BC140" s="169">
        <f t="shared" si="141"/>
        <v>100</v>
      </c>
      <c r="BD140" s="170"/>
      <c r="BE140" s="168"/>
      <c r="BF140" s="169">
        <f t="shared" si="142"/>
        <v>150</v>
      </c>
      <c r="BG140" s="169">
        <f t="shared" si="143"/>
        <v>0</v>
      </c>
      <c r="BH140" s="169" t="str">
        <f t="shared" si="150"/>
        <v>Bowling Jugend Bayern 1</v>
      </c>
      <c r="BI140" s="168">
        <f t="shared" si="144"/>
        <v>2</v>
      </c>
      <c r="BJ140" s="169">
        <f t="shared" si="145"/>
        <v>561</v>
      </c>
      <c r="BK140" s="169">
        <f>IF(COUNTIF(AY140:BC140,"&gt;0")&lt;Spielorte!$A$23,0,AV140/Spielorte!$A$23)</f>
        <v>112.2</v>
      </c>
      <c r="BL140" s="169">
        <f t="shared" si="146"/>
        <v>0</v>
      </c>
      <c r="BM140" s="168">
        <f t="shared" si="147"/>
        <v>0</v>
      </c>
    </row>
    <row r="141" spans="1:65" ht="16.95" customHeight="1">
      <c r="A141" s="404"/>
      <c r="B141" s="58" t="str">
        <f>IF(C141=0,"",VLOOKUP(C141,Starter!$A$1:$D$196,2,FALSE))</f>
        <v/>
      </c>
      <c r="C141" s="233"/>
      <c r="D141" s="239">
        <f t="shared" si="126"/>
        <v>0</v>
      </c>
      <c r="E141" s="222"/>
      <c r="F141" s="241">
        <f t="shared" si="127"/>
        <v>0</v>
      </c>
      <c r="G141" s="429"/>
      <c r="H141" s="222"/>
      <c r="I141" s="241">
        <f t="shared" si="128"/>
        <v>0</v>
      </c>
      <c r="J141" s="429"/>
      <c r="K141" s="222"/>
      <c r="L141" s="241">
        <f t="shared" si="129"/>
        <v>0</v>
      </c>
      <c r="M141" s="429"/>
      <c r="N141" s="222"/>
      <c r="O141" s="241">
        <f t="shared" si="130"/>
        <v>0</v>
      </c>
      <c r="P141" s="429"/>
      <c r="Q141" s="222"/>
      <c r="R141" s="241">
        <f t="shared" si="131"/>
        <v>0</v>
      </c>
      <c r="S141" s="429"/>
      <c r="T141" s="222">
        <f t="shared" si="132"/>
        <v>0</v>
      </c>
      <c r="U141" s="241">
        <f t="shared" si="133"/>
        <v>0</v>
      </c>
      <c r="V141" s="401"/>
      <c r="W141" s="79"/>
      <c r="X141" s="79"/>
      <c r="Y141" s="79"/>
      <c r="Z141" s="79"/>
      <c r="AA141" s="79"/>
      <c r="AB141" s="79"/>
      <c r="AL141" s="169">
        <f>IF(AU141=0,0,IFERROR(INDEX(RanglisteST1!K:K,MATCH(AU141,RanglisteST1!A:A,0)),0))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34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35"/>
        <v>0</v>
      </c>
      <c r="AV141" s="167">
        <f t="shared" si="148"/>
        <v>0</v>
      </c>
      <c r="AW141" s="169">
        <f t="shared" si="136"/>
        <v>0</v>
      </c>
      <c r="AX141" s="169">
        <f t="shared" si="137"/>
        <v>0</v>
      </c>
      <c r="AY141" s="169" t="str">
        <f t="shared" si="149"/>
        <v/>
      </c>
      <c r="AZ141" s="169" t="str">
        <f t="shared" si="138"/>
        <v/>
      </c>
      <c r="BA141" s="169" t="str">
        <f t="shared" si="139"/>
        <v/>
      </c>
      <c r="BB141" s="169" t="str">
        <f t="shared" si="140"/>
        <v/>
      </c>
      <c r="BC141" s="169" t="str">
        <f t="shared" si="141"/>
        <v/>
      </c>
      <c r="BD141" s="170"/>
      <c r="BE141" s="168"/>
      <c r="BF141" s="169">
        <f t="shared" si="142"/>
        <v>0</v>
      </c>
      <c r="BG141" s="169">
        <f t="shared" si="143"/>
        <v>0</v>
      </c>
      <c r="BH141" s="169" t="str">
        <f t="shared" si="150"/>
        <v>Bowling Jugend Bayern 1</v>
      </c>
      <c r="BI141" s="168">
        <f t="shared" si="144"/>
        <v>2</v>
      </c>
      <c r="BJ141" s="169">
        <f t="shared" si="145"/>
        <v>0</v>
      </c>
      <c r="BK141" s="169">
        <f>IF(COUNTIF(AY141:BC141,"&gt;0")&lt;Spielorte!$A$23,0,AV141/Spielorte!$A$23)</f>
        <v>0</v>
      </c>
      <c r="BL141" s="169">
        <f t="shared" si="146"/>
        <v>0</v>
      </c>
      <c r="BM141" s="168">
        <f t="shared" si="147"/>
        <v>0</v>
      </c>
    </row>
    <row r="142" spans="1:65" ht="16.95" customHeight="1" thickBot="1">
      <c r="A142" s="405"/>
      <c r="B142" s="60" t="str">
        <f>IF(C142=0,"",VLOOKUP(C142,Starter!$A$1:$D$196,2,FALSE))</f>
        <v/>
      </c>
      <c r="C142" s="236"/>
      <c r="D142" s="223">
        <f t="shared" si="126"/>
        <v>0</v>
      </c>
      <c r="E142" s="224"/>
      <c r="F142" s="242">
        <f t="shared" si="127"/>
        <v>0</v>
      </c>
      <c r="G142" s="430"/>
      <c r="H142" s="224"/>
      <c r="I142" s="242">
        <f t="shared" si="128"/>
        <v>0</v>
      </c>
      <c r="J142" s="430"/>
      <c r="K142" s="224"/>
      <c r="L142" s="242">
        <f t="shared" si="129"/>
        <v>0</v>
      </c>
      <c r="M142" s="430"/>
      <c r="N142" s="224"/>
      <c r="O142" s="242">
        <f t="shared" si="130"/>
        <v>0</v>
      </c>
      <c r="P142" s="430"/>
      <c r="Q142" s="224"/>
      <c r="R142" s="242">
        <f t="shared" si="131"/>
        <v>0</v>
      </c>
      <c r="S142" s="430"/>
      <c r="T142" s="224">
        <f t="shared" si="132"/>
        <v>0</v>
      </c>
      <c r="U142" s="242">
        <f t="shared" si="133"/>
        <v>0</v>
      </c>
      <c r="V142" s="402"/>
      <c r="W142" s="79"/>
      <c r="X142" s="79"/>
      <c r="Y142" s="79"/>
      <c r="Z142" s="79"/>
      <c r="AA142" s="79"/>
      <c r="AB142" s="79"/>
      <c r="AL142" s="169">
        <f>IF(AU142=0,0,IFERROR(INDEX(RanglisteST1!K:K,MATCH(AU142,RanglisteST1!A:A,0)),0))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34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35"/>
        <v>0</v>
      </c>
      <c r="AV142" s="167">
        <f t="shared" si="148"/>
        <v>0</v>
      </c>
      <c r="AW142" s="169">
        <f t="shared" si="136"/>
        <v>0</v>
      </c>
      <c r="AX142" s="169">
        <f t="shared" si="137"/>
        <v>0</v>
      </c>
      <c r="AY142" s="169" t="str">
        <f t="shared" si="149"/>
        <v/>
      </c>
      <c r="AZ142" s="169" t="str">
        <f t="shared" si="138"/>
        <v/>
      </c>
      <c r="BA142" s="169" t="str">
        <f t="shared" si="139"/>
        <v/>
      </c>
      <c r="BB142" s="169" t="str">
        <f t="shared" si="140"/>
        <v/>
      </c>
      <c r="BC142" s="169" t="str">
        <f t="shared" si="141"/>
        <v/>
      </c>
      <c r="BD142" s="170"/>
      <c r="BE142" s="168"/>
      <c r="BF142" s="169">
        <f t="shared" si="142"/>
        <v>0</v>
      </c>
      <c r="BG142" s="169">
        <f t="shared" si="143"/>
        <v>0</v>
      </c>
      <c r="BH142" s="169" t="str">
        <f t="shared" si="150"/>
        <v>Bowling Jugend Bayern 1</v>
      </c>
      <c r="BI142" s="168">
        <f t="shared" si="144"/>
        <v>2</v>
      </c>
      <c r="BJ142" s="169">
        <f t="shared" si="145"/>
        <v>0</v>
      </c>
      <c r="BK142" s="169">
        <f>IF(COUNTIF(AY142:BC142,"&gt;0")&lt;Spielorte!$A$23,0,AV142/Spielorte!$A$23)</f>
        <v>0</v>
      </c>
      <c r="BL142" s="169">
        <f t="shared" si="146"/>
        <v>0</v>
      </c>
      <c r="BM142" s="168">
        <f t="shared" si="147"/>
        <v>0</v>
      </c>
    </row>
    <row r="143" spans="1:65" ht="16.95" customHeight="1">
      <c r="A143" s="403" t="s">
        <v>3</v>
      </c>
      <c r="B143" s="58" t="str">
        <f>IF(C143=0,"",VLOOKUP(C143,Starter!$A$1:$D$196,2,FALSE))</f>
        <v>Catalano, Leandro</v>
      </c>
      <c r="C143" s="235">
        <v>38795</v>
      </c>
      <c r="D143" s="238">
        <f t="shared" si="126"/>
        <v>4</v>
      </c>
      <c r="E143" s="221">
        <v>128</v>
      </c>
      <c r="F143" s="240">
        <f t="shared" si="127"/>
        <v>132</v>
      </c>
      <c r="G143" s="428">
        <f>IF(SUM(F143:F145)+E154=0,0,IF(ABS(SUM(F143:F145))=E154,Spielorte!$A$30/2,IF(ABS(SUM(F143:F145))&gt;E154,Spielorte!$A$30,0)))</f>
        <v>0</v>
      </c>
      <c r="H143" s="221">
        <v>137</v>
      </c>
      <c r="I143" s="240">
        <f t="shared" si="128"/>
        <v>141</v>
      </c>
      <c r="J143" s="428">
        <f>IF(SUM(I143:I145)+H154=0,0,IF(ABS(SUM(I143:I145))=H154,Spielorte!$A$30/2,IF(ABS(SUM(I143:I145))&gt;H154,Spielorte!$A$30,0)))</f>
        <v>0</v>
      </c>
      <c r="K143" s="221">
        <v>223</v>
      </c>
      <c r="L143" s="240">
        <f t="shared" si="129"/>
        <v>227</v>
      </c>
      <c r="M143" s="428">
        <f>IF(SUM(L143:L145)+K154=0,0,IF(ABS(SUM(L143:L145))=K154,Spielorte!$A$30/2,IF(ABS(SUM(L143:L145))&gt;K154,Spielorte!$A$30,0)))</f>
        <v>1</v>
      </c>
      <c r="N143" s="221">
        <v>133</v>
      </c>
      <c r="O143" s="240">
        <f t="shared" si="130"/>
        <v>137</v>
      </c>
      <c r="P143" s="428">
        <f>IF(SUM(O143:O145)+N154=0,0,IF(ABS(SUM(O143:O145))=N154,Spielorte!$A$30/2,IF(ABS(SUM(O143:O145))&gt;N154,Spielorte!$A$30,0)))</f>
        <v>0</v>
      </c>
      <c r="Q143" s="221">
        <v>157</v>
      </c>
      <c r="R143" s="240">
        <f t="shared" si="131"/>
        <v>161</v>
      </c>
      <c r="S143" s="428">
        <f>IF(SUM(R143:R145)+Q154=0,0,IF(ABS(SUM(R143:R145))=Q154,Spielorte!$A$30/2,IF(ABS(SUM(R143:R145))&gt;Q154,Spielorte!$A$30,0)))</f>
        <v>1</v>
      </c>
      <c r="T143" s="221">
        <f t="shared" si="132"/>
        <v>778</v>
      </c>
      <c r="U143" s="240">
        <f t="shared" si="133"/>
        <v>798</v>
      </c>
      <c r="V143" s="400">
        <f>SUM(G143+J143+M143+P143+S143)</f>
        <v>2</v>
      </c>
      <c r="W143" s="79"/>
      <c r="X143" s="79"/>
      <c r="Y143" s="79"/>
      <c r="Z143" s="79"/>
      <c r="AA143" s="79"/>
      <c r="AB143" s="79"/>
      <c r="AL143" s="169">
        <f>IF(AU143=0,0,IFERROR(INDEX(RanglisteST1!K:K,MATCH(AU143,RanglisteST1!A:A,0)),0))</f>
        <v>0</v>
      </c>
      <c r="AM143" s="169">
        <f>IF(AU143=0,0,SUMIF(AU137:AU145,AU143,AV137:AV145))</f>
        <v>778</v>
      </c>
      <c r="AN143" s="169">
        <f>IF(AU143=0,0,SUMIF(AU137:AU145,AU143,AW137:AW145))</f>
        <v>5</v>
      </c>
      <c r="AO143" s="169">
        <f t="shared" si="134"/>
        <v>155.6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4</v>
      </c>
      <c r="AQ143" s="166"/>
      <c r="AR143" s="167"/>
      <c r="AS143" s="167"/>
      <c r="AT143" s="168"/>
      <c r="AU143" s="171">
        <f t="shared" si="135"/>
        <v>38795</v>
      </c>
      <c r="AV143" s="167">
        <f t="shared" si="148"/>
        <v>778</v>
      </c>
      <c r="AW143" s="169">
        <f t="shared" si="136"/>
        <v>5</v>
      </c>
      <c r="AX143" s="169">
        <f t="shared" si="137"/>
        <v>5</v>
      </c>
      <c r="AY143" s="169">
        <f t="shared" si="149"/>
        <v>128</v>
      </c>
      <c r="AZ143" s="169">
        <f t="shared" si="138"/>
        <v>137</v>
      </c>
      <c r="BA143" s="169">
        <f t="shared" si="139"/>
        <v>223</v>
      </c>
      <c r="BB143" s="169">
        <f t="shared" si="140"/>
        <v>133</v>
      </c>
      <c r="BC143" s="169">
        <f t="shared" si="141"/>
        <v>157</v>
      </c>
      <c r="BD143" s="170"/>
      <c r="BE143" s="168"/>
      <c r="BF143" s="169">
        <f t="shared" si="142"/>
        <v>223</v>
      </c>
      <c r="BG143" s="169">
        <f t="shared" si="143"/>
        <v>0</v>
      </c>
      <c r="BH143" s="169" t="str">
        <f t="shared" si="150"/>
        <v>Bowling Jugend Bayern 1</v>
      </c>
      <c r="BI143" s="168">
        <f t="shared" si="144"/>
        <v>2</v>
      </c>
      <c r="BJ143" s="169">
        <f t="shared" si="145"/>
        <v>778</v>
      </c>
      <c r="BK143" s="169">
        <f>IF(COUNTIF(AY143:BC143,"&gt;0")&lt;Spielorte!$A$23,0,AV143/Spielorte!$A$23)</f>
        <v>155.6</v>
      </c>
      <c r="BL143" s="169">
        <f t="shared" si="146"/>
        <v>0</v>
      </c>
      <c r="BM143" s="168">
        <f t="shared" si="147"/>
        <v>0</v>
      </c>
    </row>
    <row r="144" spans="1:65" ht="16.95" customHeight="1">
      <c r="A144" s="404"/>
      <c r="B144" s="58" t="str">
        <f>IF(C144=0,"",VLOOKUP(C144,Starter!$A$1:$D$196,2,FALSE))</f>
        <v/>
      </c>
      <c r="C144" s="233"/>
      <c r="D144" s="239">
        <f t="shared" si="126"/>
        <v>0</v>
      </c>
      <c r="E144" s="222"/>
      <c r="F144" s="241">
        <f t="shared" si="127"/>
        <v>0</v>
      </c>
      <c r="G144" s="429"/>
      <c r="H144" s="222"/>
      <c r="I144" s="241">
        <f t="shared" si="128"/>
        <v>0</v>
      </c>
      <c r="J144" s="429"/>
      <c r="K144" s="222"/>
      <c r="L144" s="241">
        <f t="shared" si="129"/>
        <v>0</v>
      </c>
      <c r="M144" s="429"/>
      <c r="N144" s="222"/>
      <c r="O144" s="241">
        <f t="shared" si="130"/>
        <v>0</v>
      </c>
      <c r="P144" s="429"/>
      <c r="Q144" s="222"/>
      <c r="R144" s="241">
        <f t="shared" si="131"/>
        <v>0</v>
      </c>
      <c r="S144" s="429"/>
      <c r="T144" s="222">
        <f t="shared" si="132"/>
        <v>0</v>
      </c>
      <c r="U144" s="241">
        <f t="shared" si="133"/>
        <v>0</v>
      </c>
      <c r="V144" s="401"/>
      <c r="W144" s="79"/>
      <c r="X144" s="79"/>
      <c r="Y144" s="79"/>
      <c r="Z144" s="79"/>
      <c r="AA144" s="79"/>
      <c r="AB144" s="79"/>
      <c r="AL144" s="169">
        <f>IF(AU144=0,0,IFERROR(INDEX(RanglisteST1!K:K,MATCH(AU144,RanglisteST1!A:A,0)),0))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34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35"/>
        <v>0</v>
      </c>
      <c r="AV144" s="167">
        <f t="shared" si="148"/>
        <v>0</v>
      </c>
      <c r="AW144" s="169">
        <f t="shared" si="136"/>
        <v>0</v>
      </c>
      <c r="AX144" s="169">
        <f t="shared" si="137"/>
        <v>0</v>
      </c>
      <c r="AY144" s="169" t="str">
        <f t="shared" si="149"/>
        <v/>
      </c>
      <c r="AZ144" s="169" t="str">
        <f t="shared" si="138"/>
        <v/>
      </c>
      <c r="BA144" s="169" t="str">
        <f t="shared" si="139"/>
        <v/>
      </c>
      <c r="BB144" s="169" t="str">
        <f t="shared" si="140"/>
        <v/>
      </c>
      <c r="BC144" s="169" t="str">
        <f t="shared" si="141"/>
        <v/>
      </c>
      <c r="BD144" s="170"/>
      <c r="BE144" s="168"/>
      <c r="BF144" s="169">
        <f t="shared" si="142"/>
        <v>0</v>
      </c>
      <c r="BG144" s="169">
        <f t="shared" si="143"/>
        <v>0</v>
      </c>
      <c r="BH144" s="169" t="str">
        <f t="shared" si="150"/>
        <v>Bowling Jugend Bayern 1</v>
      </c>
      <c r="BI144" s="168">
        <f t="shared" si="144"/>
        <v>2</v>
      </c>
      <c r="BJ144" s="169">
        <f t="shared" si="145"/>
        <v>0</v>
      </c>
      <c r="BK144" s="169">
        <f>IF(COUNTIF(AY144:BC144,"&gt;0")&lt;Spielorte!$A$23,0,AV144/Spielorte!$A$23)</f>
        <v>0</v>
      </c>
      <c r="BL144" s="169">
        <f t="shared" si="146"/>
        <v>0</v>
      </c>
      <c r="BM144" s="168">
        <f t="shared" si="147"/>
        <v>0</v>
      </c>
    </row>
    <row r="145" spans="1:65" ht="16.95" customHeight="1" thickBot="1">
      <c r="A145" s="405"/>
      <c r="B145" s="60" t="str">
        <f>IF(C145=0,"",VLOOKUP(C145,Starter!$A$1:$D$196,2,FALSE))</f>
        <v/>
      </c>
      <c r="C145" s="236"/>
      <c r="D145" s="223">
        <f t="shared" si="126"/>
        <v>0</v>
      </c>
      <c r="E145" s="224"/>
      <c r="F145" s="242">
        <f t="shared" si="127"/>
        <v>0</v>
      </c>
      <c r="G145" s="430"/>
      <c r="H145" s="224"/>
      <c r="I145" s="242">
        <f t="shared" si="128"/>
        <v>0</v>
      </c>
      <c r="J145" s="430"/>
      <c r="K145" s="224"/>
      <c r="L145" s="242">
        <f t="shared" si="129"/>
        <v>0</v>
      </c>
      <c r="M145" s="430"/>
      <c r="N145" s="224"/>
      <c r="O145" s="242">
        <f t="shared" si="130"/>
        <v>0</v>
      </c>
      <c r="P145" s="430"/>
      <c r="Q145" s="224"/>
      <c r="R145" s="242">
        <f t="shared" si="131"/>
        <v>0</v>
      </c>
      <c r="S145" s="430"/>
      <c r="T145" s="224">
        <f t="shared" si="132"/>
        <v>0</v>
      </c>
      <c r="U145" s="242">
        <f t="shared" si="133"/>
        <v>0</v>
      </c>
      <c r="V145" s="402"/>
      <c r="W145" s="79"/>
      <c r="X145" s="79"/>
      <c r="Y145" s="79"/>
      <c r="Z145" s="79"/>
      <c r="AA145" s="79"/>
      <c r="AB145" s="79"/>
      <c r="AL145" s="169">
        <f>IF(AU145=0,0,IFERROR(INDEX(RanglisteST1!K:K,MATCH(AU145,RanglisteST1!A:A,0)),0))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34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35"/>
        <v>0</v>
      </c>
      <c r="AV145" s="167">
        <f t="shared" si="148"/>
        <v>0</v>
      </c>
      <c r="AW145" s="169">
        <f t="shared" si="136"/>
        <v>0</v>
      </c>
      <c r="AX145" s="169">
        <f t="shared" si="137"/>
        <v>0</v>
      </c>
      <c r="AY145" s="169" t="str">
        <f t="shared" si="149"/>
        <v/>
      </c>
      <c r="AZ145" s="169" t="str">
        <f t="shared" si="138"/>
        <v/>
      </c>
      <c r="BA145" s="169" t="str">
        <f t="shared" si="139"/>
        <v/>
      </c>
      <c r="BB145" s="169" t="str">
        <f t="shared" si="140"/>
        <v/>
      </c>
      <c r="BC145" s="169" t="str">
        <f t="shared" si="141"/>
        <v/>
      </c>
      <c r="BD145" s="170"/>
      <c r="BE145" s="168"/>
      <c r="BF145" s="169">
        <f t="shared" si="142"/>
        <v>0</v>
      </c>
      <c r="BG145" s="169">
        <f t="shared" si="143"/>
        <v>0</v>
      </c>
      <c r="BH145" s="169" t="str">
        <f t="shared" si="150"/>
        <v>Bowling Jugend Bayern 1</v>
      </c>
      <c r="BI145" s="168">
        <f t="shared" si="144"/>
        <v>2</v>
      </c>
      <c r="BJ145" s="169">
        <f t="shared" si="145"/>
        <v>0</v>
      </c>
      <c r="BK145" s="169">
        <f>IF(COUNTIF(AY145:BC145,"&gt;0")&lt;Spielorte!$A$23,0,AV145/Spielorte!$A$23)</f>
        <v>0</v>
      </c>
      <c r="BL145" s="169">
        <f t="shared" si="146"/>
        <v>0</v>
      </c>
      <c r="BM145" s="168">
        <f t="shared" si="147"/>
        <v>0</v>
      </c>
    </row>
    <row r="146" spans="1:65" ht="27.75" customHeight="1" thickBot="1">
      <c r="B146" s="218" t="s">
        <v>1792</v>
      </c>
      <c r="C146" s="204"/>
      <c r="D146" s="219"/>
      <c r="E146" s="226">
        <f>ABS(SUM(E137:E139))+ABS(SUM(E140:E142))+ABS(SUM(E143:E145))</f>
        <v>329</v>
      </c>
      <c r="F146" s="225">
        <f>ABS(SUM(F137:F139))+ABS(SUM(F140:F142))+ABS(SUM(F143:F145))</f>
        <v>415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383</v>
      </c>
      <c r="I146" s="225">
        <f>ABS(SUM(I137:I139))+ABS(SUM(I140:I142))+ABS(SUM(I143:I145))</f>
        <v>469</v>
      </c>
      <c r="J146" s="81">
        <f>IF(I146+H155=0,0,IF(I146=H155,Spielorte!$A$31/2,IF(I146&gt;H155,Spielorte!$A$31,0)))</f>
        <v>2</v>
      </c>
      <c r="K146" s="226">
        <f>ABS(SUM(K137:K139))+ABS(SUM(K140:K142))+ABS(SUM(K143:K145))</f>
        <v>409</v>
      </c>
      <c r="L146" s="225">
        <f>ABS(SUM(L137:L139))+ABS(SUM(L140:L142))+ABS(SUM(L143:L145))</f>
        <v>495</v>
      </c>
      <c r="M146" s="81">
        <f>IF(L146+K155=0,0,IF(L146=K155,Spielorte!$A$31/2,IF(L146&gt;K155,Spielorte!$A$31,0)))</f>
        <v>2</v>
      </c>
      <c r="N146" s="226">
        <f>ABS(SUM(N137:N139))+ABS(SUM(N140:N142))+ABS(SUM(N143:N145))</f>
        <v>337</v>
      </c>
      <c r="O146" s="225">
        <f>ABS(SUM(O137:O139))+ABS(SUM(O140:O142))+ABS(SUM(O143:O145))</f>
        <v>423</v>
      </c>
      <c r="P146" s="81">
        <f>IF(O146+N155=0,0,IF(O146=N155,Spielorte!$A$31/2,IF(O146&gt;N155,Spielorte!$A$31,0)))</f>
        <v>1</v>
      </c>
      <c r="Q146" s="226">
        <f>ABS(SUM(Q137:Q139))+ABS(SUM(Q140:Q142))+ABS(SUM(Q143:Q145))</f>
        <v>408</v>
      </c>
      <c r="R146" s="225">
        <f>ABS(SUM(R137:R139))+ABS(SUM(R140:R142))+ABS(SUM(R143:R145))</f>
        <v>494</v>
      </c>
      <c r="S146" s="81">
        <f>IF(R146+Q155=0,0,IF(R146=Q155,Spielorte!$A$31/2,IF(R146&gt;Q155,Spielorte!$A$31,0)))</f>
        <v>2</v>
      </c>
      <c r="T146" s="228">
        <f>SUM(E146+H146+K146+N146+Q146)</f>
        <v>1866</v>
      </c>
      <c r="U146" s="229">
        <f>SUM(F146+I146+L146+O146+R146)</f>
        <v>2296</v>
      </c>
      <c r="V146" s="12">
        <f>SUM(G146+J146+M146+P146+S146)</f>
        <v>7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3</v>
      </c>
      <c r="K147" s="1"/>
      <c r="L147" s="1"/>
      <c r="M147" s="61">
        <f>SUM(M137:M146)</f>
        <v>4</v>
      </c>
      <c r="N147" s="1"/>
      <c r="O147" s="1"/>
      <c r="P147" s="61">
        <f>SUM(P137:P146)</f>
        <v>3</v>
      </c>
      <c r="Q147" s="1"/>
      <c r="R147" s="1"/>
      <c r="S147" s="61">
        <f>SUM(S137:S146)</f>
        <v>4</v>
      </c>
      <c r="T147" s="1"/>
      <c r="U147" s="1"/>
      <c r="V147" s="61">
        <f>SUM(V137:V146)</f>
        <v>14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14</v>
      </c>
      <c r="AR147" s="167">
        <f>+T146</f>
        <v>1866</v>
      </c>
      <c r="AS147" s="167">
        <f>+U146</f>
        <v>2296</v>
      </c>
      <c r="AT147" s="168">
        <f>+B132</f>
        <v>6</v>
      </c>
      <c r="AW147" s="169">
        <f>SUM(AW131:AW146)</f>
        <v>15</v>
      </c>
      <c r="BD147" s="166">
        <f>+AS147/1000000+AQ147+AR147/1000000000000</f>
        <v>14.002296001866</v>
      </c>
      <c r="BE147" s="168">
        <f>RANK(BD147,BD:BD)</f>
        <v>3</v>
      </c>
      <c r="BI147" s="168"/>
      <c r="BM147" s="168"/>
    </row>
    <row r="148" spans="1:65" ht="11.25" customHeight="1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>
      <c r="B149" s="231" t="s">
        <v>1790</v>
      </c>
      <c r="C149" s="210"/>
      <c r="D149" s="42"/>
      <c r="E149" s="434">
        <f>VLOOKUP($B132,Schlüssel!$A$5:$EK$12,3)</f>
        <v>5</v>
      </c>
      <c r="F149" s="435"/>
      <c r="G149" s="436"/>
      <c r="H149" s="434">
        <f>VLOOKUP($B132,Schlüssel!$A$5:$EK$12,4)</f>
        <v>8</v>
      </c>
      <c r="I149" s="435"/>
      <c r="J149" s="436"/>
      <c r="K149" s="434">
        <f>VLOOKUP($B132,Schlüssel!$A$5:$EK$12,5)</f>
        <v>2</v>
      </c>
      <c r="L149" s="435"/>
      <c r="M149" s="436"/>
      <c r="N149" s="434">
        <f>VLOOKUP($B132,Schlüssel!$A$5:$EK$12,6)</f>
        <v>3</v>
      </c>
      <c r="O149" s="435"/>
      <c r="P149" s="436"/>
      <c r="Q149" s="434">
        <f>VLOOKUP($B132,Schlüssel!$A$5:$EK$12,7)</f>
        <v>4</v>
      </c>
      <c r="R149" s="435"/>
      <c r="S149" s="436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>
      <c r="B150" s="3" t="s">
        <v>9</v>
      </c>
      <c r="C150" s="1"/>
      <c r="D150" s="1"/>
      <c r="E150" s="395" t="str">
        <f>VLOOKUP(E149,Schlüssel!$A$5:$K$12,2)</f>
        <v>Berchtesgaden 1</v>
      </c>
      <c r="F150" s="438"/>
      <c r="G150" s="396"/>
      <c r="H150" s="395" t="str">
        <f>VLOOKUP(H149,Schlüssel!$A$5:$K$12,2)</f>
        <v>EMAX 1</v>
      </c>
      <c r="I150" s="438"/>
      <c r="J150" s="396"/>
      <c r="K150" s="395" t="str">
        <f>VLOOKUP(K149,Schlüssel!$A$5:$K$12,2)</f>
        <v>Highroller Rosenheim 1</v>
      </c>
      <c r="L150" s="438"/>
      <c r="M150" s="396"/>
      <c r="N150" s="395" t="str">
        <f>VLOOKUP(N149,Schlüssel!$A$5:$K$12,2)</f>
        <v>Highroller Rosenheim 2</v>
      </c>
      <c r="O150" s="438"/>
      <c r="P150" s="396"/>
      <c r="Q150" s="395" t="str">
        <f>VLOOKUP(Q149,Schlüssel!$A$5:$K$12,2)</f>
        <v>Highroller Rosenheim 3</v>
      </c>
      <c r="R150" s="438"/>
      <c r="S150" s="396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" customHeight="1">
      <c r="B152" s="417" t="s">
        <v>2275</v>
      </c>
      <c r="C152" s="418"/>
      <c r="D152" s="419"/>
      <c r="E152" s="431">
        <f>ABS(INDEX(F:F,MATCH(E149,$B:$B,0)+5)+INDEX(F:F,MATCH(E149,$B:$B,0)+6)+INDEX(F:F,MATCH(E149,$B:$B,0)+7))</f>
        <v>157</v>
      </c>
      <c r="F152" s="432"/>
      <c r="G152" s="433"/>
      <c r="H152" s="431">
        <f>ABS(INDEX(I:I,MATCH(H149,$B:$B,0)+5)+INDEX(I:I,MATCH(H149,$B:$B,0)+6)+INDEX(I:I,MATCH(H149,$B:$B,0)+7))</f>
        <v>143</v>
      </c>
      <c r="I152" s="432"/>
      <c r="J152" s="433"/>
      <c r="K152" s="431">
        <f>ABS(INDEX(L:L,MATCH(K149,$B:$B,0)+5)+INDEX(L:L,MATCH(K149,$B:$B,0)+6)+INDEX(L:L,MATCH(K149,$B:$B,0)+7))</f>
        <v>153</v>
      </c>
      <c r="L152" s="432"/>
      <c r="M152" s="433"/>
      <c r="N152" s="431">
        <f>ABS(INDEX(O:O,MATCH(N149,$B:$B,0)+5)+INDEX(O:O,MATCH(N149,$B:$B,0)+6)+INDEX(O:O,MATCH(N149,$B:$B,0)+7))</f>
        <v>105</v>
      </c>
      <c r="O152" s="432"/>
      <c r="P152" s="433"/>
      <c r="Q152" s="431">
        <f>ABS(INDEX(R:R,MATCH(Q149,$B:$B,0)+5)+INDEX(R:R,MATCH(Q149,$B:$B,0)+6)+INDEX(R:R,MATCH(Q149,$B:$B,0)+7))</f>
        <v>161</v>
      </c>
      <c r="R152" s="432"/>
      <c r="S152" s="433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" customHeight="1">
      <c r="B153" s="417" t="s">
        <v>2276</v>
      </c>
      <c r="C153" s="418"/>
      <c r="D153" s="419"/>
      <c r="E153" s="424">
        <f>ABS(INDEX(F:F,MATCH(E149,$B:$B,0)+8)+INDEX(F:F,MATCH(E149,$B:$B,0)+9)+INDEX(F:F,MATCH(E149,$B:$B,0)+10))</f>
        <v>163</v>
      </c>
      <c r="F153" s="425"/>
      <c r="G153" s="426"/>
      <c r="H153" s="424">
        <f>ABS(INDEX(I:I,MATCH(H149,$B:$B,0)+8)+INDEX(I:I,MATCH(H149,$B:$B,0)+9)+INDEX(I:I,MATCH(H149,$B:$B,0)+10))</f>
        <v>123</v>
      </c>
      <c r="I153" s="425"/>
      <c r="J153" s="426"/>
      <c r="K153" s="424">
        <f>ABS(INDEX(L:L,MATCH(K149,$B:$B,0)+8)+INDEX(L:L,MATCH(K149,$B:$B,0)+9)+INDEX(L:L,MATCH(K149,$B:$B,0)+10))</f>
        <v>132</v>
      </c>
      <c r="L153" s="425"/>
      <c r="M153" s="426"/>
      <c r="N153" s="424">
        <f>ABS(INDEX(O:O,MATCH(N149,$B:$B,0)+8)+INDEX(O:O,MATCH(N149,$B:$B,0)+9)+INDEX(O:O,MATCH(N149,$B:$B,0)+10))</f>
        <v>139</v>
      </c>
      <c r="O153" s="425"/>
      <c r="P153" s="426"/>
      <c r="Q153" s="424">
        <f>ABS(INDEX(R:R,MATCH(Q149,$B:$B,0)+8)+INDEX(R:R,MATCH(Q149,$B:$B,0)+9)+INDEX(R:R,MATCH(Q149,$B:$B,0)+10))</f>
        <v>158</v>
      </c>
      <c r="R153" s="425"/>
      <c r="S153" s="426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" customHeight="1">
      <c r="B154" s="417" t="s">
        <v>2277</v>
      </c>
      <c r="C154" s="418"/>
      <c r="D154" s="419"/>
      <c r="E154" s="424">
        <f>ABS(INDEX(F:F,MATCH(E149,$B:$B,0)+11)+INDEX(F:F,MATCH(E149,$B:$B,0)+12)+INDEX(F:F,MATCH(E149,$B:$B,0)+13))</f>
        <v>155</v>
      </c>
      <c r="F154" s="425"/>
      <c r="G154" s="426"/>
      <c r="H154" s="424">
        <f>ABS(INDEX(I:I,MATCH(H149,$B:$B,0)+11)+INDEX(I:I,MATCH(H149,$B:$B,0)+12)+INDEX(I:I,MATCH(H149,$B:$B,0)+13))</f>
        <v>188</v>
      </c>
      <c r="I154" s="425"/>
      <c r="J154" s="426"/>
      <c r="K154" s="424">
        <f>ABS(INDEX(L:L,MATCH(K149,$B:$B,0)+11)+INDEX(L:L,MATCH(K149,$B:$B,0)+12)+INDEX(L:L,MATCH(K149,$B:$B,0)+13))</f>
        <v>125</v>
      </c>
      <c r="L154" s="425"/>
      <c r="M154" s="426"/>
      <c r="N154" s="424">
        <f>ABS(INDEX(O:O,MATCH(N149,$B:$B,0)+11)+INDEX(O:O,MATCH(N149,$B:$B,0)+12)+INDEX(O:O,MATCH(N149,$B:$B,0)+13))</f>
        <v>179</v>
      </c>
      <c r="O154" s="425"/>
      <c r="P154" s="426"/>
      <c r="Q154" s="424">
        <f>ABS(INDEX(R:R,MATCH(Q149,$B:$B,0)+11)+INDEX(R:R,MATCH(Q149,$B:$B,0)+12)+INDEX(R:R,MATCH(Q149,$B:$B,0)+13))</f>
        <v>116</v>
      </c>
      <c r="R154" s="425"/>
      <c r="S154" s="426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" customHeight="1">
      <c r="B155" s="420" t="s">
        <v>2278</v>
      </c>
      <c r="C155" s="421"/>
      <c r="D155" s="422"/>
      <c r="E155" s="407">
        <f>SUM(E152:E154)</f>
        <v>475</v>
      </c>
      <c r="F155" s="423"/>
      <c r="G155" s="408"/>
      <c r="H155" s="407">
        <f>SUM(H152:H154)</f>
        <v>454</v>
      </c>
      <c r="I155" s="423"/>
      <c r="J155" s="408"/>
      <c r="K155" s="407">
        <f>SUM(K152:K154)</f>
        <v>410</v>
      </c>
      <c r="L155" s="423"/>
      <c r="M155" s="408"/>
      <c r="N155" s="407">
        <f>SUM(N152:N154)</f>
        <v>423</v>
      </c>
      <c r="O155" s="423"/>
      <c r="P155" s="408"/>
      <c r="Q155" s="407">
        <f>SUM(Q152:Q154)</f>
        <v>435</v>
      </c>
      <c r="R155" s="423"/>
      <c r="S155" s="408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>
      <c r="A157" s="255"/>
      <c r="B157" s="7" t="s">
        <v>1802</v>
      </c>
      <c r="C157" s="24"/>
      <c r="D157" s="24"/>
      <c r="E157" s="35" t="s">
        <v>1786</v>
      </c>
      <c r="F157" s="35"/>
      <c r="G157" s="427" t="str">
        <f>Schlüssel!$C$1</f>
        <v>Landesliga Jugend</v>
      </c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  <c r="S157" s="406">
        <f>Schlüssel!$M$1</f>
        <v>45211</v>
      </c>
      <c r="T157" s="406"/>
      <c r="U157" s="406"/>
      <c r="V157" s="406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>
      <c r="A158" s="53"/>
      <c r="B158" s="54">
        <f>+B132+1</f>
        <v>7</v>
      </c>
      <c r="E158" s="35" t="s">
        <v>1787</v>
      </c>
      <c r="F158" s="35"/>
      <c r="G158" s="413" t="str">
        <f>Schlüssel!$C$2</f>
        <v>Brunnthal Max Munich</v>
      </c>
      <c r="H158" s="413"/>
      <c r="I158" s="413"/>
      <c r="J158" s="413"/>
      <c r="K158" s="413"/>
      <c r="L158" s="413"/>
      <c r="M158" s="413"/>
      <c r="N158" s="413"/>
      <c r="O158" s="413"/>
      <c r="P158" s="66"/>
      <c r="Q158" s="411" t="s">
        <v>1785</v>
      </c>
      <c r="R158" s="412"/>
      <c r="S158" s="38">
        <v>1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>
      <c r="B159" s="414" t="str">
        <f>VLOOKUP(B158,Schlüssel!$A$5:$B$12,2)</f>
        <v>BK München 1</v>
      </c>
      <c r="C159" s="415"/>
      <c r="D159" s="415"/>
      <c r="E159" s="415"/>
      <c r="F159" s="415"/>
      <c r="G159" s="416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3.8" hidden="1" thickBot="1">
      <c r="A160" s="6"/>
      <c r="B160" s="7"/>
      <c r="C160" s="43"/>
      <c r="D160" s="43"/>
      <c r="E160" s="162" t="s">
        <v>10</v>
      </c>
      <c r="F160" s="220"/>
      <c r="G160" s="159">
        <f>VLOOKUP($B158,Schlüssel!$A$5:$EK$12,13)</f>
        <v>15</v>
      </c>
      <c r="H160" s="161" t="s">
        <v>10</v>
      </c>
      <c r="I160" s="220"/>
      <c r="J160" s="159">
        <f>VLOOKUP($B158,Schlüssel!$A$5:$EK$12,14)</f>
        <v>12</v>
      </c>
      <c r="K160" s="161" t="s">
        <v>10</v>
      </c>
      <c r="L160" s="220"/>
      <c r="M160" s="159">
        <f>VLOOKUP($B158,Schlüssel!$A$5:$EK$12,15)</f>
        <v>13</v>
      </c>
      <c r="N160" s="161" t="s">
        <v>10</v>
      </c>
      <c r="O160" s="220"/>
      <c r="P160" s="159">
        <f>VLOOKUP($B158,Schlüssel!$A$5:$EK$12,16)</f>
        <v>11</v>
      </c>
      <c r="Q160" s="161" t="s">
        <v>10</v>
      </c>
      <c r="R160" s="220"/>
      <c r="S160" s="160">
        <f>VLOOKUP($B158,Schlüssel!$A$5:$DZ$12,17)</f>
        <v>9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>
      <c r="B161" s="44" t="s">
        <v>1</v>
      </c>
      <c r="C161" s="208"/>
      <c r="D161" s="217"/>
      <c r="E161" s="423" t="s">
        <v>1793</v>
      </c>
      <c r="F161" s="423"/>
      <c r="G161" s="408"/>
      <c r="H161" s="407" t="s">
        <v>1794</v>
      </c>
      <c r="I161" s="423"/>
      <c r="J161" s="408"/>
      <c r="K161" s="407" t="s">
        <v>1795</v>
      </c>
      <c r="L161" s="423"/>
      <c r="M161" s="408"/>
      <c r="N161" s="407" t="s">
        <v>1796</v>
      </c>
      <c r="O161" s="423"/>
      <c r="P161" s="408"/>
      <c r="Q161" s="407" t="s">
        <v>1797</v>
      </c>
      <c r="R161" s="423"/>
      <c r="S161" s="437"/>
      <c r="T161" s="439" t="s">
        <v>1792</v>
      </c>
      <c r="U161" s="440"/>
      <c r="V161" s="410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6.95" customHeight="1">
      <c r="A163" s="403" t="s">
        <v>0</v>
      </c>
      <c r="B163" s="58" t="str">
        <f>IF(C163=0,"",VLOOKUP(C163,Starter!$A$1:$D$196,2,FALSE))</f>
        <v>Wheeldon, Vincent</v>
      </c>
      <c r="C163" s="232">
        <v>38655</v>
      </c>
      <c r="D163" s="238">
        <f t="shared" ref="D163:D171" si="151">+AP163</f>
        <v>0</v>
      </c>
      <c r="E163" s="221">
        <v>174</v>
      </c>
      <c r="F163" s="240">
        <f t="shared" ref="F163:F171" si="152">IF(E163&gt;0,E163+$D163,0)</f>
        <v>174</v>
      </c>
      <c r="G163" s="428">
        <f>IF(SUM(F163:F165)+E178=0,0,IF(ABS(SUM(F163:F165))=E178,Spielorte!$A$30/2,IF(ABS(SUM(F163:F165))&gt;E178,Spielorte!$A$30,0)))</f>
        <v>1</v>
      </c>
      <c r="H163" s="221">
        <v>238</v>
      </c>
      <c r="I163" s="240">
        <f t="shared" ref="I163:I171" si="153">IF(H163&gt;0,H163+$D163,0)</f>
        <v>238</v>
      </c>
      <c r="J163" s="428">
        <f>IF(SUM(I163:I165)+H178=0,0,IF(ABS(SUM(I163:I165))=H178,Spielorte!$A$30/2,IF(ABS(SUM(I163:I165))&gt;H178,Spielorte!$A$30,0)))</f>
        <v>1</v>
      </c>
      <c r="K163" s="221">
        <v>201</v>
      </c>
      <c r="L163" s="240">
        <f t="shared" ref="L163:L171" si="154">IF(K163&gt;0,K163+$D163,0)</f>
        <v>201</v>
      </c>
      <c r="M163" s="428">
        <f>IF(SUM(L163:L165)+K178=0,0,IF(ABS(SUM(L163:L165))=K178,Spielorte!$A$30/2,IF(ABS(SUM(L163:L165))&gt;K178,Spielorte!$A$30,0)))</f>
        <v>1</v>
      </c>
      <c r="N163" s="221">
        <v>221</v>
      </c>
      <c r="O163" s="240">
        <f t="shared" ref="O163:O171" si="155">IF(N163&gt;0,N163+$D163,0)</f>
        <v>221</v>
      </c>
      <c r="P163" s="428">
        <f>IF(SUM(O163:O165)+N178=0,0,IF(ABS(SUM(O163:O165))=N178,Spielorte!$A$30/2,IF(ABS(SUM(O163:O165))&gt;N178,Spielorte!$A$30,0)))</f>
        <v>1</v>
      </c>
      <c r="Q163" s="221">
        <v>257</v>
      </c>
      <c r="R163" s="240">
        <f t="shared" ref="R163:R171" si="156">IF(Q163&gt;0,Q163+$D163,0)</f>
        <v>257</v>
      </c>
      <c r="S163" s="428">
        <f>IF(SUM(R163:R165)+Q178=0,0,IF(ABS(SUM(R163:R165))=Q178,Spielorte!$A$30/2,IF(ABS(SUM(R163:R165))&gt;Q178,Spielorte!$A$30,0)))</f>
        <v>1</v>
      </c>
      <c r="T163" s="221">
        <f t="shared" ref="T163:T171" si="157">ABS(SUM(E163:E163))+ABS(SUM(H163:H163))+ABS(SUM(K163:K163))+ABS(SUM(N163:N163))+ABS(SUM(Q163:Q163))</f>
        <v>1091</v>
      </c>
      <c r="U163" s="240">
        <f t="shared" ref="U163:U171" si="158">ABS(SUM(F163:F163))+ABS(SUM(I163:I163))+ABS(SUM(L163:L163))+ABS(SUM(O163:O163))+ABS(SUM(R163:R163))</f>
        <v>1091</v>
      </c>
      <c r="V163" s="400">
        <f>SUM(G163+J163+M163+P163+S163)</f>
        <v>5</v>
      </c>
      <c r="W163" s="79"/>
      <c r="X163" s="79"/>
      <c r="Y163" s="79"/>
      <c r="Z163" s="79"/>
      <c r="AA163" s="79"/>
      <c r="AB163" s="79"/>
      <c r="AL163" s="169">
        <f>IF(AU163=0,0,IFERROR(INDEX(RanglisteST1!K:K,MATCH(AU163,RanglisteST1!A:A,0)),0))</f>
        <v>190.57000732421875</v>
      </c>
      <c r="AM163" s="169">
        <f>IF(AU163=0,0,SUMIF(AU163:AU171,AU163,AV163:AV171))</f>
        <v>1091</v>
      </c>
      <c r="AN163" s="169">
        <f>IF(AU163=0,0,SUMIF(AU163:AU171,AU163,AW163:AW171))</f>
        <v>5</v>
      </c>
      <c r="AO163" s="169">
        <f t="shared" ref="AO163:AO171" si="159">IFERROR(AM163/AN163,0)</f>
        <v>218.2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60">C163</f>
        <v>38655</v>
      </c>
      <c r="AV163" s="167">
        <f>T163</f>
        <v>1091</v>
      </c>
      <c r="AW163" s="169">
        <f t="shared" ref="AW163:AW171" si="161">COUNT(AY163:BC163)</f>
        <v>5</v>
      </c>
      <c r="AX163" s="169">
        <f t="shared" ref="AX163:AX171" si="162">COUNTIF(AY163:BC163,"&gt;0")</f>
        <v>5</v>
      </c>
      <c r="AY163" s="169">
        <f>IF(E163=0,"",E163)</f>
        <v>174</v>
      </c>
      <c r="AZ163" s="169">
        <f t="shared" ref="AZ163:AZ171" si="163">IF(H163=0,"",H163)</f>
        <v>238</v>
      </c>
      <c r="BA163" s="169">
        <f t="shared" ref="BA163:BA171" si="164">IF(K163=0,"",K163)</f>
        <v>201</v>
      </c>
      <c r="BB163" s="169">
        <f t="shared" ref="BB163:BB171" si="165">IF(N163=0,"",N163)</f>
        <v>221</v>
      </c>
      <c r="BC163" s="169">
        <f t="shared" ref="BC163:BC171" si="166">IF(Q163=0,"",Q163)</f>
        <v>257</v>
      </c>
      <c r="BD163" s="170"/>
      <c r="BE163" s="168"/>
      <c r="BF163" s="169">
        <f t="shared" ref="BF163:BF171" si="167">MAX(AY163:BC163)</f>
        <v>257</v>
      </c>
      <c r="BG163" s="169">
        <f t="shared" ref="BG163:BG171" si="168">IF(BF163&lt;MAX(BF:BF),0,BF163+ROW()/1000000000)</f>
        <v>257.00000016299998</v>
      </c>
      <c r="BH163" s="169" t="str">
        <f>+B159</f>
        <v>BK München 1</v>
      </c>
      <c r="BI163" s="168">
        <f t="shared" ref="BI163:BI171" si="169">RANK(BG163,BG:BG)</f>
        <v>1</v>
      </c>
      <c r="BJ163" s="169">
        <f t="shared" ref="BJ163:BJ171" si="170">SUMIF(AY163:BC163,"&gt;0")</f>
        <v>1091</v>
      </c>
      <c r="BK163" s="169">
        <f>IF(COUNTIF(AY163:BC163,"&gt;0")&lt;Spielorte!$A$23,0,AV163/Spielorte!$A$23)</f>
        <v>218.2</v>
      </c>
      <c r="BL163" s="169">
        <f t="shared" ref="BL163:BL171" si="171">IF(BK163&lt;MAX(BK:BK),0,BK163+ROW()/1000000000)</f>
        <v>218.200000163</v>
      </c>
      <c r="BM163" s="168">
        <f t="shared" ref="BM163:BM171" si="172">IF(BL163=0,0,RANK(BL163,BL:BL))</f>
        <v>1</v>
      </c>
    </row>
    <row r="164" spans="1:65" ht="16.95" customHeight="1">
      <c r="A164" s="404"/>
      <c r="B164" s="58" t="str">
        <f>IF(C164=0,"",VLOOKUP(C164,Starter!$A$1:$D$196,2,FALSE))</f>
        <v/>
      </c>
      <c r="C164" s="233"/>
      <c r="D164" s="239">
        <f t="shared" si="151"/>
        <v>0</v>
      </c>
      <c r="E164" s="222"/>
      <c r="F164" s="241">
        <f t="shared" si="152"/>
        <v>0</v>
      </c>
      <c r="G164" s="429"/>
      <c r="H164" s="222"/>
      <c r="I164" s="241">
        <f t="shared" si="153"/>
        <v>0</v>
      </c>
      <c r="J164" s="429"/>
      <c r="K164" s="222"/>
      <c r="L164" s="241">
        <f t="shared" si="154"/>
        <v>0</v>
      </c>
      <c r="M164" s="429"/>
      <c r="N164" s="222"/>
      <c r="O164" s="241">
        <f t="shared" si="155"/>
        <v>0</v>
      </c>
      <c r="P164" s="429"/>
      <c r="Q164" s="222"/>
      <c r="R164" s="241">
        <f t="shared" si="156"/>
        <v>0</v>
      </c>
      <c r="S164" s="429"/>
      <c r="T164" s="222">
        <f t="shared" si="157"/>
        <v>0</v>
      </c>
      <c r="U164" s="241">
        <f t="shared" si="158"/>
        <v>0</v>
      </c>
      <c r="V164" s="401"/>
      <c r="W164" s="79"/>
      <c r="X164" s="79"/>
      <c r="Y164" s="79"/>
      <c r="Z164" s="79"/>
      <c r="AA164" s="79"/>
      <c r="AB164" s="79"/>
      <c r="AL164" s="169">
        <f>IF(AU164=0,0,IFERROR(INDEX(RanglisteST1!K:K,MATCH(AU164,RanglisteST1!A:A,0)),0))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9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60"/>
        <v>0</v>
      </c>
      <c r="AV164" s="167">
        <f t="shared" ref="AV164:AV171" si="173">T164</f>
        <v>0</v>
      </c>
      <c r="AW164" s="169">
        <f t="shared" si="161"/>
        <v>0</v>
      </c>
      <c r="AX164" s="169">
        <f t="shared" si="162"/>
        <v>0</v>
      </c>
      <c r="AY164" s="169" t="str">
        <f t="shared" ref="AY164:AY171" si="174">IF(E164=0,"",E164)</f>
        <v/>
      </c>
      <c r="AZ164" s="169" t="str">
        <f t="shared" si="163"/>
        <v/>
      </c>
      <c r="BA164" s="169" t="str">
        <f t="shared" si="164"/>
        <v/>
      </c>
      <c r="BB164" s="169" t="str">
        <f t="shared" si="165"/>
        <v/>
      </c>
      <c r="BC164" s="169" t="str">
        <f t="shared" si="166"/>
        <v/>
      </c>
      <c r="BD164" s="170"/>
      <c r="BE164" s="168"/>
      <c r="BF164" s="169">
        <f t="shared" si="167"/>
        <v>0</v>
      </c>
      <c r="BG164" s="169">
        <f t="shared" si="168"/>
        <v>0</v>
      </c>
      <c r="BH164" s="169" t="str">
        <f t="shared" ref="BH164:BH171" si="175">+BH163</f>
        <v>BK München 1</v>
      </c>
      <c r="BI164" s="168">
        <f t="shared" si="169"/>
        <v>2</v>
      </c>
      <c r="BJ164" s="169">
        <f t="shared" si="170"/>
        <v>0</v>
      </c>
      <c r="BK164" s="169">
        <f>IF(COUNTIF(AY164:BC164,"&gt;0")&lt;Spielorte!$A$23,0,AV164/Spielorte!$A$23)</f>
        <v>0</v>
      </c>
      <c r="BL164" s="169">
        <f t="shared" si="171"/>
        <v>0</v>
      </c>
      <c r="BM164" s="168">
        <f t="shared" si="172"/>
        <v>0</v>
      </c>
    </row>
    <row r="165" spans="1:65" ht="16.95" customHeight="1" thickBot="1">
      <c r="A165" s="405"/>
      <c r="B165" s="59" t="str">
        <f>IF(C165=0,"",VLOOKUP(C165,Starter!$A$1:$D$196,2,FALSE))</f>
        <v/>
      </c>
      <c r="C165" s="234"/>
      <c r="D165" s="223">
        <f t="shared" si="151"/>
        <v>0</v>
      </c>
      <c r="E165" s="224"/>
      <c r="F165" s="242">
        <f t="shared" si="152"/>
        <v>0</v>
      </c>
      <c r="G165" s="430"/>
      <c r="H165" s="224"/>
      <c r="I165" s="242">
        <f t="shared" si="153"/>
        <v>0</v>
      </c>
      <c r="J165" s="430"/>
      <c r="K165" s="224"/>
      <c r="L165" s="242">
        <f t="shared" si="154"/>
        <v>0</v>
      </c>
      <c r="M165" s="430"/>
      <c r="N165" s="224"/>
      <c r="O165" s="242">
        <f t="shared" si="155"/>
        <v>0</v>
      </c>
      <c r="P165" s="430"/>
      <c r="Q165" s="224"/>
      <c r="R165" s="242">
        <f t="shared" si="156"/>
        <v>0</v>
      </c>
      <c r="S165" s="430"/>
      <c r="T165" s="224">
        <f t="shared" si="157"/>
        <v>0</v>
      </c>
      <c r="U165" s="242">
        <f t="shared" si="158"/>
        <v>0</v>
      </c>
      <c r="V165" s="402"/>
      <c r="W165" s="79"/>
      <c r="X165" s="79"/>
      <c r="Y165" s="79"/>
      <c r="Z165" s="79"/>
      <c r="AA165" s="79"/>
      <c r="AB165" s="79"/>
      <c r="AL165" s="169">
        <f>IF(AU165=0,0,IFERROR(INDEX(RanglisteST1!K:K,MATCH(AU165,RanglisteST1!A:A,0)),0))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9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60"/>
        <v>0</v>
      </c>
      <c r="AV165" s="167">
        <f t="shared" si="173"/>
        <v>0</v>
      </c>
      <c r="AW165" s="169">
        <f t="shared" si="161"/>
        <v>0</v>
      </c>
      <c r="AX165" s="169">
        <f t="shared" si="162"/>
        <v>0</v>
      </c>
      <c r="AY165" s="169" t="str">
        <f t="shared" si="174"/>
        <v/>
      </c>
      <c r="AZ165" s="169" t="str">
        <f t="shared" si="163"/>
        <v/>
      </c>
      <c r="BA165" s="169" t="str">
        <f t="shared" si="164"/>
        <v/>
      </c>
      <c r="BB165" s="169" t="str">
        <f t="shared" si="165"/>
        <v/>
      </c>
      <c r="BC165" s="169" t="str">
        <f t="shared" si="166"/>
        <v/>
      </c>
      <c r="BD165" s="170"/>
      <c r="BE165" s="168"/>
      <c r="BF165" s="169">
        <f t="shared" si="167"/>
        <v>0</v>
      </c>
      <c r="BG165" s="169">
        <f t="shared" si="168"/>
        <v>0</v>
      </c>
      <c r="BH165" s="169" t="str">
        <f t="shared" si="175"/>
        <v>BK München 1</v>
      </c>
      <c r="BI165" s="168">
        <f t="shared" si="169"/>
        <v>2</v>
      </c>
      <c r="BJ165" s="169">
        <f t="shared" si="170"/>
        <v>0</v>
      </c>
      <c r="BK165" s="169">
        <f>IF(COUNTIF(AY165:BC165,"&gt;0")&lt;Spielorte!$A$23,0,AV165/Spielorte!$A$23)</f>
        <v>0</v>
      </c>
      <c r="BL165" s="169">
        <f t="shared" si="171"/>
        <v>0</v>
      </c>
      <c r="BM165" s="168">
        <f t="shared" si="172"/>
        <v>0</v>
      </c>
    </row>
    <row r="166" spans="1:65" ht="16.95" customHeight="1">
      <c r="A166" s="403" t="s">
        <v>2</v>
      </c>
      <c r="B166" s="58" t="str">
        <f>IF(C166=0,"",VLOOKUP(C166,Starter!$A$1:$D$196,2,FALSE))</f>
        <v>Jakobi, Moritz</v>
      </c>
      <c r="C166" s="235">
        <v>38327</v>
      </c>
      <c r="D166" s="238">
        <f t="shared" si="151"/>
        <v>0</v>
      </c>
      <c r="E166" s="221">
        <v>159</v>
      </c>
      <c r="F166" s="240">
        <f t="shared" si="152"/>
        <v>159</v>
      </c>
      <c r="G166" s="428">
        <f>IF(SUM(F166:F168)+E179=0,0,IF(ABS(SUM(F166:F168))=E179,Spielorte!$A$30/2,IF(ABS(SUM(F166:F168))&gt;E179,Spielorte!$A$30,0)))</f>
        <v>1</v>
      </c>
      <c r="H166" s="221">
        <v>171</v>
      </c>
      <c r="I166" s="240">
        <f t="shared" si="153"/>
        <v>171</v>
      </c>
      <c r="J166" s="428">
        <f>IF(SUM(I166:I168)+H179=0,0,IF(ABS(SUM(I166:I168))=H179,Spielorte!$A$30/2,IF(ABS(SUM(I166:I168))&gt;H179,Spielorte!$A$30,0)))</f>
        <v>1</v>
      </c>
      <c r="K166" s="221">
        <v>198</v>
      </c>
      <c r="L166" s="240">
        <f t="shared" si="154"/>
        <v>198</v>
      </c>
      <c r="M166" s="428">
        <f>IF(SUM(L166:L168)+K179=0,0,IF(ABS(SUM(L166:L168))=K179,Spielorte!$A$30/2,IF(ABS(SUM(L166:L168))&gt;K179,Spielorte!$A$30,0)))</f>
        <v>1</v>
      </c>
      <c r="N166" s="221">
        <v>149</v>
      </c>
      <c r="O166" s="240">
        <f t="shared" si="155"/>
        <v>149</v>
      </c>
      <c r="P166" s="428">
        <f>IF(SUM(O166:O168)+N179=0,0,IF(ABS(SUM(O166:O168))=N179,Spielorte!$A$30/2,IF(ABS(SUM(O166:O168))&gt;N179,Spielorte!$A$30,0)))</f>
        <v>0</v>
      </c>
      <c r="Q166" s="221">
        <v>149</v>
      </c>
      <c r="R166" s="240">
        <f t="shared" si="156"/>
        <v>149</v>
      </c>
      <c r="S166" s="428">
        <f>IF(SUM(R166:R168)+Q179=0,0,IF(ABS(SUM(R166:R168))=Q179,Spielorte!$A$30/2,IF(ABS(SUM(R166:R168))&gt;Q179,Spielorte!$A$30,0)))</f>
        <v>0</v>
      </c>
      <c r="T166" s="221">
        <f t="shared" si="157"/>
        <v>826</v>
      </c>
      <c r="U166" s="240">
        <f t="shared" si="158"/>
        <v>826</v>
      </c>
      <c r="V166" s="400">
        <f>SUM(G166+J166+M166+P166+S166)</f>
        <v>3</v>
      </c>
      <c r="W166" s="79"/>
      <c r="X166" s="79"/>
      <c r="Y166" s="79"/>
      <c r="Z166" s="79"/>
      <c r="AA166" s="79"/>
      <c r="AB166" s="79"/>
      <c r="AL166" s="169">
        <f>IF(AU166=0,0,IFERROR(INDEX(RanglisteST1!K:K,MATCH(AU166,RanglisteST1!A:A,0)),0))</f>
        <v>202.30999755859375</v>
      </c>
      <c r="AM166" s="169">
        <f>IF(AU166=0,0,SUMIF(AU163:AU171,AU166,AV163:AV171))</f>
        <v>826</v>
      </c>
      <c r="AN166" s="169">
        <f>IF(AU166=0,0,SUMIF(AU163:AU171,AU166,AW163:AW171))</f>
        <v>5</v>
      </c>
      <c r="AO166" s="169">
        <f t="shared" si="159"/>
        <v>165.2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60"/>
        <v>38327</v>
      </c>
      <c r="AV166" s="167">
        <f t="shared" si="173"/>
        <v>826</v>
      </c>
      <c r="AW166" s="169">
        <f t="shared" si="161"/>
        <v>5</v>
      </c>
      <c r="AX166" s="169">
        <f t="shared" si="162"/>
        <v>5</v>
      </c>
      <c r="AY166" s="169">
        <f t="shared" si="174"/>
        <v>159</v>
      </c>
      <c r="AZ166" s="169">
        <f t="shared" si="163"/>
        <v>171</v>
      </c>
      <c r="BA166" s="169">
        <f t="shared" si="164"/>
        <v>198</v>
      </c>
      <c r="BB166" s="169">
        <f t="shared" si="165"/>
        <v>149</v>
      </c>
      <c r="BC166" s="169">
        <f t="shared" si="166"/>
        <v>149</v>
      </c>
      <c r="BD166" s="170"/>
      <c r="BE166" s="168"/>
      <c r="BF166" s="169">
        <f t="shared" si="167"/>
        <v>198</v>
      </c>
      <c r="BG166" s="169">
        <f t="shared" si="168"/>
        <v>0</v>
      </c>
      <c r="BH166" s="169" t="str">
        <f t="shared" si="175"/>
        <v>BK München 1</v>
      </c>
      <c r="BI166" s="168">
        <f t="shared" si="169"/>
        <v>2</v>
      </c>
      <c r="BJ166" s="169">
        <f t="shared" si="170"/>
        <v>826</v>
      </c>
      <c r="BK166" s="169">
        <f>IF(COUNTIF(AY166:BC166,"&gt;0")&lt;Spielorte!$A$23,0,AV166/Spielorte!$A$23)</f>
        <v>165.2</v>
      </c>
      <c r="BL166" s="169">
        <f t="shared" si="171"/>
        <v>0</v>
      </c>
      <c r="BM166" s="168">
        <f t="shared" si="172"/>
        <v>0</v>
      </c>
    </row>
    <row r="167" spans="1:65" ht="16.95" customHeight="1">
      <c r="A167" s="404"/>
      <c r="B167" s="58" t="str">
        <f>IF(C167=0,"",VLOOKUP(C167,Starter!$A$1:$D$196,2,FALSE))</f>
        <v/>
      </c>
      <c r="C167" s="233"/>
      <c r="D167" s="239">
        <f t="shared" si="151"/>
        <v>0</v>
      </c>
      <c r="E167" s="222"/>
      <c r="F167" s="241">
        <f t="shared" si="152"/>
        <v>0</v>
      </c>
      <c r="G167" s="429"/>
      <c r="H167" s="222"/>
      <c r="I167" s="241">
        <f t="shared" si="153"/>
        <v>0</v>
      </c>
      <c r="J167" s="429"/>
      <c r="K167" s="222"/>
      <c r="L167" s="241">
        <f t="shared" si="154"/>
        <v>0</v>
      </c>
      <c r="M167" s="429"/>
      <c r="N167" s="222"/>
      <c r="O167" s="241">
        <f t="shared" si="155"/>
        <v>0</v>
      </c>
      <c r="P167" s="429"/>
      <c r="Q167" s="222"/>
      <c r="R167" s="241">
        <f t="shared" si="156"/>
        <v>0</v>
      </c>
      <c r="S167" s="429"/>
      <c r="T167" s="222">
        <f t="shared" si="157"/>
        <v>0</v>
      </c>
      <c r="U167" s="241">
        <f t="shared" si="158"/>
        <v>0</v>
      </c>
      <c r="V167" s="401"/>
      <c r="W167" s="79"/>
      <c r="X167" s="79"/>
      <c r="Y167" s="79"/>
      <c r="Z167" s="79"/>
      <c r="AA167" s="79"/>
      <c r="AB167" s="79"/>
      <c r="AL167" s="169">
        <f>IF(AU167=0,0,IFERROR(INDEX(RanglisteST1!K:K,MATCH(AU167,RanglisteST1!A:A,0)),0))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9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60"/>
        <v>0</v>
      </c>
      <c r="AV167" s="167">
        <f t="shared" si="173"/>
        <v>0</v>
      </c>
      <c r="AW167" s="169">
        <f t="shared" si="161"/>
        <v>0</v>
      </c>
      <c r="AX167" s="169">
        <f t="shared" si="162"/>
        <v>0</v>
      </c>
      <c r="AY167" s="169" t="str">
        <f t="shared" si="174"/>
        <v/>
      </c>
      <c r="AZ167" s="169" t="str">
        <f t="shared" si="163"/>
        <v/>
      </c>
      <c r="BA167" s="169" t="str">
        <f t="shared" si="164"/>
        <v/>
      </c>
      <c r="BB167" s="169" t="str">
        <f t="shared" si="165"/>
        <v/>
      </c>
      <c r="BC167" s="169" t="str">
        <f t="shared" si="166"/>
        <v/>
      </c>
      <c r="BD167" s="170"/>
      <c r="BE167" s="168"/>
      <c r="BF167" s="169">
        <f t="shared" si="167"/>
        <v>0</v>
      </c>
      <c r="BG167" s="169">
        <f t="shared" si="168"/>
        <v>0</v>
      </c>
      <c r="BH167" s="169" t="str">
        <f t="shared" si="175"/>
        <v>BK München 1</v>
      </c>
      <c r="BI167" s="168">
        <f t="shared" si="169"/>
        <v>2</v>
      </c>
      <c r="BJ167" s="169">
        <f t="shared" si="170"/>
        <v>0</v>
      </c>
      <c r="BK167" s="169">
        <f>IF(COUNTIF(AY167:BC167,"&gt;0")&lt;Spielorte!$A$23,0,AV167/Spielorte!$A$23)</f>
        <v>0</v>
      </c>
      <c r="BL167" s="169">
        <f t="shared" si="171"/>
        <v>0</v>
      </c>
      <c r="BM167" s="168">
        <f t="shared" si="172"/>
        <v>0</v>
      </c>
    </row>
    <row r="168" spans="1:65" ht="16.95" customHeight="1" thickBot="1">
      <c r="A168" s="405"/>
      <c r="B168" s="60" t="str">
        <f>IF(C168=0,"",VLOOKUP(C168,Starter!$A$1:$D$196,2,FALSE))</f>
        <v/>
      </c>
      <c r="C168" s="236"/>
      <c r="D168" s="223">
        <f t="shared" si="151"/>
        <v>0</v>
      </c>
      <c r="E168" s="224"/>
      <c r="F168" s="242">
        <f t="shared" si="152"/>
        <v>0</v>
      </c>
      <c r="G168" s="430"/>
      <c r="H168" s="224"/>
      <c r="I168" s="242">
        <f t="shared" si="153"/>
        <v>0</v>
      </c>
      <c r="J168" s="430"/>
      <c r="K168" s="224"/>
      <c r="L168" s="242">
        <f t="shared" si="154"/>
        <v>0</v>
      </c>
      <c r="M168" s="430"/>
      <c r="N168" s="224"/>
      <c r="O168" s="242">
        <f t="shared" si="155"/>
        <v>0</v>
      </c>
      <c r="P168" s="430"/>
      <c r="Q168" s="224"/>
      <c r="R168" s="242">
        <f t="shared" si="156"/>
        <v>0</v>
      </c>
      <c r="S168" s="430"/>
      <c r="T168" s="224">
        <f t="shared" si="157"/>
        <v>0</v>
      </c>
      <c r="U168" s="242">
        <f t="shared" si="158"/>
        <v>0</v>
      </c>
      <c r="V168" s="402"/>
      <c r="W168" s="79"/>
      <c r="X168" s="79"/>
      <c r="Y168" s="79"/>
      <c r="Z168" s="79"/>
      <c r="AA168" s="79"/>
      <c r="AB168" s="79"/>
      <c r="AL168" s="169">
        <f>IF(AU168=0,0,IFERROR(INDEX(RanglisteST1!K:K,MATCH(AU168,RanglisteST1!A:A,0)),0))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9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60"/>
        <v>0</v>
      </c>
      <c r="AV168" s="167">
        <f t="shared" si="173"/>
        <v>0</v>
      </c>
      <c r="AW168" s="169">
        <f t="shared" si="161"/>
        <v>0</v>
      </c>
      <c r="AX168" s="169">
        <f t="shared" si="162"/>
        <v>0</v>
      </c>
      <c r="AY168" s="169" t="str">
        <f t="shared" si="174"/>
        <v/>
      </c>
      <c r="AZ168" s="169" t="str">
        <f t="shared" si="163"/>
        <v/>
      </c>
      <c r="BA168" s="169" t="str">
        <f t="shared" si="164"/>
        <v/>
      </c>
      <c r="BB168" s="169" t="str">
        <f t="shared" si="165"/>
        <v/>
      </c>
      <c r="BC168" s="169" t="str">
        <f t="shared" si="166"/>
        <v/>
      </c>
      <c r="BD168" s="170"/>
      <c r="BE168" s="168"/>
      <c r="BF168" s="169">
        <f t="shared" si="167"/>
        <v>0</v>
      </c>
      <c r="BG168" s="169">
        <f t="shared" si="168"/>
        <v>0</v>
      </c>
      <c r="BH168" s="169" t="str">
        <f t="shared" si="175"/>
        <v>BK München 1</v>
      </c>
      <c r="BI168" s="168">
        <f t="shared" si="169"/>
        <v>2</v>
      </c>
      <c r="BJ168" s="169">
        <f t="shared" si="170"/>
        <v>0</v>
      </c>
      <c r="BK168" s="169">
        <f>IF(COUNTIF(AY168:BC168,"&gt;0")&lt;Spielorte!$A$23,0,AV168/Spielorte!$A$23)</f>
        <v>0</v>
      </c>
      <c r="BL168" s="169">
        <f t="shared" si="171"/>
        <v>0</v>
      </c>
      <c r="BM168" s="168">
        <f t="shared" si="172"/>
        <v>0</v>
      </c>
    </row>
    <row r="169" spans="1:65" ht="16.95" customHeight="1">
      <c r="A169" s="403" t="s">
        <v>3</v>
      </c>
      <c r="B169" s="58" t="str">
        <f>IF(C169=0,"",VLOOKUP(C169,Starter!$A$1:$D$196,2,FALSE))</f>
        <v>Gründl, Alexander</v>
      </c>
      <c r="C169" s="235">
        <v>38708</v>
      </c>
      <c r="D169" s="238">
        <f t="shared" si="151"/>
        <v>0</v>
      </c>
      <c r="E169" s="221">
        <v>165</v>
      </c>
      <c r="F169" s="240">
        <f t="shared" si="152"/>
        <v>165</v>
      </c>
      <c r="G169" s="428">
        <f>IF(SUM(F169:F171)+E180=0,0,IF(ABS(SUM(F169:F171))=E180,Spielorte!$A$30/2,IF(ABS(SUM(F169:F171))&gt;E180,Spielorte!$A$30,0)))</f>
        <v>1</v>
      </c>
      <c r="H169" s="221">
        <v>192</v>
      </c>
      <c r="I169" s="240">
        <f t="shared" si="153"/>
        <v>192</v>
      </c>
      <c r="J169" s="428">
        <f>IF(SUM(I169:I171)+H180=0,0,IF(ABS(SUM(I169:I171))=H180,Spielorte!$A$30/2,IF(ABS(SUM(I169:I171))&gt;H180,Spielorte!$A$30,0)))</f>
        <v>1</v>
      </c>
      <c r="K169" s="221">
        <v>254</v>
      </c>
      <c r="L169" s="240">
        <f t="shared" si="154"/>
        <v>254</v>
      </c>
      <c r="M169" s="428">
        <f>IF(SUM(L169:L171)+K180=0,0,IF(ABS(SUM(L169:L171))=K180,Spielorte!$A$30/2,IF(ABS(SUM(L169:L171))&gt;K180,Spielorte!$A$30,0)))</f>
        <v>1</v>
      </c>
      <c r="N169" s="221">
        <v>212</v>
      </c>
      <c r="O169" s="240">
        <f t="shared" si="155"/>
        <v>212</v>
      </c>
      <c r="P169" s="428">
        <f>IF(SUM(O169:O171)+N180=0,0,IF(ABS(SUM(O169:O171))=N180,Spielorte!$A$30/2,IF(ABS(SUM(O169:O171))&gt;N180,Spielorte!$A$30,0)))</f>
        <v>1</v>
      </c>
      <c r="Q169" s="221">
        <v>229</v>
      </c>
      <c r="R169" s="240">
        <f t="shared" si="156"/>
        <v>229</v>
      </c>
      <c r="S169" s="428">
        <f>IF(SUM(R169:R171)+Q180=0,0,IF(ABS(SUM(R169:R171))=Q180,Spielorte!$A$30/2,IF(ABS(SUM(R169:R171))&gt;Q180,Spielorte!$A$30,0)))</f>
        <v>1</v>
      </c>
      <c r="T169" s="221">
        <f t="shared" si="157"/>
        <v>1052</v>
      </c>
      <c r="U169" s="240">
        <f t="shared" si="158"/>
        <v>1052</v>
      </c>
      <c r="V169" s="400">
        <f>SUM(G169+J169+M169+P169+S169)</f>
        <v>5</v>
      </c>
      <c r="W169" s="79"/>
      <c r="X169" s="79"/>
      <c r="Y169" s="79"/>
      <c r="Z169" s="79"/>
      <c r="AA169" s="79"/>
      <c r="AB169" s="79"/>
      <c r="AL169" s="169">
        <f>IF(AU169=0,0,IFERROR(INDEX(RanglisteST1!K:K,MATCH(AU169,RanglisteST1!A:A,0)),0))</f>
        <v>207.63999938964844</v>
      </c>
      <c r="AM169" s="169">
        <f>IF(AU169=0,0,SUMIF(AU163:AU171,AU169,AV163:AV171))</f>
        <v>1052</v>
      </c>
      <c r="AN169" s="169">
        <f>IF(AU169=0,0,SUMIF(AU163:AU171,AU169,AW163:AW171))</f>
        <v>5</v>
      </c>
      <c r="AO169" s="169">
        <f t="shared" si="159"/>
        <v>210.4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60"/>
        <v>38708</v>
      </c>
      <c r="AV169" s="167">
        <f t="shared" si="173"/>
        <v>1052</v>
      </c>
      <c r="AW169" s="169">
        <f t="shared" si="161"/>
        <v>5</v>
      </c>
      <c r="AX169" s="169">
        <f t="shared" si="162"/>
        <v>5</v>
      </c>
      <c r="AY169" s="169">
        <f t="shared" si="174"/>
        <v>165</v>
      </c>
      <c r="AZ169" s="169">
        <f t="shared" si="163"/>
        <v>192</v>
      </c>
      <c r="BA169" s="169">
        <f t="shared" si="164"/>
        <v>254</v>
      </c>
      <c r="BB169" s="169">
        <f t="shared" si="165"/>
        <v>212</v>
      </c>
      <c r="BC169" s="169">
        <f t="shared" si="166"/>
        <v>229</v>
      </c>
      <c r="BD169" s="170"/>
      <c r="BE169" s="168"/>
      <c r="BF169" s="169">
        <f t="shared" si="167"/>
        <v>254</v>
      </c>
      <c r="BG169" s="169">
        <f t="shared" si="168"/>
        <v>0</v>
      </c>
      <c r="BH169" s="169" t="str">
        <f t="shared" si="175"/>
        <v>BK München 1</v>
      </c>
      <c r="BI169" s="168">
        <f t="shared" si="169"/>
        <v>2</v>
      </c>
      <c r="BJ169" s="169">
        <f t="shared" si="170"/>
        <v>1052</v>
      </c>
      <c r="BK169" s="169">
        <f>IF(COUNTIF(AY169:BC169,"&gt;0")&lt;Spielorte!$A$23,0,AV169/Spielorte!$A$23)</f>
        <v>210.4</v>
      </c>
      <c r="BL169" s="169">
        <f t="shared" si="171"/>
        <v>0</v>
      </c>
      <c r="BM169" s="168">
        <f t="shared" si="172"/>
        <v>0</v>
      </c>
    </row>
    <row r="170" spans="1:65" ht="16.95" customHeight="1">
      <c r="A170" s="404"/>
      <c r="B170" s="58" t="str">
        <f>IF(C170=0,"",VLOOKUP(C170,Starter!$A$1:$D$196,2,FALSE))</f>
        <v/>
      </c>
      <c r="C170" s="233"/>
      <c r="D170" s="239">
        <f t="shared" si="151"/>
        <v>0</v>
      </c>
      <c r="E170" s="222"/>
      <c r="F170" s="241">
        <f t="shared" si="152"/>
        <v>0</v>
      </c>
      <c r="G170" s="429"/>
      <c r="H170" s="222"/>
      <c r="I170" s="241">
        <f t="shared" si="153"/>
        <v>0</v>
      </c>
      <c r="J170" s="429"/>
      <c r="K170" s="222"/>
      <c r="L170" s="241">
        <f t="shared" si="154"/>
        <v>0</v>
      </c>
      <c r="M170" s="429"/>
      <c r="N170" s="222"/>
      <c r="O170" s="241">
        <f t="shared" si="155"/>
        <v>0</v>
      </c>
      <c r="P170" s="429"/>
      <c r="Q170" s="222"/>
      <c r="R170" s="241">
        <f t="shared" si="156"/>
        <v>0</v>
      </c>
      <c r="S170" s="429"/>
      <c r="T170" s="222">
        <f t="shared" si="157"/>
        <v>0</v>
      </c>
      <c r="U170" s="241">
        <f t="shared" si="158"/>
        <v>0</v>
      </c>
      <c r="V170" s="401"/>
      <c r="W170" s="79"/>
      <c r="X170" s="79"/>
      <c r="Y170" s="79"/>
      <c r="Z170" s="79"/>
      <c r="AA170" s="79"/>
      <c r="AB170" s="79"/>
      <c r="AL170" s="169">
        <f>IF(AU170=0,0,IFERROR(INDEX(RanglisteST1!K:K,MATCH(AU170,RanglisteST1!A:A,0)),0))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9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60"/>
        <v>0</v>
      </c>
      <c r="AV170" s="167">
        <f t="shared" si="173"/>
        <v>0</v>
      </c>
      <c r="AW170" s="169">
        <f t="shared" si="161"/>
        <v>0</v>
      </c>
      <c r="AX170" s="169">
        <f t="shared" si="162"/>
        <v>0</v>
      </c>
      <c r="AY170" s="169" t="str">
        <f t="shared" si="174"/>
        <v/>
      </c>
      <c r="AZ170" s="169" t="str">
        <f t="shared" si="163"/>
        <v/>
      </c>
      <c r="BA170" s="169" t="str">
        <f t="shared" si="164"/>
        <v/>
      </c>
      <c r="BB170" s="169" t="str">
        <f t="shared" si="165"/>
        <v/>
      </c>
      <c r="BC170" s="169" t="str">
        <f t="shared" si="166"/>
        <v/>
      </c>
      <c r="BD170" s="170"/>
      <c r="BE170" s="168"/>
      <c r="BF170" s="169">
        <f t="shared" si="167"/>
        <v>0</v>
      </c>
      <c r="BG170" s="169">
        <f t="shared" si="168"/>
        <v>0</v>
      </c>
      <c r="BH170" s="169" t="str">
        <f t="shared" si="175"/>
        <v>BK München 1</v>
      </c>
      <c r="BI170" s="168">
        <f t="shared" si="169"/>
        <v>2</v>
      </c>
      <c r="BJ170" s="169">
        <f t="shared" si="170"/>
        <v>0</v>
      </c>
      <c r="BK170" s="169">
        <f>IF(COUNTIF(AY170:BC170,"&gt;0")&lt;Spielorte!$A$23,0,AV170/Spielorte!$A$23)</f>
        <v>0</v>
      </c>
      <c r="BL170" s="169">
        <f t="shared" si="171"/>
        <v>0</v>
      </c>
      <c r="BM170" s="168">
        <f t="shared" si="172"/>
        <v>0</v>
      </c>
    </row>
    <row r="171" spans="1:65" ht="16.95" customHeight="1" thickBot="1">
      <c r="A171" s="405"/>
      <c r="B171" s="60" t="str">
        <f>IF(C171=0,"",VLOOKUP(C171,Starter!$A$1:$D$196,2,FALSE))</f>
        <v/>
      </c>
      <c r="C171" s="236"/>
      <c r="D171" s="223">
        <f t="shared" si="151"/>
        <v>0</v>
      </c>
      <c r="E171" s="224"/>
      <c r="F171" s="242">
        <f t="shared" si="152"/>
        <v>0</v>
      </c>
      <c r="G171" s="430"/>
      <c r="H171" s="224"/>
      <c r="I171" s="242">
        <f t="shared" si="153"/>
        <v>0</v>
      </c>
      <c r="J171" s="430"/>
      <c r="K171" s="224"/>
      <c r="L171" s="242">
        <f t="shared" si="154"/>
        <v>0</v>
      </c>
      <c r="M171" s="430"/>
      <c r="N171" s="224"/>
      <c r="O171" s="242">
        <f t="shared" si="155"/>
        <v>0</v>
      </c>
      <c r="P171" s="430"/>
      <c r="Q171" s="224"/>
      <c r="R171" s="242">
        <f t="shared" si="156"/>
        <v>0</v>
      </c>
      <c r="S171" s="430"/>
      <c r="T171" s="224">
        <f t="shared" si="157"/>
        <v>0</v>
      </c>
      <c r="U171" s="242">
        <f t="shared" si="158"/>
        <v>0</v>
      </c>
      <c r="V171" s="402"/>
      <c r="W171" s="79"/>
      <c r="X171" s="79"/>
      <c r="Y171" s="79"/>
      <c r="Z171" s="79"/>
      <c r="AA171" s="79"/>
      <c r="AB171" s="79"/>
      <c r="AL171" s="169">
        <f>IF(AU171=0,0,IFERROR(INDEX(RanglisteST1!K:K,MATCH(AU171,RanglisteST1!A:A,0)),0))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9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60"/>
        <v>0</v>
      </c>
      <c r="AV171" s="167">
        <f t="shared" si="173"/>
        <v>0</v>
      </c>
      <c r="AW171" s="169">
        <f t="shared" si="161"/>
        <v>0</v>
      </c>
      <c r="AX171" s="169">
        <f t="shared" si="162"/>
        <v>0</v>
      </c>
      <c r="AY171" s="169" t="str">
        <f t="shared" si="174"/>
        <v/>
      </c>
      <c r="AZ171" s="169" t="str">
        <f t="shared" si="163"/>
        <v/>
      </c>
      <c r="BA171" s="169" t="str">
        <f t="shared" si="164"/>
        <v/>
      </c>
      <c r="BB171" s="169" t="str">
        <f t="shared" si="165"/>
        <v/>
      </c>
      <c r="BC171" s="169" t="str">
        <f t="shared" si="166"/>
        <v/>
      </c>
      <c r="BD171" s="170"/>
      <c r="BE171" s="168"/>
      <c r="BF171" s="169">
        <f t="shared" si="167"/>
        <v>0</v>
      </c>
      <c r="BG171" s="169">
        <f t="shared" si="168"/>
        <v>0</v>
      </c>
      <c r="BH171" s="169" t="str">
        <f t="shared" si="175"/>
        <v>BK München 1</v>
      </c>
      <c r="BI171" s="168">
        <f t="shared" si="169"/>
        <v>2</v>
      </c>
      <c r="BJ171" s="169">
        <f t="shared" si="170"/>
        <v>0</v>
      </c>
      <c r="BK171" s="169">
        <f>IF(COUNTIF(AY171:BC171,"&gt;0")&lt;Spielorte!$A$23,0,AV171/Spielorte!$A$23)</f>
        <v>0</v>
      </c>
      <c r="BL171" s="169">
        <f t="shared" si="171"/>
        <v>0</v>
      </c>
      <c r="BM171" s="168">
        <f t="shared" si="172"/>
        <v>0</v>
      </c>
    </row>
    <row r="172" spans="1:65" ht="27.75" customHeight="1" thickBot="1">
      <c r="B172" s="218" t="s">
        <v>1792</v>
      </c>
      <c r="C172" s="204"/>
      <c r="D172" s="219"/>
      <c r="E172" s="226">
        <f>ABS(SUM(E163:E165))+ABS(SUM(E166:E168))+ABS(SUM(E169:E171))</f>
        <v>498</v>
      </c>
      <c r="F172" s="225">
        <f>ABS(SUM(F163:F165))+ABS(SUM(F166:F168))+ABS(SUM(F169:F171))</f>
        <v>498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601</v>
      </c>
      <c r="I172" s="225">
        <f>ABS(SUM(I163:I165))+ABS(SUM(I166:I168))+ABS(SUM(I169:I171))</f>
        <v>601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653</v>
      </c>
      <c r="L172" s="225">
        <f>ABS(SUM(L163:L165))+ABS(SUM(L166:L168))+ABS(SUM(L169:L171))</f>
        <v>653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582</v>
      </c>
      <c r="O172" s="225">
        <f>ABS(SUM(O163:O165))+ABS(SUM(O166:O168))+ABS(SUM(O169:O171))</f>
        <v>582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635</v>
      </c>
      <c r="R172" s="225">
        <f>ABS(SUM(R163:R165))+ABS(SUM(R166:R168))+ABS(SUM(R169:R171))</f>
        <v>635</v>
      </c>
      <c r="S172" s="81">
        <f>IF(R172+Q181=0,0,IF(R172=Q181,Spielorte!$A$31/2,IF(R172&gt;Q181,Spielorte!$A$31,0)))</f>
        <v>2</v>
      </c>
      <c r="T172" s="228">
        <f>SUM(E172+H172+K172+N172+Q172)</f>
        <v>2969</v>
      </c>
      <c r="U172" s="229">
        <f>SUM(F172+I172+L172+O172+R172)</f>
        <v>2969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>
      <c r="B173" s="230" t="s">
        <v>1803</v>
      </c>
      <c r="C173" s="1"/>
      <c r="D173" s="1"/>
      <c r="E173" s="1"/>
      <c r="F173" s="1"/>
      <c r="G173" s="61">
        <f>SUM(G163:G172)</f>
        <v>5</v>
      </c>
      <c r="H173" s="1"/>
      <c r="I173" s="1"/>
      <c r="J173" s="61">
        <f>SUM(J163:J172)</f>
        <v>5</v>
      </c>
      <c r="K173" s="1"/>
      <c r="L173" s="1"/>
      <c r="M173" s="61">
        <f>SUM(M163:M172)</f>
        <v>5</v>
      </c>
      <c r="N173" s="1"/>
      <c r="O173" s="1"/>
      <c r="P173" s="61">
        <f>SUM(P163:P172)</f>
        <v>4</v>
      </c>
      <c r="Q173" s="1"/>
      <c r="R173" s="1"/>
      <c r="S173" s="61">
        <f>SUM(S163:S172)</f>
        <v>4</v>
      </c>
      <c r="T173" s="1"/>
      <c r="U173" s="1"/>
      <c r="V173" s="61">
        <f>SUM(V163:V172)</f>
        <v>23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23</v>
      </c>
      <c r="AR173" s="167">
        <f>+T172</f>
        <v>2969</v>
      </c>
      <c r="AS173" s="167">
        <f>+U172</f>
        <v>2969</v>
      </c>
      <c r="AT173" s="168">
        <f>+B158</f>
        <v>7</v>
      </c>
      <c r="AW173" s="169">
        <f>SUM(AW157:AW172)</f>
        <v>15</v>
      </c>
      <c r="BD173" s="166">
        <f>+AS173/1000000+AQ173+AR173/1000000000000</f>
        <v>23.002969002968999</v>
      </c>
      <c r="BE173" s="168">
        <f>RANK(BD173,BD:BD)</f>
        <v>1</v>
      </c>
      <c r="BI173" s="168"/>
      <c r="BM173" s="168"/>
    </row>
    <row r="174" spans="1:65" ht="11.25" customHeight="1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>
      <c r="B175" s="231" t="s">
        <v>1790</v>
      </c>
      <c r="C175" s="210"/>
      <c r="D175" s="42"/>
      <c r="E175" s="434">
        <f>VLOOKUP($B158,Schlüssel!$A$5:$EK$12,3)</f>
        <v>8</v>
      </c>
      <c r="F175" s="435"/>
      <c r="G175" s="436"/>
      <c r="H175" s="434">
        <f>VLOOKUP($B158,Schlüssel!$A$5:$EK$12,4)</f>
        <v>5</v>
      </c>
      <c r="I175" s="435"/>
      <c r="J175" s="436"/>
      <c r="K175" s="434">
        <f>VLOOKUP($B158,Schlüssel!$A$5:$EK$12,5)</f>
        <v>3</v>
      </c>
      <c r="L175" s="435"/>
      <c r="M175" s="436"/>
      <c r="N175" s="434">
        <f>VLOOKUP($B158,Schlüssel!$A$5:$EK$12,6)</f>
        <v>2</v>
      </c>
      <c r="O175" s="435"/>
      <c r="P175" s="436"/>
      <c r="Q175" s="434">
        <f>VLOOKUP($B158,Schlüssel!$A$5:$EK$12,7)</f>
        <v>1</v>
      </c>
      <c r="R175" s="435"/>
      <c r="S175" s="436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>
      <c r="B176" s="3" t="s">
        <v>9</v>
      </c>
      <c r="C176" s="1"/>
      <c r="D176" s="1"/>
      <c r="E176" s="395" t="str">
        <f>VLOOKUP(E175,Schlüssel!$A$5:$K$12,2)</f>
        <v>EMAX 1</v>
      </c>
      <c r="F176" s="438"/>
      <c r="G176" s="396"/>
      <c r="H176" s="395" t="str">
        <f>VLOOKUP(H175,Schlüssel!$A$5:$K$12,2)</f>
        <v>Berchtesgaden 1</v>
      </c>
      <c r="I176" s="438"/>
      <c r="J176" s="396"/>
      <c r="K176" s="395" t="str">
        <f>VLOOKUP(K175,Schlüssel!$A$5:$K$12,2)</f>
        <v>Highroller Rosenheim 2</v>
      </c>
      <c r="L176" s="438"/>
      <c r="M176" s="396"/>
      <c r="N176" s="395" t="str">
        <f>VLOOKUP(N175,Schlüssel!$A$5:$K$12,2)</f>
        <v>Highroller Rosenheim 1</v>
      </c>
      <c r="O176" s="438"/>
      <c r="P176" s="396"/>
      <c r="Q176" s="395" t="str">
        <f>VLOOKUP(Q175,Schlüssel!$A$5:$K$12,2)</f>
        <v>Bad Tölz 1</v>
      </c>
      <c r="R176" s="438"/>
      <c r="S176" s="396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" customHeight="1">
      <c r="B178" s="417" t="s">
        <v>2275</v>
      </c>
      <c r="C178" s="418"/>
      <c r="D178" s="419"/>
      <c r="E178" s="431">
        <f>ABS(INDEX(F:F,MATCH(E175,$B:$B,0)+5)+INDEX(F:F,MATCH(E175,$B:$B,0)+6)+INDEX(F:F,MATCH(E175,$B:$B,0)+7))</f>
        <v>147</v>
      </c>
      <c r="F178" s="432"/>
      <c r="G178" s="433"/>
      <c r="H178" s="431">
        <f>ABS(INDEX(I:I,MATCH(H175,$B:$B,0)+5)+INDEX(I:I,MATCH(H175,$B:$B,0)+6)+INDEX(I:I,MATCH(H175,$B:$B,0)+7))</f>
        <v>158</v>
      </c>
      <c r="I178" s="432"/>
      <c r="J178" s="433"/>
      <c r="K178" s="431">
        <f>ABS(INDEX(L:L,MATCH(K175,$B:$B,0)+5)+INDEX(L:L,MATCH(K175,$B:$B,0)+6)+INDEX(L:L,MATCH(K175,$B:$B,0)+7))</f>
        <v>146</v>
      </c>
      <c r="L178" s="432"/>
      <c r="M178" s="433"/>
      <c r="N178" s="431">
        <f>ABS(INDEX(O:O,MATCH(N175,$B:$B,0)+5)+INDEX(O:O,MATCH(N175,$B:$B,0)+6)+INDEX(O:O,MATCH(N175,$B:$B,0)+7))</f>
        <v>139</v>
      </c>
      <c r="O178" s="432"/>
      <c r="P178" s="433"/>
      <c r="Q178" s="431">
        <f>ABS(INDEX(R:R,MATCH(Q175,$B:$B,0)+5)+INDEX(R:R,MATCH(Q175,$B:$B,0)+6)+INDEX(R:R,MATCH(Q175,$B:$B,0)+7))</f>
        <v>256</v>
      </c>
      <c r="R178" s="432"/>
      <c r="S178" s="433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" customHeight="1">
      <c r="B179" s="417" t="s">
        <v>2276</v>
      </c>
      <c r="C179" s="418"/>
      <c r="D179" s="419"/>
      <c r="E179" s="424">
        <f>ABS(INDEX(F:F,MATCH(E175,$B:$B,0)+8)+INDEX(F:F,MATCH(E175,$B:$B,0)+9)+INDEX(F:F,MATCH(E175,$B:$B,0)+10))</f>
        <v>124</v>
      </c>
      <c r="F179" s="425"/>
      <c r="G179" s="426"/>
      <c r="H179" s="424">
        <f>ABS(INDEX(I:I,MATCH(H175,$B:$B,0)+8)+INDEX(I:I,MATCH(H175,$B:$B,0)+9)+INDEX(I:I,MATCH(H175,$B:$B,0)+10))</f>
        <v>116</v>
      </c>
      <c r="I179" s="425"/>
      <c r="J179" s="426"/>
      <c r="K179" s="424">
        <f>ABS(INDEX(L:L,MATCH(K175,$B:$B,0)+8)+INDEX(L:L,MATCH(K175,$B:$B,0)+9)+INDEX(L:L,MATCH(K175,$B:$B,0)+10))</f>
        <v>134</v>
      </c>
      <c r="L179" s="425"/>
      <c r="M179" s="426"/>
      <c r="N179" s="424">
        <f>ABS(INDEX(O:O,MATCH(N175,$B:$B,0)+8)+INDEX(O:O,MATCH(N175,$B:$B,0)+9)+INDEX(O:O,MATCH(N175,$B:$B,0)+10))</f>
        <v>158</v>
      </c>
      <c r="O179" s="425"/>
      <c r="P179" s="426"/>
      <c r="Q179" s="424">
        <f>ABS(INDEX(R:R,MATCH(Q175,$B:$B,0)+8)+INDEX(R:R,MATCH(Q175,$B:$B,0)+9)+INDEX(R:R,MATCH(Q175,$B:$B,0)+10))</f>
        <v>171</v>
      </c>
      <c r="R179" s="425"/>
      <c r="S179" s="426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" customHeight="1">
      <c r="B180" s="417" t="s">
        <v>2277</v>
      </c>
      <c r="C180" s="418"/>
      <c r="D180" s="419"/>
      <c r="E180" s="424">
        <f>ABS(INDEX(F:F,MATCH(E175,$B:$B,0)+11)+INDEX(F:F,MATCH(E175,$B:$B,0)+12)+INDEX(F:F,MATCH(E175,$B:$B,0)+13))</f>
        <v>123</v>
      </c>
      <c r="F180" s="425"/>
      <c r="G180" s="426"/>
      <c r="H180" s="424">
        <f>ABS(INDEX(I:I,MATCH(H175,$B:$B,0)+11)+INDEX(I:I,MATCH(H175,$B:$B,0)+12)+INDEX(I:I,MATCH(H175,$B:$B,0)+13))</f>
        <v>163</v>
      </c>
      <c r="I180" s="425"/>
      <c r="J180" s="426"/>
      <c r="K180" s="424">
        <f>ABS(INDEX(L:L,MATCH(K175,$B:$B,0)+11)+INDEX(L:L,MATCH(K175,$B:$B,0)+12)+INDEX(L:L,MATCH(K175,$B:$B,0)+13))</f>
        <v>117</v>
      </c>
      <c r="L180" s="425"/>
      <c r="M180" s="426"/>
      <c r="N180" s="424">
        <f>ABS(INDEX(O:O,MATCH(N175,$B:$B,0)+11)+INDEX(O:O,MATCH(N175,$B:$B,0)+12)+INDEX(O:O,MATCH(N175,$B:$B,0)+13))</f>
        <v>127</v>
      </c>
      <c r="O180" s="425"/>
      <c r="P180" s="426"/>
      <c r="Q180" s="424">
        <f>ABS(INDEX(R:R,MATCH(Q175,$B:$B,0)+11)+INDEX(R:R,MATCH(Q175,$B:$B,0)+12)+INDEX(R:R,MATCH(Q175,$B:$B,0)+13))</f>
        <v>0</v>
      </c>
      <c r="R180" s="425"/>
      <c r="S180" s="426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" customHeight="1">
      <c r="B181" s="420" t="s">
        <v>2278</v>
      </c>
      <c r="C181" s="421"/>
      <c r="D181" s="422"/>
      <c r="E181" s="407">
        <f>SUM(E178:E180)</f>
        <v>394</v>
      </c>
      <c r="F181" s="423"/>
      <c r="G181" s="408"/>
      <c r="H181" s="407">
        <f>SUM(H178:H180)</f>
        <v>437</v>
      </c>
      <c r="I181" s="423"/>
      <c r="J181" s="408"/>
      <c r="K181" s="407">
        <f>SUM(K178:K180)</f>
        <v>397</v>
      </c>
      <c r="L181" s="423"/>
      <c r="M181" s="408"/>
      <c r="N181" s="407">
        <f>SUM(N178:N180)</f>
        <v>424</v>
      </c>
      <c r="O181" s="423"/>
      <c r="P181" s="408"/>
      <c r="Q181" s="407">
        <f>SUM(Q178:Q180)</f>
        <v>427</v>
      </c>
      <c r="R181" s="423"/>
      <c r="S181" s="408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>
      <c r="A183" s="255"/>
      <c r="B183" s="7" t="s">
        <v>1802</v>
      </c>
      <c r="C183" s="24"/>
      <c r="D183" s="24"/>
      <c r="E183" s="35" t="s">
        <v>1786</v>
      </c>
      <c r="F183" s="35"/>
      <c r="G183" s="427" t="str">
        <f>Schlüssel!$C$1</f>
        <v>Landesliga Jugend</v>
      </c>
      <c r="H183" s="427"/>
      <c r="I183" s="427"/>
      <c r="J183" s="427"/>
      <c r="K183" s="427"/>
      <c r="L183" s="427"/>
      <c r="M183" s="427"/>
      <c r="N183" s="427"/>
      <c r="O183" s="427"/>
      <c r="P183" s="427"/>
      <c r="Q183" s="427"/>
      <c r="R183" s="427"/>
      <c r="S183" s="406">
        <f>Schlüssel!$M$1</f>
        <v>45211</v>
      </c>
      <c r="T183" s="406"/>
      <c r="U183" s="406"/>
      <c r="V183" s="406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>
      <c r="A184" s="53"/>
      <c r="B184" s="54">
        <f>+B158+1</f>
        <v>8</v>
      </c>
      <c r="E184" s="35" t="s">
        <v>1787</v>
      </c>
      <c r="F184" s="35"/>
      <c r="G184" s="413" t="str">
        <f>Schlüssel!$C$2</f>
        <v>Brunnthal Max Munich</v>
      </c>
      <c r="H184" s="413"/>
      <c r="I184" s="413"/>
      <c r="J184" s="413"/>
      <c r="K184" s="413"/>
      <c r="L184" s="413"/>
      <c r="M184" s="413"/>
      <c r="N184" s="413"/>
      <c r="O184" s="413"/>
      <c r="P184" s="66"/>
      <c r="Q184" s="411" t="s">
        <v>1785</v>
      </c>
      <c r="R184" s="412"/>
      <c r="S184" s="38">
        <v>1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>
      <c r="B185" s="414" t="str">
        <f>VLOOKUP(B184,Schlüssel!$A$5:$B$12,2)</f>
        <v>EMAX 1</v>
      </c>
      <c r="C185" s="415"/>
      <c r="D185" s="415"/>
      <c r="E185" s="415"/>
      <c r="F185" s="415"/>
      <c r="G185" s="416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3.8" hidden="1" thickBot="1">
      <c r="A186" s="6"/>
      <c r="B186" s="7"/>
      <c r="C186" s="43"/>
      <c r="D186" s="43"/>
      <c r="E186" s="162" t="s">
        <v>10</v>
      </c>
      <c r="F186" s="220"/>
      <c r="G186" s="159">
        <f>VLOOKUP($B184,Schlüssel!$A$5:$EK$12,13)</f>
        <v>16</v>
      </c>
      <c r="H186" s="161" t="s">
        <v>10</v>
      </c>
      <c r="I186" s="220"/>
      <c r="J186" s="159">
        <f>VLOOKUP($B184,Schlüssel!$A$5:$EK$12,14)</f>
        <v>10</v>
      </c>
      <c r="K186" s="161" t="s">
        <v>10</v>
      </c>
      <c r="L186" s="220"/>
      <c r="M186" s="159">
        <f>VLOOKUP($B184,Schlüssel!$A$5:$EK$12,15)</f>
        <v>12</v>
      </c>
      <c r="N186" s="161" t="s">
        <v>10</v>
      </c>
      <c r="O186" s="220"/>
      <c r="P186" s="159">
        <f>VLOOKUP($B184,Schlüssel!$A$5:$EK$12,16)</f>
        <v>15</v>
      </c>
      <c r="Q186" s="161" t="s">
        <v>10</v>
      </c>
      <c r="R186" s="220"/>
      <c r="S186" s="160">
        <f>VLOOKUP($B184,Schlüssel!$A$5:$DZ$12,17)</f>
        <v>14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>
      <c r="B187" s="44" t="s">
        <v>1</v>
      </c>
      <c r="C187" s="208"/>
      <c r="D187" s="217"/>
      <c r="E187" s="423" t="s">
        <v>1793</v>
      </c>
      <c r="F187" s="423"/>
      <c r="G187" s="408"/>
      <c r="H187" s="407" t="s">
        <v>1794</v>
      </c>
      <c r="I187" s="423"/>
      <c r="J187" s="408"/>
      <c r="K187" s="407" t="s">
        <v>1795</v>
      </c>
      <c r="L187" s="423"/>
      <c r="M187" s="408"/>
      <c r="N187" s="407" t="s">
        <v>1796</v>
      </c>
      <c r="O187" s="423"/>
      <c r="P187" s="408"/>
      <c r="Q187" s="407" t="s">
        <v>1797</v>
      </c>
      <c r="R187" s="423"/>
      <c r="S187" s="437"/>
      <c r="T187" s="439" t="s">
        <v>1792</v>
      </c>
      <c r="U187" s="440"/>
      <c r="V187" s="410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6.95" customHeight="1">
      <c r="A189" s="403" t="s">
        <v>0</v>
      </c>
      <c r="B189" s="58" t="str">
        <f>IF(C189=0,"",VLOOKUP(C189,Starter!$A$1:$D$196,2,FALSE))</f>
        <v>Mrosek, Laura Maria</v>
      </c>
      <c r="C189" s="232">
        <v>38785</v>
      </c>
      <c r="D189" s="238">
        <f t="shared" ref="D189:D197" si="176">+AP189</f>
        <v>41</v>
      </c>
      <c r="E189" s="221">
        <v>106</v>
      </c>
      <c r="F189" s="240">
        <f t="shared" ref="F189:F197" si="177">IF(E189&gt;0,E189+$D189,0)</f>
        <v>147</v>
      </c>
      <c r="G189" s="428">
        <f>IF(SUM(F189:F191)+E204=0,0,IF(ABS(SUM(F189:F191))=E204,Spielorte!$A$30/2,IF(ABS(SUM(F189:F191))&gt;E204,Spielorte!$A$30,0)))</f>
        <v>0</v>
      </c>
      <c r="H189" s="221"/>
      <c r="I189" s="240">
        <f t="shared" ref="I189:I197" si="178">IF(H189&gt;0,H189+$D189,0)</f>
        <v>0</v>
      </c>
      <c r="J189" s="428">
        <f>IF(SUM(I189:I191)+H204=0,0,IF(ABS(SUM(I189:I191))=H204,Spielorte!$A$30/2,IF(ABS(SUM(I189:I191))&gt;H204,Spielorte!$A$30,0)))</f>
        <v>1</v>
      </c>
      <c r="K189" s="221"/>
      <c r="L189" s="240">
        <f t="shared" ref="L189:L197" si="179">IF(K189&gt;0,K189+$D189,0)</f>
        <v>0</v>
      </c>
      <c r="M189" s="428">
        <f>IF(SUM(L189:L191)+K204=0,0,IF(ABS(SUM(L189:L191))=K204,Spielorte!$A$30/2,IF(ABS(SUM(L189:L191))&gt;K204,Spielorte!$A$30,0)))</f>
        <v>0</v>
      </c>
      <c r="N189" s="221"/>
      <c r="O189" s="240">
        <f t="shared" ref="O189:O197" si="180">IF(N189&gt;0,N189+$D189,0)</f>
        <v>0</v>
      </c>
      <c r="P189" s="428">
        <f>IF(SUM(O189:O191)+N204=0,0,IF(ABS(SUM(O189:O191))=N204,Spielorte!$A$30/2,IF(ABS(SUM(O189:O191))&gt;N204,Spielorte!$A$30,0)))</f>
        <v>0</v>
      </c>
      <c r="Q189" s="221"/>
      <c r="R189" s="240">
        <f t="shared" ref="R189:R197" si="181">IF(Q189&gt;0,Q189+$D189,0)</f>
        <v>0</v>
      </c>
      <c r="S189" s="428">
        <f>IF(SUM(R189:R191)+Q204=0,0,IF(ABS(SUM(R189:R191))=Q204,Spielorte!$A$30/2,IF(ABS(SUM(R189:R191))&gt;Q204,Spielorte!$A$30,0)))</f>
        <v>1</v>
      </c>
      <c r="T189" s="221">
        <f t="shared" ref="T189:T197" si="182">ABS(SUM(E189:E189))+ABS(SUM(H189:H189))+ABS(SUM(K189:K189))+ABS(SUM(N189:N189))+ABS(SUM(Q189:Q189))</f>
        <v>106</v>
      </c>
      <c r="U189" s="240">
        <f t="shared" ref="U189:U197" si="183">ABS(SUM(F189:F189))+ABS(SUM(I189:I189))+ABS(SUM(L189:L189))+ABS(SUM(O189:O189))+ABS(SUM(R189:R189))</f>
        <v>147</v>
      </c>
      <c r="V189" s="400">
        <f>SUM(G189+J189+M189+P189+S189)</f>
        <v>2</v>
      </c>
      <c r="W189" s="79"/>
      <c r="X189" s="79"/>
      <c r="Y189" s="79"/>
      <c r="Z189" s="79"/>
      <c r="AA189" s="79"/>
      <c r="AB189" s="79"/>
      <c r="AL189" s="169">
        <f>IF(AU189=0,0,IFERROR(INDEX(RanglisteST1!K:K,MATCH(AU189,RanglisteST1!A:A,0)),0))</f>
        <v>0</v>
      </c>
      <c r="AM189" s="169">
        <f>IF(AU189=0,0,SUMIF(AU189:AU197,AU189,AV189:AV197))</f>
        <v>328</v>
      </c>
      <c r="AN189" s="169">
        <f>IF(AU189=0,0,SUMIF(AU189:AU197,AU189,AW189:AW197))</f>
        <v>3</v>
      </c>
      <c r="AO189" s="169">
        <f t="shared" ref="AO189:AO197" si="184">IFERROR(AM189/AN189,0)</f>
        <v>109.33333333333333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41</v>
      </c>
      <c r="AQ189" s="166"/>
      <c r="AR189" s="167"/>
      <c r="AS189" s="167"/>
      <c r="AT189" s="168"/>
      <c r="AU189" s="171">
        <f t="shared" ref="AU189:AU197" si="185">C189</f>
        <v>38785</v>
      </c>
      <c r="AV189" s="167">
        <f>T189</f>
        <v>106</v>
      </c>
      <c r="AW189" s="169">
        <f t="shared" ref="AW189:AW197" si="186">COUNT(AY189:BC189)</f>
        <v>1</v>
      </c>
      <c r="AX189" s="169">
        <f t="shared" ref="AX189:AX197" si="187">COUNTIF(AY189:BC189,"&gt;0")</f>
        <v>1</v>
      </c>
      <c r="AY189" s="169">
        <f>IF(E189=0,"",E189)</f>
        <v>106</v>
      </c>
      <c r="AZ189" s="169" t="str">
        <f t="shared" ref="AZ189:AZ197" si="188">IF(H189=0,"",H189)</f>
        <v/>
      </c>
      <c r="BA189" s="169" t="str">
        <f t="shared" ref="BA189:BA197" si="189">IF(K189=0,"",K189)</f>
        <v/>
      </c>
      <c r="BB189" s="169" t="str">
        <f t="shared" ref="BB189:BB197" si="190">IF(N189=0,"",N189)</f>
        <v/>
      </c>
      <c r="BC189" s="169" t="str">
        <f t="shared" ref="BC189:BC197" si="191">IF(Q189=0,"",Q189)</f>
        <v/>
      </c>
      <c r="BD189" s="170"/>
      <c r="BE189" s="168"/>
      <c r="BF189" s="169">
        <f t="shared" ref="BF189:BF197" si="192">MAX(AY189:BC189)</f>
        <v>106</v>
      </c>
      <c r="BG189" s="169">
        <f t="shared" ref="BG189:BG197" si="193">IF(BF189&lt;MAX(BF:BF),0,BF189+ROW()/1000000000)</f>
        <v>0</v>
      </c>
      <c r="BH189" s="169" t="str">
        <f>+B185</f>
        <v>EMAX 1</v>
      </c>
      <c r="BI189" s="168">
        <f t="shared" ref="BI189:BI197" si="194">RANK(BG189,BG:BG)</f>
        <v>2</v>
      </c>
      <c r="BJ189" s="169">
        <f t="shared" ref="BJ189:BJ197" si="195">SUMIF(AY189:BC189,"&gt;0")</f>
        <v>106</v>
      </c>
      <c r="BK189" s="169">
        <f>IF(COUNTIF(AY189:BC189,"&gt;0")&lt;Spielorte!$A$23,0,AV189/Spielorte!$A$23)</f>
        <v>0</v>
      </c>
      <c r="BL189" s="169">
        <f t="shared" ref="BL189:BL197" si="196">IF(BK189&lt;MAX(BK:BK),0,BK189+ROW()/1000000000)</f>
        <v>0</v>
      </c>
      <c r="BM189" s="168">
        <f t="shared" ref="BM189:BM197" si="197">IF(BL189=0,0,RANK(BL189,BL:BL))</f>
        <v>0</v>
      </c>
    </row>
    <row r="190" spans="1:65" ht="16.95" customHeight="1">
      <c r="A190" s="404"/>
      <c r="B190" s="58" t="str">
        <f>IF(C190=0,"",VLOOKUP(C190,Starter!$A$1:$D$196,2,FALSE))</f>
        <v>Böhm, Eric-Pascal</v>
      </c>
      <c r="C190" s="233">
        <v>38706</v>
      </c>
      <c r="D190" s="239">
        <f t="shared" si="176"/>
        <v>32</v>
      </c>
      <c r="E190" s="222"/>
      <c r="F190" s="241">
        <f t="shared" si="177"/>
        <v>0</v>
      </c>
      <c r="G190" s="429"/>
      <c r="H190" s="222">
        <v>111</v>
      </c>
      <c r="I190" s="241">
        <f t="shared" si="178"/>
        <v>143</v>
      </c>
      <c r="J190" s="429"/>
      <c r="K190" s="222">
        <v>115</v>
      </c>
      <c r="L190" s="241">
        <f t="shared" si="179"/>
        <v>147</v>
      </c>
      <c r="M190" s="429"/>
      <c r="N190" s="222"/>
      <c r="O190" s="241">
        <f t="shared" si="180"/>
        <v>0</v>
      </c>
      <c r="P190" s="429"/>
      <c r="Q190" s="222">
        <v>135</v>
      </c>
      <c r="R190" s="241">
        <f t="shared" si="181"/>
        <v>167</v>
      </c>
      <c r="S190" s="429"/>
      <c r="T190" s="222">
        <f t="shared" si="182"/>
        <v>361</v>
      </c>
      <c r="U190" s="241">
        <f t="shared" si="183"/>
        <v>457</v>
      </c>
      <c r="V190" s="401"/>
      <c r="W190" s="79"/>
      <c r="X190" s="79"/>
      <c r="Y190" s="79"/>
      <c r="Z190" s="79"/>
      <c r="AA190" s="79"/>
      <c r="AB190" s="79"/>
      <c r="AL190" s="169">
        <f>IF(AU190=0,0,IFERROR(INDEX(RanglisteST1!K:K,MATCH(AU190,RanglisteST1!A:A,0)),0))</f>
        <v>0</v>
      </c>
      <c r="AM190" s="169">
        <f>IF(AU190=0,0,SUMIF(AU189:AU197,AU190,AV189:AV197))</f>
        <v>361</v>
      </c>
      <c r="AN190" s="169">
        <f>IF(AU190=0,0,SUMIF(AU189:AU197,AU190,AW189:AW197))</f>
        <v>3</v>
      </c>
      <c r="AO190" s="169">
        <f t="shared" si="184"/>
        <v>120.33333333333333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32</v>
      </c>
      <c r="AQ190" s="166"/>
      <c r="AR190" s="167"/>
      <c r="AS190" s="167"/>
      <c r="AT190" s="168"/>
      <c r="AU190" s="171">
        <f t="shared" si="185"/>
        <v>38706</v>
      </c>
      <c r="AV190" s="167">
        <f t="shared" ref="AV190:AV197" si="198">T190</f>
        <v>361</v>
      </c>
      <c r="AW190" s="169">
        <f t="shared" si="186"/>
        <v>3</v>
      </c>
      <c r="AX190" s="169">
        <f t="shared" si="187"/>
        <v>3</v>
      </c>
      <c r="AY190" s="169" t="str">
        <f t="shared" ref="AY190:AY197" si="199">IF(E190=0,"",E190)</f>
        <v/>
      </c>
      <c r="AZ190" s="169">
        <f t="shared" si="188"/>
        <v>111</v>
      </c>
      <c r="BA190" s="169">
        <f t="shared" si="189"/>
        <v>115</v>
      </c>
      <c r="BB190" s="169" t="str">
        <f t="shared" si="190"/>
        <v/>
      </c>
      <c r="BC190" s="169">
        <f t="shared" si="191"/>
        <v>135</v>
      </c>
      <c r="BD190" s="170"/>
      <c r="BE190" s="168"/>
      <c r="BF190" s="169">
        <f t="shared" si="192"/>
        <v>135</v>
      </c>
      <c r="BG190" s="169">
        <f t="shared" si="193"/>
        <v>0</v>
      </c>
      <c r="BH190" s="169" t="str">
        <f t="shared" ref="BH190:BH197" si="200">+BH189</f>
        <v>EMAX 1</v>
      </c>
      <c r="BI190" s="168">
        <f t="shared" si="194"/>
        <v>2</v>
      </c>
      <c r="BJ190" s="169">
        <f t="shared" si="195"/>
        <v>361</v>
      </c>
      <c r="BK190" s="169">
        <f>IF(COUNTIF(AY190:BC190,"&gt;0")&lt;Spielorte!$A$23,0,AV190/Spielorte!$A$23)</f>
        <v>0</v>
      </c>
      <c r="BL190" s="169">
        <f t="shared" si="196"/>
        <v>0</v>
      </c>
      <c r="BM190" s="168">
        <f t="shared" si="197"/>
        <v>0</v>
      </c>
    </row>
    <row r="191" spans="1:65" ht="16.95" customHeight="1" thickBot="1">
      <c r="A191" s="405"/>
      <c r="B191" s="59" t="str">
        <f>IF(C191=0,"",VLOOKUP(C191,Starter!$A$1:$D$196,2,FALSE))</f>
        <v>Vogt, Leonard</v>
      </c>
      <c r="C191" s="234">
        <v>38904</v>
      </c>
      <c r="D191" s="223">
        <f t="shared" si="176"/>
        <v>25</v>
      </c>
      <c r="E191" s="224"/>
      <c r="F191" s="242">
        <f t="shared" si="177"/>
        <v>0</v>
      </c>
      <c r="G191" s="430"/>
      <c r="H191" s="224"/>
      <c r="I191" s="242">
        <f t="shared" si="178"/>
        <v>0</v>
      </c>
      <c r="J191" s="430"/>
      <c r="K191" s="224"/>
      <c r="L191" s="242">
        <f t="shared" si="179"/>
        <v>0</v>
      </c>
      <c r="M191" s="430"/>
      <c r="N191" s="224">
        <v>126</v>
      </c>
      <c r="O191" s="242">
        <f t="shared" si="180"/>
        <v>151</v>
      </c>
      <c r="P191" s="430"/>
      <c r="Q191" s="224"/>
      <c r="R191" s="242">
        <f t="shared" si="181"/>
        <v>0</v>
      </c>
      <c r="S191" s="430"/>
      <c r="T191" s="224">
        <f t="shared" si="182"/>
        <v>126</v>
      </c>
      <c r="U191" s="242">
        <f t="shared" si="183"/>
        <v>151</v>
      </c>
      <c r="V191" s="402"/>
      <c r="W191" s="79"/>
      <c r="X191" s="79"/>
      <c r="Y191" s="79"/>
      <c r="Z191" s="79"/>
      <c r="AA191" s="79"/>
      <c r="AB191" s="79"/>
      <c r="AL191" s="169">
        <f>IF(AU191=0,0,IFERROR(INDEX(RanglisteST1!K:K,MATCH(AU191,RanglisteST1!A:A,0)),0))</f>
        <v>0</v>
      </c>
      <c r="AM191" s="169">
        <f>IF(AU191=0,0,SUMIF(AU189:AU197,AU191,AV189:AV197))</f>
        <v>387</v>
      </c>
      <c r="AN191" s="169">
        <f>IF(AU191=0,0,SUMIF(AU189:AU197,AU191,AW189:AW197))</f>
        <v>3</v>
      </c>
      <c r="AO191" s="169">
        <f t="shared" si="184"/>
        <v>129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25</v>
      </c>
      <c r="AQ191" s="166"/>
      <c r="AR191" s="167"/>
      <c r="AS191" s="167"/>
      <c r="AT191" s="168"/>
      <c r="AU191" s="171">
        <f t="shared" si="185"/>
        <v>38904</v>
      </c>
      <c r="AV191" s="167">
        <f t="shared" si="198"/>
        <v>126</v>
      </c>
      <c r="AW191" s="169">
        <f t="shared" si="186"/>
        <v>1</v>
      </c>
      <c r="AX191" s="169">
        <f t="shared" si="187"/>
        <v>1</v>
      </c>
      <c r="AY191" s="169" t="str">
        <f t="shared" si="199"/>
        <v/>
      </c>
      <c r="AZ191" s="169" t="str">
        <f t="shared" si="188"/>
        <v/>
      </c>
      <c r="BA191" s="169" t="str">
        <f t="shared" si="189"/>
        <v/>
      </c>
      <c r="BB191" s="169">
        <f t="shared" si="190"/>
        <v>126</v>
      </c>
      <c r="BC191" s="169" t="str">
        <f t="shared" si="191"/>
        <v/>
      </c>
      <c r="BD191" s="170"/>
      <c r="BE191" s="168"/>
      <c r="BF191" s="169">
        <f t="shared" si="192"/>
        <v>126</v>
      </c>
      <c r="BG191" s="169">
        <f t="shared" si="193"/>
        <v>0</v>
      </c>
      <c r="BH191" s="169" t="str">
        <f t="shared" si="200"/>
        <v>EMAX 1</v>
      </c>
      <c r="BI191" s="168">
        <f t="shared" si="194"/>
        <v>2</v>
      </c>
      <c r="BJ191" s="169">
        <f t="shared" si="195"/>
        <v>126</v>
      </c>
      <c r="BK191" s="169">
        <f>IF(COUNTIF(AY191:BC191,"&gt;0")&lt;Spielorte!$A$23,0,AV191/Spielorte!$A$23)</f>
        <v>0</v>
      </c>
      <c r="BL191" s="169">
        <f t="shared" si="196"/>
        <v>0</v>
      </c>
      <c r="BM191" s="168">
        <f t="shared" si="197"/>
        <v>0</v>
      </c>
    </row>
    <row r="192" spans="1:65" ht="16.95" customHeight="1">
      <c r="A192" s="403" t="s">
        <v>2</v>
      </c>
      <c r="B192" s="58" t="str">
        <f>IF(C192=0,"",VLOOKUP(C192,Starter!$A$1:$D$196,2,FALSE))</f>
        <v>Hofer, Anja</v>
      </c>
      <c r="C192" s="235">
        <v>38890</v>
      </c>
      <c r="D192" s="238">
        <f t="shared" si="176"/>
        <v>44</v>
      </c>
      <c r="E192" s="221">
        <v>80</v>
      </c>
      <c r="F192" s="240">
        <f t="shared" si="177"/>
        <v>124</v>
      </c>
      <c r="G192" s="428">
        <f>IF(SUM(F192:F194)+E205=0,0,IF(ABS(SUM(F192:F194))=E205,Spielorte!$A$30/2,IF(ABS(SUM(F192:F194))&gt;E205,Spielorte!$A$30,0)))</f>
        <v>0</v>
      </c>
      <c r="H192" s="221"/>
      <c r="I192" s="240">
        <f t="shared" si="178"/>
        <v>0</v>
      </c>
      <c r="J192" s="428">
        <f>IF(SUM(I192:I194)+H205=0,0,IF(ABS(SUM(I192:I194))=H205,Spielorte!$A$30/2,IF(ABS(SUM(I192:I194))&gt;H205,Spielorte!$A$30,0)))</f>
        <v>0</v>
      </c>
      <c r="K192" s="221">
        <v>102</v>
      </c>
      <c r="L192" s="240">
        <f t="shared" si="179"/>
        <v>146</v>
      </c>
      <c r="M192" s="428">
        <f>IF(SUM(L192:L194)+K205=0,0,IF(ABS(SUM(L192:L194))=K205,Spielorte!$A$30/2,IF(ABS(SUM(L192:L194))&gt;K205,Spielorte!$A$30,0)))</f>
        <v>0</v>
      </c>
      <c r="N192" s="221"/>
      <c r="O192" s="240">
        <f t="shared" si="180"/>
        <v>0</v>
      </c>
      <c r="P192" s="428">
        <f>IF(SUM(O192:O194)+N205=0,0,IF(ABS(SUM(O192:O194))=N205,Spielorte!$A$30/2,IF(ABS(SUM(O192:O194))&gt;N205,Spielorte!$A$30,0)))</f>
        <v>1</v>
      </c>
      <c r="Q192" s="221"/>
      <c r="R192" s="240">
        <f t="shared" si="181"/>
        <v>0</v>
      </c>
      <c r="S192" s="428">
        <f>IF(SUM(R192:R194)+Q205=0,0,IF(ABS(SUM(R192:R194))=Q205,Spielorte!$A$30/2,IF(ABS(SUM(R192:R194))&gt;Q205,Spielorte!$A$30,0)))</f>
        <v>1</v>
      </c>
      <c r="T192" s="221">
        <f t="shared" si="182"/>
        <v>182</v>
      </c>
      <c r="U192" s="240">
        <f t="shared" si="183"/>
        <v>270</v>
      </c>
      <c r="V192" s="400">
        <f>SUM(G192+J192+M192+P192+S192)</f>
        <v>2</v>
      </c>
      <c r="W192" s="79"/>
      <c r="X192" s="79"/>
      <c r="Y192" s="79"/>
      <c r="Z192" s="79"/>
      <c r="AA192" s="79"/>
      <c r="AB192" s="79"/>
      <c r="AL192" s="169">
        <f>IF(AU192=0,0,IFERROR(INDEX(RanglisteST1!K:K,MATCH(AU192,RanglisteST1!A:A,0)),0))</f>
        <v>0</v>
      </c>
      <c r="AM192" s="169">
        <f>IF(AU192=0,0,SUMIF(AU189:AU197,AU192,AV189:AV197))</f>
        <v>316</v>
      </c>
      <c r="AN192" s="169">
        <f>IF(AU192=0,0,SUMIF(AU189:AU197,AU192,AW189:AW197))</f>
        <v>3</v>
      </c>
      <c r="AO192" s="169">
        <f t="shared" si="184"/>
        <v>105.33333333333333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44</v>
      </c>
      <c r="AQ192" s="166"/>
      <c r="AR192" s="167"/>
      <c r="AS192" s="167"/>
      <c r="AT192" s="168"/>
      <c r="AU192" s="171">
        <f t="shared" si="185"/>
        <v>38890</v>
      </c>
      <c r="AV192" s="167">
        <f t="shared" si="198"/>
        <v>182</v>
      </c>
      <c r="AW192" s="169">
        <f t="shared" si="186"/>
        <v>2</v>
      </c>
      <c r="AX192" s="169">
        <f t="shared" si="187"/>
        <v>2</v>
      </c>
      <c r="AY192" s="169">
        <f t="shared" si="199"/>
        <v>80</v>
      </c>
      <c r="AZ192" s="169" t="str">
        <f t="shared" si="188"/>
        <v/>
      </c>
      <c r="BA192" s="169">
        <f t="shared" si="189"/>
        <v>102</v>
      </c>
      <c r="BB192" s="169" t="str">
        <f t="shared" si="190"/>
        <v/>
      </c>
      <c r="BC192" s="169" t="str">
        <f t="shared" si="191"/>
        <v/>
      </c>
      <c r="BD192" s="170"/>
      <c r="BE192" s="168"/>
      <c r="BF192" s="169">
        <f t="shared" si="192"/>
        <v>102</v>
      </c>
      <c r="BG192" s="169">
        <f t="shared" si="193"/>
        <v>0</v>
      </c>
      <c r="BH192" s="169" t="str">
        <f t="shared" si="200"/>
        <v>EMAX 1</v>
      </c>
      <c r="BI192" s="168">
        <f t="shared" si="194"/>
        <v>2</v>
      </c>
      <c r="BJ192" s="169">
        <f t="shared" si="195"/>
        <v>182</v>
      </c>
      <c r="BK192" s="169">
        <f>IF(COUNTIF(AY192:BC192,"&gt;0")&lt;Spielorte!$A$23,0,AV192/Spielorte!$A$23)</f>
        <v>0</v>
      </c>
      <c r="BL192" s="169">
        <f t="shared" si="196"/>
        <v>0</v>
      </c>
      <c r="BM192" s="168">
        <f t="shared" si="197"/>
        <v>0</v>
      </c>
    </row>
    <row r="193" spans="1:65" ht="16.95" customHeight="1">
      <c r="A193" s="404"/>
      <c r="B193" s="58" t="str">
        <f>IF(C193=0,"",VLOOKUP(C193,Starter!$A$1:$D$196,2,FALSE))</f>
        <v>Heiming, Thalea</v>
      </c>
      <c r="C193" s="233">
        <v>38910</v>
      </c>
      <c r="D193" s="239">
        <f t="shared" si="176"/>
        <v>25</v>
      </c>
      <c r="E193" s="222"/>
      <c r="F193" s="241">
        <f t="shared" si="177"/>
        <v>0</v>
      </c>
      <c r="G193" s="429"/>
      <c r="H193" s="222">
        <v>98</v>
      </c>
      <c r="I193" s="241">
        <f t="shared" si="178"/>
        <v>123</v>
      </c>
      <c r="J193" s="429"/>
      <c r="K193" s="222"/>
      <c r="L193" s="241">
        <f t="shared" si="179"/>
        <v>0</v>
      </c>
      <c r="M193" s="429"/>
      <c r="N193" s="222">
        <v>134</v>
      </c>
      <c r="O193" s="241">
        <f t="shared" si="180"/>
        <v>159</v>
      </c>
      <c r="P193" s="429"/>
      <c r="Q193" s="222">
        <v>156</v>
      </c>
      <c r="R193" s="241">
        <f t="shared" si="181"/>
        <v>181</v>
      </c>
      <c r="S193" s="429"/>
      <c r="T193" s="222">
        <f t="shared" si="182"/>
        <v>388</v>
      </c>
      <c r="U193" s="241">
        <f t="shared" si="183"/>
        <v>463</v>
      </c>
      <c r="V193" s="401"/>
      <c r="W193" s="79"/>
      <c r="X193" s="79"/>
      <c r="Y193" s="79"/>
      <c r="Z193" s="79"/>
      <c r="AA193" s="79"/>
      <c r="AB193" s="79"/>
      <c r="AL193" s="169">
        <f>IF(AU193=0,0,IFERROR(INDEX(RanglisteST1!K:K,MATCH(AU193,RanglisteST1!A:A,0)),0))</f>
        <v>0</v>
      </c>
      <c r="AM193" s="169">
        <f>IF(AU193=0,0,SUMIF(AU189:AU197,AU193,AV189:AV197))</f>
        <v>388</v>
      </c>
      <c r="AN193" s="169">
        <f>IF(AU193=0,0,SUMIF(AU189:AU197,AU193,AW189:AW197))</f>
        <v>3</v>
      </c>
      <c r="AO193" s="169">
        <f t="shared" si="184"/>
        <v>129.33333333333334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25</v>
      </c>
      <c r="AQ193" s="166"/>
      <c r="AR193" s="167"/>
      <c r="AS193" s="167"/>
      <c r="AT193" s="168"/>
      <c r="AU193" s="171">
        <f t="shared" si="185"/>
        <v>38910</v>
      </c>
      <c r="AV193" s="167">
        <f t="shared" si="198"/>
        <v>388</v>
      </c>
      <c r="AW193" s="169">
        <f t="shared" si="186"/>
        <v>3</v>
      </c>
      <c r="AX193" s="169">
        <f t="shared" si="187"/>
        <v>3</v>
      </c>
      <c r="AY193" s="169" t="str">
        <f t="shared" si="199"/>
        <v/>
      </c>
      <c r="AZ193" s="169">
        <f t="shared" si="188"/>
        <v>98</v>
      </c>
      <c r="BA193" s="169" t="str">
        <f t="shared" si="189"/>
        <v/>
      </c>
      <c r="BB193" s="169">
        <f t="shared" si="190"/>
        <v>134</v>
      </c>
      <c r="BC193" s="169">
        <f t="shared" si="191"/>
        <v>156</v>
      </c>
      <c r="BD193" s="170"/>
      <c r="BE193" s="168"/>
      <c r="BF193" s="169">
        <f t="shared" si="192"/>
        <v>156</v>
      </c>
      <c r="BG193" s="169">
        <f t="shared" si="193"/>
        <v>0</v>
      </c>
      <c r="BH193" s="169" t="str">
        <f t="shared" si="200"/>
        <v>EMAX 1</v>
      </c>
      <c r="BI193" s="168">
        <f t="shared" si="194"/>
        <v>2</v>
      </c>
      <c r="BJ193" s="169">
        <f t="shared" si="195"/>
        <v>388</v>
      </c>
      <c r="BK193" s="169">
        <f>IF(COUNTIF(AY193:BC193,"&gt;0")&lt;Spielorte!$A$23,0,AV193/Spielorte!$A$23)</f>
        <v>0</v>
      </c>
      <c r="BL193" s="169">
        <f t="shared" si="196"/>
        <v>0</v>
      </c>
      <c r="BM193" s="168">
        <f t="shared" si="197"/>
        <v>0</v>
      </c>
    </row>
    <row r="194" spans="1:65" ht="16.95" customHeight="1" thickBot="1">
      <c r="A194" s="405"/>
      <c r="B194" s="60" t="str">
        <f>IF(C194=0,"",VLOOKUP(C194,Starter!$A$1:$D$196,2,FALSE))</f>
        <v/>
      </c>
      <c r="C194" s="236"/>
      <c r="D194" s="223">
        <f t="shared" si="176"/>
        <v>0</v>
      </c>
      <c r="E194" s="224"/>
      <c r="F194" s="242">
        <f t="shared" si="177"/>
        <v>0</v>
      </c>
      <c r="G194" s="430"/>
      <c r="H194" s="224"/>
      <c r="I194" s="242">
        <f t="shared" si="178"/>
        <v>0</v>
      </c>
      <c r="J194" s="430"/>
      <c r="K194" s="224"/>
      <c r="L194" s="242">
        <f t="shared" si="179"/>
        <v>0</v>
      </c>
      <c r="M194" s="430"/>
      <c r="N194" s="224"/>
      <c r="O194" s="242">
        <f t="shared" si="180"/>
        <v>0</v>
      </c>
      <c r="P194" s="430"/>
      <c r="Q194" s="224"/>
      <c r="R194" s="242">
        <f t="shared" si="181"/>
        <v>0</v>
      </c>
      <c r="S194" s="430"/>
      <c r="T194" s="224">
        <f t="shared" si="182"/>
        <v>0</v>
      </c>
      <c r="U194" s="242">
        <f t="shared" si="183"/>
        <v>0</v>
      </c>
      <c r="V194" s="402"/>
      <c r="W194" s="79"/>
      <c r="X194" s="79"/>
      <c r="Y194" s="79"/>
      <c r="Z194" s="79"/>
      <c r="AA194" s="79"/>
      <c r="AB194" s="79"/>
      <c r="AL194" s="169">
        <f>IF(AU194=0,0,IFERROR(INDEX(RanglisteST1!K:K,MATCH(AU194,RanglisteST1!A:A,0)),0))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84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85"/>
        <v>0</v>
      </c>
      <c r="AV194" s="167">
        <f t="shared" si="198"/>
        <v>0</v>
      </c>
      <c r="AW194" s="169">
        <f t="shared" si="186"/>
        <v>0</v>
      </c>
      <c r="AX194" s="169">
        <f t="shared" si="187"/>
        <v>0</v>
      </c>
      <c r="AY194" s="169" t="str">
        <f t="shared" si="199"/>
        <v/>
      </c>
      <c r="AZ194" s="169" t="str">
        <f t="shared" si="188"/>
        <v/>
      </c>
      <c r="BA194" s="169" t="str">
        <f t="shared" si="189"/>
        <v/>
      </c>
      <c r="BB194" s="169" t="str">
        <f t="shared" si="190"/>
        <v/>
      </c>
      <c r="BC194" s="169" t="str">
        <f t="shared" si="191"/>
        <v/>
      </c>
      <c r="BD194" s="170"/>
      <c r="BE194" s="168"/>
      <c r="BF194" s="169">
        <f t="shared" si="192"/>
        <v>0</v>
      </c>
      <c r="BG194" s="169">
        <f t="shared" si="193"/>
        <v>0</v>
      </c>
      <c r="BH194" s="169" t="str">
        <f t="shared" si="200"/>
        <v>EMAX 1</v>
      </c>
      <c r="BI194" s="168">
        <f t="shared" si="194"/>
        <v>2</v>
      </c>
      <c r="BJ194" s="169">
        <f t="shared" si="195"/>
        <v>0</v>
      </c>
      <c r="BK194" s="169">
        <f>IF(COUNTIF(AY194:BC194,"&gt;0")&lt;Spielorte!$A$23,0,AV194/Spielorte!$A$23)</f>
        <v>0</v>
      </c>
      <c r="BL194" s="169">
        <f t="shared" si="196"/>
        <v>0</v>
      </c>
      <c r="BM194" s="168">
        <f t="shared" si="197"/>
        <v>0</v>
      </c>
    </row>
    <row r="195" spans="1:65" ht="16.95" customHeight="1">
      <c r="A195" s="403" t="s">
        <v>3</v>
      </c>
      <c r="B195" s="58" t="str">
        <f>IF(C195=0,"",VLOOKUP(C195,Starter!$A$1:$D$196,2,FALSE))</f>
        <v>Vogt, Leonard</v>
      </c>
      <c r="C195" s="235">
        <v>38904</v>
      </c>
      <c r="D195" s="238">
        <f t="shared" si="176"/>
        <v>25</v>
      </c>
      <c r="E195" s="221">
        <v>98</v>
      </c>
      <c r="F195" s="240">
        <f t="shared" si="177"/>
        <v>123</v>
      </c>
      <c r="G195" s="428">
        <f>IF(SUM(F195:F197)+E206=0,0,IF(ABS(SUM(F195:F197))=E206,Spielorte!$A$30/2,IF(ABS(SUM(F195:F197))&gt;E206,Spielorte!$A$30,0)))</f>
        <v>0</v>
      </c>
      <c r="H195" s="221">
        <v>163</v>
      </c>
      <c r="I195" s="240">
        <f t="shared" si="178"/>
        <v>188</v>
      </c>
      <c r="J195" s="428">
        <f>IF(SUM(I195:I197)+H206=0,0,IF(ABS(SUM(I195:I197))=H206,Spielorte!$A$30/2,IF(ABS(SUM(I195:I197))&gt;H206,Spielorte!$A$30,0)))</f>
        <v>1</v>
      </c>
      <c r="K195" s="221"/>
      <c r="L195" s="240">
        <f t="shared" si="179"/>
        <v>0</v>
      </c>
      <c r="M195" s="428">
        <f>IF(SUM(L195:L197)+K206=0,0,IF(ABS(SUM(L195:L197))=K206,Spielorte!$A$30/2,IF(ABS(SUM(L195:L197))&gt;K206,Spielorte!$A$30,0)))</f>
        <v>1</v>
      </c>
      <c r="N195" s="221"/>
      <c r="O195" s="240">
        <f t="shared" si="180"/>
        <v>0</v>
      </c>
      <c r="P195" s="428">
        <f>IF(SUM(O195:O197)+N206=0,0,IF(ABS(SUM(O195:O197))=N206,Spielorte!$A$30/2,IF(ABS(SUM(O195:O197))&gt;N206,Spielorte!$A$30,0)))</f>
        <v>1</v>
      </c>
      <c r="Q195" s="221"/>
      <c r="R195" s="240">
        <f t="shared" si="181"/>
        <v>0</v>
      </c>
      <c r="S195" s="428">
        <f>IF(SUM(R195:R197)+Q206=0,0,IF(ABS(SUM(R195:R197))=Q206,Spielorte!$A$30/2,IF(ABS(SUM(R195:R197))&gt;Q206,Spielorte!$A$30,0)))</f>
        <v>1</v>
      </c>
      <c r="T195" s="221">
        <f t="shared" si="182"/>
        <v>261</v>
      </c>
      <c r="U195" s="240">
        <f t="shared" si="183"/>
        <v>311</v>
      </c>
      <c r="V195" s="400">
        <f>SUM(G195+J195+M195+P195+S195)</f>
        <v>4</v>
      </c>
      <c r="W195" s="79"/>
      <c r="X195" s="79"/>
      <c r="Y195" s="79"/>
      <c r="Z195" s="79"/>
      <c r="AA195" s="79"/>
      <c r="AB195" s="79"/>
      <c r="AL195" s="169">
        <f>IF(AU195=0,0,IFERROR(INDEX(RanglisteST1!K:K,MATCH(AU195,RanglisteST1!A:A,0)),0))</f>
        <v>0</v>
      </c>
      <c r="AM195" s="169">
        <f>IF(AU195=0,0,SUMIF(AU189:AU197,AU195,AV189:AV197))</f>
        <v>387</v>
      </c>
      <c r="AN195" s="169">
        <f>IF(AU195=0,0,SUMIF(AU189:AU197,AU195,AW189:AW197))</f>
        <v>3</v>
      </c>
      <c r="AO195" s="169">
        <f t="shared" si="184"/>
        <v>129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25</v>
      </c>
      <c r="AQ195" s="166"/>
      <c r="AR195" s="167"/>
      <c r="AS195" s="167"/>
      <c r="AT195" s="168"/>
      <c r="AU195" s="171">
        <f t="shared" si="185"/>
        <v>38904</v>
      </c>
      <c r="AV195" s="167">
        <f t="shared" si="198"/>
        <v>261</v>
      </c>
      <c r="AW195" s="169">
        <f t="shared" si="186"/>
        <v>2</v>
      </c>
      <c r="AX195" s="169">
        <f t="shared" si="187"/>
        <v>2</v>
      </c>
      <c r="AY195" s="169">
        <f t="shared" si="199"/>
        <v>98</v>
      </c>
      <c r="AZ195" s="169">
        <f t="shared" si="188"/>
        <v>163</v>
      </c>
      <c r="BA195" s="169" t="str">
        <f t="shared" si="189"/>
        <v/>
      </c>
      <c r="BB195" s="169" t="str">
        <f t="shared" si="190"/>
        <v/>
      </c>
      <c r="BC195" s="169" t="str">
        <f t="shared" si="191"/>
        <v/>
      </c>
      <c r="BD195" s="170"/>
      <c r="BE195" s="168"/>
      <c r="BF195" s="169">
        <f t="shared" si="192"/>
        <v>163</v>
      </c>
      <c r="BG195" s="169">
        <f t="shared" si="193"/>
        <v>0</v>
      </c>
      <c r="BH195" s="169" t="str">
        <f t="shared" si="200"/>
        <v>EMAX 1</v>
      </c>
      <c r="BI195" s="168">
        <f t="shared" si="194"/>
        <v>2</v>
      </c>
      <c r="BJ195" s="169">
        <f t="shared" si="195"/>
        <v>261</v>
      </c>
      <c r="BK195" s="169">
        <f>IF(COUNTIF(AY195:BC195,"&gt;0")&lt;Spielorte!$A$23,0,AV195/Spielorte!$A$23)</f>
        <v>0</v>
      </c>
      <c r="BL195" s="169">
        <f t="shared" si="196"/>
        <v>0</v>
      </c>
      <c r="BM195" s="168">
        <f t="shared" si="197"/>
        <v>0</v>
      </c>
    </row>
    <row r="196" spans="1:65" ht="16.95" customHeight="1">
      <c r="A196" s="404"/>
      <c r="B196" s="58" t="str">
        <f>IF(C196=0,"",VLOOKUP(C196,Starter!$A$1:$D$196,2,FALSE))</f>
        <v>Mrosek, Laura Maria</v>
      </c>
      <c r="C196" s="233">
        <v>38785</v>
      </c>
      <c r="D196" s="239">
        <f t="shared" si="176"/>
        <v>41</v>
      </c>
      <c r="E196" s="222"/>
      <c r="F196" s="241">
        <f t="shared" si="177"/>
        <v>0</v>
      </c>
      <c r="G196" s="429"/>
      <c r="H196" s="222"/>
      <c r="I196" s="241">
        <f t="shared" si="178"/>
        <v>0</v>
      </c>
      <c r="J196" s="429"/>
      <c r="K196" s="222">
        <v>82</v>
      </c>
      <c r="L196" s="241">
        <f t="shared" si="179"/>
        <v>123</v>
      </c>
      <c r="M196" s="429"/>
      <c r="N196" s="222">
        <v>140</v>
      </c>
      <c r="O196" s="241">
        <f t="shared" si="180"/>
        <v>181</v>
      </c>
      <c r="P196" s="429"/>
      <c r="Q196" s="222"/>
      <c r="R196" s="241">
        <f t="shared" si="181"/>
        <v>0</v>
      </c>
      <c r="S196" s="429"/>
      <c r="T196" s="222">
        <f t="shared" si="182"/>
        <v>222</v>
      </c>
      <c r="U196" s="241">
        <f t="shared" si="183"/>
        <v>304</v>
      </c>
      <c r="V196" s="401"/>
      <c r="W196" s="79"/>
      <c r="X196" s="79"/>
      <c r="Y196" s="79"/>
      <c r="Z196" s="79"/>
      <c r="AA196" s="79"/>
      <c r="AB196" s="79"/>
      <c r="AL196" s="169">
        <f>IF(AU196=0,0,IFERROR(INDEX(RanglisteST1!K:K,MATCH(AU196,RanglisteST1!A:A,0)),0))</f>
        <v>0</v>
      </c>
      <c r="AM196" s="169">
        <f>IF(AU196=0,0,SUMIF(AU189:AU197,AU196,AV189:AV197))</f>
        <v>328</v>
      </c>
      <c r="AN196" s="169">
        <f>IF(AU196=0,0,SUMIF(AU189:AU197,AU196,AW189:AW197))</f>
        <v>3</v>
      </c>
      <c r="AO196" s="169">
        <f t="shared" si="184"/>
        <v>109.33333333333333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41</v>
      </c>
      <c r="AQ196" s="166"/>
      <c r="AR196" s="167"/>
      <c r="AS196" s="167"/>
      <c r="AT196" s="168"/>
      <c r="AU196" s="171">
        <f t="shared" si="185"/>
        <v>38785</v>
      </c>
      <c r="AV196" s="167">
        <f t="shared" si="198"/>
        <v>222</v>
      </c>
      <c r="AW196" s="169">
        <f t="shared" si="186"/>
        <v>2</v>
      </c>
      <c r="AX196" s="169">
        <f t="shared" si="187"/>
        <v>2</v>
      </c>
      <c r="AY196" s="169" t="str">
        <f t="shared" si="199"/>
        <v/>
      </c>
      <c r="AZ196" s="169" t="str">
        <f t="shared" si="188"/>
        <v/>
      </c>
      <c r="BA196" s="169">
        <f t="shared" si="189"/>
        <v>82</v>
      </c>
      <c r="BB196" s="169">
        <f t="shared" si="190"/>
        <v>140</v>
      </c>
      <c r="BC196" s="169" t="str">
        <f t="shared" si="191"/>
        <v/>
      </c>
      <c r="BD196" s="170"/>
      <c r="BE196" s="168"/>
      <c r="BF196" s="169">
        <f t="shared" si="192"/>
        <v>140</v>
      </c>
      <c r="BG196" s="169">
        <f t="shared" si="193"/>
        <v>0</v>
      </c>
      <c r="BH196" s="169" t="str">
        <f t="shared" si="200"/>
        <v>EMAX 1</v>
      </c>
      <c r="BI196" s="168">
        <f t="shared" si="194"/>
        <v>2</v>
      </c>
      <c r="BJ196" s="169">
        <f t="shared" si="195"/>
        <v>222</v>
      </c>
      <c r="BK196" s="169">
        <f>IF(COUNTIF(AY196:BC196,"&gt;0")&lt;Spielorte!$A$23,0,AV196/Spielorte!$A$23)</f>
        <v>0</v>
      </c>
      <c r="BL196" s="169">
        <f t="shared" si="196"/>
        <v>0</v>
      </c>
      <c r="BM196" s="168">
        <f t="shared" si="197"/>
        <v>0</v>
      </c>
    </row>
    <row r="197" spans="1:65" ht="16.95" customHeight="1" thickBot="1">
      <c r="A197" s="405"/>
      <c r="B197" s="60" t="str">
        <f>IF(C197=0,"",VLOOKUP(C197,Starter!$A$1:$D$196,2,FALSE))</f>
        <v>Hofer, Anja</v>
      </c>
      <c r="C197" s="236">
        <v>38890</v>
      </c>
      <c r="D197" s="223">
        <f t="shared" si="176"/>
        <v>44</v>
      </c>
      <c r="E197" s="224"/>
      <c r="F197" s="242">
        <f t="shared" si="177"/>
        <v>0</v>
      </c>
      <c r="G197" s="430"/>
      <c r="H197" s="224"/>
      <c r="I197" s="242">
        <f t="shared" si="178"/>
        <v>0</v>
      </c>
      <c r="J197" s="430"/>
      <c r="K197" s="224"/>
      <c r="L197" s="242">
        <f t="shared" si="179"/>
        <v>0</v>
      </c>
      <c r="M197" s="430"/>
      <c r="N197" s="224"/>
      <c r="O197" s="242">
        <f t="shared" si="180"/>
        <v>0</v>
      </c>
      <c r="P197" s="430"/>
      <c r="Q197" s="224">
        <v>134</v>
      </c>
      <c r="R197" s="242">
        <f t="shared" si="181"/>
        <v>178</v>
      </c>
      <c r="S197" s="430"/>
      <c r="T197" s="224">
        <f t="shared" si="182"/>
        <v>134</v>
      </c>
      <c r="U197" s="242">
        <f t="shared" si="183"/>
        <v>178</v>
      </c>
      <c r="V197" s="402"/>
      <c r="W197" s="79"/>
      <c r="X197" s="79"/>
      <c r="Y197" s="79"/>
      <c r="Z197" s="79"/>
      <c r="AA197" s="79"/>
      <c r="AB197" s="79"/>
      <c r="AL197" s="169">
        <f>IF(AU197=0,0,IFERROR(INDEX(RanglisteST1!K:K,MATCH(AU197,RanglisteST1!A:A,0)),0))</f>
        <v>0</v>
      </c>
      <c r="AM197" s="169">
        <f>IF(AU197=0,0,SUMIF(AU189:AU197,AU197,AV189:AV197))</f>
        <v>316</v>
      </c>
      <c r="AN197" s="169">
        <f>IF(AU197=0,0,SUMIF(AU189:AU197,AU197,AW189:AW197))</f>
        <v>3</v>
      </c>
      <c r="AO197" s="169">
        <f t="shared" si="184"/>
        <v>105.33333333333333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44</v>
      </c>
      <c r="AQ197" s="166"/>
      <c r="AR197" s="167"/>
      <c r="AS197" s="167"/>
      <c r="AT197" s="168"/>
      <c r="AU197" s="171">
        <f t="shared" si="185"/>
        <v>38890</v>
      </c>
      <c r="AV197" s="167">
        <f t="shared" si="198"/>
        <v>134</v>
      </c>
      <c r="AW197" s="169">
        <f t="shared" si="186"/>
        <v>1</v>
      </c>
      <c r="AX197" s="169">
        <f t="shared" si="187"/>
        <v>1</v>
      </c>
      <c r="AY197" s="169" t="str">
        <f t="shared" si="199"/>
        <v/>
      </c>
      <c r="AZ197" s="169" t="str">
        <f t="shared" si="188"/>
        <v/>
      </c>
      <c r="BA197" s="169" t="str">
        <f t="shared" si="189"/>
        <v/>
      </c>
      <c r="BB197" s="169" t="str">
        <f t="shared" si="190"/>
        <v/>
      </c>
      <c r="BC197" s="169">
        <f t="shared" si="191"/>
        <v>134</v>
      </c>
      <c r="BD197" s="170"/>
      <c r="BE197" s="168"/>
      <c r="BF197" s="169">
        <f t="shared" si="192"/>
        <v>134</v>
      </c>
      <c r="BG197" s="169">
        <f t="shared" si="193"/>
        <v>0</v>
      </c>
      <c r="BH197" s="169" t="str">
        <f t="shared" si="200"/>
        <v>EMAX 1</v>
      </c>
      <c r="BI197" s="168">
        <f t="shared" si="194"/>
        <v>2</v>
      </c>
      <c r="BJ197" s="169">
        <f t="shared" si="195"/>
        <v>134</v>
      </c>
      <c r="BK197" s="169">
        <f>IF(COUNTIF(AY197:BC197,"&gt;0")&lt;Spielorte!$A$23,0,AV197/Spielorte!$A$23)</f>
        <v>0</v>
      </c>
      <c r="BL197" s="169">
        <f t="shared" si="196"/>
        <v>0</v>
      </c>
      <c r="BM197" s="168">
        <f t="shared" si="197"/>
        <v>0</v>
      </c>
    </row>
    <row r="198" spans="1:65" ht="27.75" customHeight="1" thickBot="1">
      <c r="B198" s="218" t="s">
        <v>1792</v>
      </c>
      <c r="C198" s="204"/>
      <c r="D198" s="219"/>
      <c r="E198" s="226">
        <f>ABS(SUM(E189:E191))+ABS(SUM(E192:E194))+ABS(SUM(E195:E197))</f>
        <v>284</v>
      </c>
      <c r="F198" s="225">
        <f>ABS(SUM(F189:F191))+ABS(SUM(F192:F194))+ABS(SUM(F195:F197))</f>
        <v>394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372</v>
      </c>
      <c r="I198" s="225">
        <f>ABS(SUM(I189:I191))+ABS(SUM(I192:I194))+ABS(SUM(I195:I197))</f>
        <v>454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299</v>
      </c>
      <c r="L198" s="225">
        <f>ABS(SUM(L189:L191))+ABS(SUM(L192:L194))+ABS(SUM(L195:L197))</f>
        <v>416</v>
      </c>
      <c r="M198" s="81">
        <f>IF(L198+K207=0,0,IF(L198=K207,Spielorte!$A$31/2,IF(L198&gt;K207,Spielorte!$A$31,0)))</f>
        <v>2</v>
      </c>
      <c r="N198" s="226">
        <f>ABS(SUM(N189:N191))+ABS(SUM(N192:N194))+ABS(SUM(N195:N197))</f>
        <v>400</v>
      </c>
      <c r="O198" s="225">
        <f>ABS(SUM(O189:O191))+ABS(SUM(O192:O194))+ABS(SUM(O195:O197))</f>
        <v>491</v>
      </c>
      <c r="P198" s="81">
        <f>IF(O198+N207=0,0,IF(O198=N207,Spielorte!$A$31/2,IF(O198&gt;N207,Spielorte!$A$31,0)))</f>
        <v>2</v>
      </c>
      <c r="Q198" s="226">
        <f>ABS(SUM(Q189:Q191))+ABS(SUM(Q192:Q194))+ABS(SUM(Q195:Q197))</f>
        <v>425</v>
      </c>
      <c r="R198" s="225">
        <f>ABS(SUM(R189:R191))+ABS(SUM(R192:R194))+ABS(SUM(R195:R197))</f>
        <v>526</v>
      </c>
      <c r="S198" s="81">
        <f>IF(R198+Q207=0,0,IF(R198=Q207,Spielorte!$A$31/2,IF(R198&gt;Q207,Spielorte!$A$31,0)))</f>
        <v>2</v>
      </c>
      <c r="T198" s="228">
        <f>SUM(E198+H198+K198+N198+Q198)</f>
        <v>1780</v>
      </c>
      <c r="U198" s="229">
        <f>SUM(F198+I198+L198+O198+R198)</f>
        <v>2281</v>
      </c>
      <c r="V198" s="12">
        <f>SUM(G198+J198+M198+P198+S198)</f>
        <v>6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2</v>
      </c>
      <c r="K199" s="1"/>
      <c r="L199" s="1"/>
      <c r="M199" s="61">
        <f>SUM(M189:M198)</f>
        <v>3</v>
      </c>
      <c r="N199" s="1"/>
      <c r="O199" s="1"/>
      <c r="P199" s="61">
        <f>SUM(P189:P198)</f>
        <v>4</v>
      </c>
      <c r="Q199" s="1"/>
      <c r="R199" s="1"/>
      <c r="S199" s="61">
        <f>SUM(S189:S198)</f>
        <v>5</v>
      </c>
      <c r="T199" s="1"/>
      <c r="U199" s="1"/>
      <c r="V199" s="61">
        <f>SUM(V189:V198)</f>
        <v>14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14</v>
      </c>
      <c r="AR199" s="167">
        <f>+T198</f>
        <v>1780</v>
      </c>
      <c r="AS199" s="167">
        <f>+U198</f>
        <v>2281</v>
      </c>
      <c r="AT199" s="168">
        <f>+B184</f>
        <v>8</v>
      </c>
      <c r="AW199" s="169">
        <f>SUM(AW183:AW198)</f>
        <v>15</v>
      </c>
      <c r="BD199" s="166">
        <f>+AS199/1000000+AQ199+AR199/1000000000000</f>
        <v>14.00228100178</v>
      </c>
      <c r="BE199" s="168">
        <f>RANK(BD199,BD:BD)</f>
        <v>4</v>
      </c>
      <c r="BI199" s="168"/>
      <c r="BM199" s="168"/>
    </row>
    <row r="200" spans="1:65" ht="11.25" customHeight="1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>
      <c r="B201" s="231" t="s">
        <v>1790</v>
      </c>
      <c r="C201" s="210"/>
      <c r="D201" s="42"/>
      <c r="E201" s="434">
        <f>VLOOKUP($B184,Schlüssel!$A$5:$EK$12,3)</f>
        <v>7</v>
      </c>
      <c r="F201" s="435"/>
      <c r="G201" s="436"/>
      <c r="H201" s="434">
        <f>VLOOKUP($B184,Schlüssel!$A$5:$EK$12,4)</f>
        <v>6</v>
      </c>
      <c r="I201" s="435"/>
      <c r="J201" s="436"/>
      <c r="K201" s="434">
        <f>VLOOKUP($B184,Schlüssel!$A$5:$EK$12,5)</f>
        <v>1</v>
      </c>
      <c r="L201" s="435"/>
      <c r="M201" s="436"/>
      <c r="N201" s="434">
        <f>VLOOKUP($B184,Schlüssel!$A$5:$EK$12,6)</f>
        <v>4</v>
      </c>
      <c r="O201" s="435"/>
      <c r="P201" s="436"/>
      <c r="Q201" s="434">
        <f>VLOOKUP($B184,Schlüssel!$A$5:$EK$12,7)</f>
        <v>3</v>
      </c>
      <c r="R201" s="435"/>
      <c r="S201" s="436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>
      <c r="B202" s="3" t="s">
        <v>9</v>
      </c>
      <c r="C202" s="1"/>
      <c r="D202" s="1"/>
      <c r="E202" s="395" t="str">
        <f>VLOOKUP(E201,Schlüssel!$A$5:$K$12,2)</f>
        <v>BK München 1</v>
      </c>
      <c r="F202" s="438"/>
      <c r="G202" s="396"/>
      <c r="H202" s="395" t="str">
        <f>VLOOKUP(H201,Schlüssel!$A$5:$K$12,2)</f>
        <v>Bowling Jugend Bayern 1</v>
      </c>
      <c r="I202" s="438"/>
      <c r="J202" s="396"/>
      <c r="K202" s="395" t="str">
        <f>VLOOKUP(K201,Schlüssel!$A$5:$K$12,2)</f>
        <v>Bad Tölz 1</v>
      </c>
      <c r="L202" s="438"/>
      <c r="M202" s="396"/>
      <c r="N202" s="395" t="str">
        <f>VLOOKUP(N201,Schlüssel!$A$5:$K$12,2)</f>
        <v>Highroller Rosenheim 3</v>
      </c>
      <c r="O202" s="438"/>
      <c r="P202" s="396"/>
      <c r="Q202" s="395" t="str">
        <f>VLOOKUP(Q201,Schlüssel!$A$5:$K$12,2)</f>
        <v>Highroller Rosenheim 2</v>
      </c>
      <c r="R202" s="438"/>
      <c r="S202" s="396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" customHeight="1">
      <c r="B204" s="417" t="s">
        <v>2275</v>
      </c>
      <c r="C204" s="418"/>
      <c r="D204" s="419"/>
      <c r="E204" s="431">
        <f>ABS(INDEX(F:F,MATCH(E201,$B:$B,0)+5)+INDEX(F:F,MATCH(E201,$B:$B,0)+6)+INDEX(F:F,MATCH(E201,$B:$B,0)+7))</f>
        <v>174</v>
      </c>
      <c r="F204" s="432"/>
      <c r="G204" s="433"/>
      <c r="H204" s="431">
        <f>ABS(INDEX(I:I,MATCH(H201,$B:$B,0)+5)+INDEX(I:I,MATCH(H201,$B:$B,0)+6)+INDEX(I:I,MATCH(H201,$B:$B,0)+7))</f>
        <v>140</v>
      </c>
      <c r="I204" s="432"/>
      <c r="J204" s="433"/>
      <c r="K204" s="431">
        <f>ABS(INDEX(L:L,MATCH(K201,$B:$B,0)+5)+INDEX(L:L,MATCH(K201,$B:$B,0)+6)+INDEX(L:L,MATCH(K201,$B:$B,0)+7))</f>
        <v>167</v>
      </c>
      <c r="L204" s="432"/>
      <c r="M204" s="433"/>
      <c r="N204" s="431">
        <f>ABS(INDEX(O:O,MATCH(N201,$B:$B,0)+5)+INDEX(O:O,MATCH(N201,$B:$B,0)+6)+INDEX(O:O,MATCH(N201,$B:$B,0)+7))</f>
        <v>161</v>
      </c>
      <c r="O204" s="432"/>
      <c r="P204" s="433"/>
      <c r="Q204" s="431">
        <f>ABS(INDEX(R:R,MATCH(Q201,$B:$B,0)+5)+INDEX(R:R,MATCH(Q201,$B:$B,0)+6)+INDEX(R:R,MATCH(Q201,$B:$B,0)+7))</f>
        <v>138</v>
      </c>
      <c r="R204" s="432"/>
      <c r="S204" s="433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" customHeight="1">
      <c r="B205" s="417" t="s">
        <v>2276</v>
      </c>
      <c r="C205" s="418"/>
      <c r="D205" s="419"/>
      <c r="E205" s="424">
        <f>ABS(INDEX(F:F,MATCH(E201,$B:$B,0)+8)+INDEX(F:F,MATCH(E201,$B:$B,0)+9)+INDEX(F:F,MATCH(E201,$B:$B,0)+10))</f>
        <v>159</v>
      </c>
      <c r="F205" s="425"/>
      <c r="G205" s="426"/>
      <c r="H205" s="424">
        <f>ABS(INDEX(I:I,MATCH(H201,$B:$B,0)+8)+INDEX(I:I,MATCH(H201,$B:$B,0)+9)+INDEX(I:I,MATCH(H201,$B:$B,0)+10))</f>
        <v>188</v>
      </c>
      <c r="I205" s="425"/>
      <c r="J205" s="426"/>
      <c r="K205" s="424">
        <f>ABS(INDEX(L:L,MATCH(K201,$B:$B,0)+8)+INDEX(L:L,MATCH(K201,$B:$B,0)+9)+INDEX(L:L,MATCH(K201,$B:$B,0)+10))</f>
        <v>178</v>
      </c>
      <c r="L205" s="425"/>
      <c r="M205" s="426"/>
      <c r="N205" s="424">
        <f>ABS(INDEX(O:O,MATCH(N201,$B:$B,0)+8)+INDEX(O:O,MATCH(N201,$B:$B,0)+9)+INDEX(O:O,MATCH(N201,$B:$B,0)+10))</f>
        <v>137</v>
      </c>
      <c r="O205" s="425"/>
      <c r="P205" s="426"/>
      <c r="Q205" s="424">
        <f>ABS(INDEX(R:R,MATCH(Q201,$B:$B,0)+8)+INDEX(R:R,MATCH(Q201,$B:$B,0)+9)+INDEX(R:R,MATCH(Q201,$B:$B,0)+10))</f>
        <v>163</v>
      </c>
      <c r="R205" s="425"/>
      <c r="S205" s="426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" customHeight="1">
      <c r="B206" s="417" t="s">
        <v>2277</v>
      </c>
      <c r="C206" s="418"/>
      <c r="D206" s="419"/>
      <c r="E206" s="424">
        <f>ABS(INDEX(F:F,MATCH(E201,$B:$B,0)+11)+INDEX(F:F,MATCH(E201,$B:$B,0)+12)+INDEX(F:F,MATCH(E201,$B:$B,0)+13))</f>
        <v>165</v>
      </c>
      <c r="F206" s="425"/>
      <c r="G206" s="426"/>
      <c r="H206" s="424">
        <f>ABS(INDEX(I:I,MATCH(H201,$B:$B,0)+11)+INDEX(I:I,MATCH(H201,$B:$B,0)+12)+INDEX(I:I,MATCH(H201,$B:$B,0)+13))</f>
        <v>141</v>
      </c>
      <c r="I206" s="425"/>
      <c r="J206" s="426"/>
      <c r="K206" s="424">
        <f>ABS(INDEX(L:L,MATCH(K201,$B:$B,0)+11)+INDEX(L:L,MATCH(K201,$B:$B,0)+12)+INDEX(L:L,MATCH(K201,$B:$B,0)+13))</f>
        <v>0</v>
      </c>
      <c r="L206" s="425"/>
      <c r="M206" s="426"/>
      <c r="N206" s="424">
        <f>ABS(INDEX(O:O,MATCH(N201,$B:$B,0)+11)+INDEX(O:O,MATCH(N201,$B:$B,0)+12)+INDEX(O:O,MATCH(N201,$B:$B,0)+13))</f>
        <v>142</v>
      </c>
      <c r="O206" s="425"/>
      <c r="P206" s="426"/>
      <c r="Q206" s="424">
        <f>ABS(INDEX(R:R,MATCH(Q201,$B:$B,0)+11)+INDEX(R:R,MATCH(Q201,$B:$B,0)+12)+INDEX(R:R,MATCH(Q201,$B:$B,0)+13))</f>
        <v>147</v>
      </c>
      <c r="R206" s="425"/>
      <c r="S206" s="426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" customHeight="1">
      <c r="B207" s="420" t="s">
        <v>2278</v>
      </c>
      <c r="C207" s="421"/>
      <c r="D207" s="422"/>
      <c r="E207" s="407">
        <f>SUM(E204:E206)</f>
        <v>498</v>
      </c>
      <c r="F207" s="423"/>
      <c r="G207" s="408"/>
      <c r="H207" s="407">
        <f>SUM(H204:H206)</f>
        <v>469</v>
      </c>
      <c r="I207" s="423"/>
      <c r="J207" s="408"/>
      <c r="K207" s="407">
        <f>SUM(K204:K206)</f>
        <v>345</v>
      </c>
      <c r="L207" s="423"/>
      <c r="M207" s="408"/>
      <c r="N207" s="407">
        <f>SUM(N204:N206)</f>
        <v>440</v>
      </c>
      <c r="O207" s="423"/>
      <c r="P207" s="408"/>
      <c r="Q207" s="407">
        <f>SUM(Q204:Q206)</f>
        <v>448</v>
      </c>
      <c r="R207" s="423"/>
      <c r="S207" s="408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</sheetData>
  <sheetProtection algorithmName="SHA-512" hashValue="uvNA4d7/QDOXiA5SAVr8cyrsTnd+cKJFKHm0b5T5eJ4xO+DTZmUdcPcTFIY7CQenJEgv6HfFNxsjrIMnW+W/xg==" saltValue="c1WOn0inEBZ9LYvGJoGDYw==" spinCount="100000" sheet="1" formatCells="0" formatColumns="0" formatRows="0"/>
  <mergeCells count="528"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A195:A197"/>
    <mergeCell ref="G195:G197"/>
    <mergeCell ref="J195:J197"/>
    <mergeCell ref="M195:M197"/>
    <mergeCell ref="P195:P197"/>
    <mergeCell ref="S195:S197"/>
    <mergeCell ref="V195:V197"/>
    <mergeCell ref="E202:G202"/>
    <mergeCell ref="H202:J202"/>
    <mergeCell ref="K202:M202"/>
    <mergeCell ref="N202:P202"/>
    <mergeCell ref="Q202:S202"/>
    <mergeCell ref="E201:G201"/>
    <mergeCell ref="H201:J201"/>
    <mergeCell ref="K201:M201"/>
    <mergeCell ref="N201:P201"/>
    <mergeCell ref="Q201:S201"/>
    <mergeCell ref="B185:G185"/>
    <mergeCell ref="E187:G187"/>
    <mergeCell ref="H187:J187"/>
    <mergeCell ref="K187:M187"/>
    <mergeCell ref="N187:P187"/>
    <mergeCell ref="Q187:S187"/>
    <mergeCell ref="T187:V187"/>
    <mergeCell ref="A192:A194"/>
    <mergeCell ref="G192:G194"/>
    <mergeCell ref="J192:J194"/>
    <mergeCell ref="M192:M194"/>
    <mergeCell ref="P192:P194"/>
    <mergeCell ref="S192:S194"/>
    <mergeCell ref="V192:V194"/>
    <mergeCell ref="A189:A191"/>
    <mergeCell ref="G189:G191"/>
    <mergeCell ref="J189:J191"/>
    <mergeCell ref="M189:M191"/>
    <mergeCell ref="P189:P191"/>
    <mergeCell ref="S189:S191"/>
    <mergeCell ref="V189:V191"/>
    <mergeCell ref="A169:A171"/>
    <mergeCell ref="G169:G171"/>
    <mergeCell ref="J169:J171"/>
    <mergeCell ref="M169:M171"/>
    <mergeCell ref="P169:P171"/>
    <mergeCell ref="S169:S171"/>
    <mergeCell ref="V169:V171"/>
    <mergeCell ref="B179:D179"/>
    <mergeCell ref="E179:G179"/>
    <mergeCell ref="H179:J179"/>
    <mergeCell ref="K179:M179"/>
    <mergeCell ref="N179:P179"/>
    <mergeCell ref="Q179:S179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G183:R183"/>
    <mergeCell ref="S183:V183"/>
    <mergeCell ref="G184:O184"/>
    <mergeCell ref="B178:D178"/>
    <mergeCell ref="E178:G178"/>
    <mergeCell ref="H178:J178"/>
    <mergeCell ref="K178:M178"/>
    <mergeCell ref="N178:P178"/>
    <mergeCell ref="Q178:S178"/>
    <mergeCell ref="E181:G181"/>
    <mergeCell ref="H181:J181"/>
    <mergeCell ref="K181:M181"/>
    <mergeCell ref="N181:P181"/>
    <mergeCell ref="Q181:S181"/>
    <mergeCell ref="B180:D180"/>
    <mergeCell ref="E180:G180"/>
    <mergeCell ref="H180:J180"/>
    <mergeCell ref="K180:M180"/>
    <mergeCell ref="N180:P180"/>
    <mergeCell ref="Q180:S180"/>
    <mergeCell ref="B181:D181"/>
    <mergeCell ref="Q184:R184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S1:V1"/>
    <mergeCell ref="G1:R1"/>
    <mergeCell ref="G137:G139"/>
    <mergeCell ref="J137:J139"/>
    <mergeCell ref="M137:M139"/>
    <mergeCell ref="P137:P139"/>
    <mergeCell ref="S137:S139"/>
    <mergeCell ref="J117:J119"/>
    <mergeCell ref="M117:M119"/>
    <mergeCell ref="P117:P119"/>
    <mergeCell ref="G117:G119"/>
    <mergeCell ref="P85:P87"/>
    <mergeCell ref="J88:J90"/>
    <mergeCell ref="V59:V61"/>
    <mergeCell ref="G62:G64"/>
    <mergeCell ref="J62:J64"/>
    <mergeCell ref="M62:M64"/>
    <mergeCell ref="P62:P64"/>
    <mergeCell ref="S62:S64"/>
    <mergeCell ref="V62:V64"/>
    <mergeCell ref="V39:V41"/>
    <mergeCell ref="J59:J61"/>
    <mergeCell ref="M59:M61"/>
    <mergeCell ref="P59:P61"/>
    <mergeCell ref="B48:D48"/>
    <mergeCell ref="B49:D49"/>
    <mergeCell ref="B50:D50"/>
    <mergeCell ref="B51:D51"/>
    <mergeCell ref="G114:G116"/>
    <mergeCell ref="V91:V93"/>
    <mergeCell ref="J111:J113"/>
    <mergeCell ref="M111:M113"/>
    <mergeCell ref="P111:P113"/>
    <mergeCell ref="S111:S113"/>
    <mergeCell ref="V111:V113"/>
    <mergeCell ref="B74:D74"/>
    <mergeCell ref="V65:V67"/>
    <mergeCell ref="V85:V87"/>
    <mergeCell ref="V88:V90"/>
    <mergeCell ref="J91:J93"/>
    <mergeCell ref="M91:M93"/>
    <mergeCell ref="P91:P93"/>
    <mergeCell ref="S91:S93"/>
    <mergeCell ref="J65:J67"/>
    <mergeCell ref="M65:M67"/>
    <mergeCell ref="P65:P67"/>
    <mergeCell ref="J85:J87"/>
    <mergeCell ref="M85:M87"/>
    <mergeCell ref="E72:G72"/>
    <mergeCell ref="H72:J72"/>
    <mergeCell ref="E71:G71"/>
    <mergeCell ref="G65:G67"/>
    <mergeCell ref="G85:G87"/>
    <mergeCell ref="G88:G90"/>
    <mergeCell ref="G91:G93"/>
    <mergeCell ref="S65:S67"/>
    <mergeCell ref="S85:S87"/>
    <mergeCell ref="M88:M90"/>
    <mergeCell ref="P88:P90"/>
    <mergeCell ref="E76:G76"/>
    <mergeCell ref="H76:J76"/>
    <mergeCell ref="K76:M76"/>
    <mergeCell ref="N76:P76"/>
    <mergeCell ref="Q76:S76"/>
    <mergeCell ref="E74:G74"/>
    <mergeCell ref="H74:J74"/>
    <mergeCell ref="K74:M74"/>
    <mergeCell ref="N74:P74"/>
    <mergeCell ref="Q74:S74"/>
    <mergeCell ref="E77:G77"/>
    <mergeCell ref="H77:J77"/>
    <mergeCell ref="K77:M77"/>
    <mergeCell ref="A13:A15"/>
    <mergeCell ref="A59:A61"/>
    <mergeCell ref="A65:A67"/>
    <mergeCell ref="A143:A145"/>
    <mergeCell ref="A62:A64"/>
    <mergeCell ref="A85:A87"/>
    <mergeCell ref="A10:A12"/>
    <mergeCell ref="A7:A9"/>
    <mergeCell ref="A33:A35"/>
    <mergeCell ref="A39:A41"/>
    <mergeCell ref="A36:A38"/>
    <mergeCell ref="J39:J41"/>
    <mergeCell ref="M39:M41"/>
    <mergeCell ref="P39:P41"/>
    <mergeCell ref="S39:S41"/>
    <mergeCell ref="E19:G19"/>
    <mergeCell ref="A88:A90"/>
    <mergeCell ref="A140:A142"/>
    <mergeCell ref="A111:A113"/>
    <mergeCell ref="A117:A119"/>
    <mergeCell ref="A114:A116"/>
    <mergeCell ref="A137:A139"/>
    <mergeCell ref="A91:A93"/>
    <mergeCell ref="K72:M72"/>
    <mergeCell ref="N72:P72"/>
    <mergeCell ref="Q72:S72"/>
    <mergeCell ref="E98:G98"/>
    <mergeCell ref="N100:P100"/>
    <mergeCell ref="G59:G61"/>
    <mergeCell ref="H98:J98"/>
    <mergeCell ref="K98:M98"/>
    <mergeCell ref="N98:P98"/>
    <mergeCell ref="Q98:S98"/>
    <mergeCell ref="S59:S61"/>
    <mergeCell ref="S79:V79"/>
    <mergeCell ref="K127:M127"/>
    <mergeCell ref="E100:G100"/>
    <mergeCell ref="H100:J100"/>
    <mergeCell ref="K100:M100"/>
    <mergeCell ref="Q100:S100"/>
    <mergeCell ref="S105:V105"/>
    <mergeCell ref="G111:G113"/>
    <mergeCell ref="M114:M116"/>
    <mergeCell ref="P114:P116"/>
    <mergeCell ref="S114:S116"/>
    <mergeCell ref="V114:V116"/>
    <mergeCell ref="S117:S119"/>
    <mergeCell ref="V117:V119"/>
    <mergeCell ref="H126:J126"/>
    <mergeCell ref="K126:M126"/>
    <mergeCell ref="N126:P126"/>
    <mergeCell ref="Q126:S126"/>
    <mergeCell ref="E103:G103"/>
    <mergeCell ref="E124:G124"/>
    <mergeCell ref="H124:J124"/>
    <mergeCell ref="K123:M123"/>
    <mergeCell ref="T109:V109"/>
    <mergeCell ref="K124:M124"/>
    <mergeCell ref="N124:P124"/>
    <mergeCell ref="J36:J38"/>
    <mergeCell ref="M36:M38"/>
    <mergeCell ref="H23:J23"/>
    <mergeCell ref="E24:G24"/>
    <mergeCell ref="S27:V27"/>
    <mergeCell ref="Q19:S19"/>
    <mergeCell ref="E31:G31"/>
    <mergeCell ref="H31:J31"/>
    <mergeCell ref="K31:M31"/>
    <mergeCell ref="N31:P31"/>
    <mergeCell ref="K23:M23"/>
    <mergeCell ref="E22:G22"/>
    <mergeCell ref="K24:M24"/>
    <mergeCell ref="K25:M25"/>
    <mergeCell ref="Q22:S22"/>
    <mergeCell ref="E20:G20"/>
    <mergeCell ref="H20:J20"/>
    <mergeCell ref="N22:P22"/>
    <mergeCell ref="K20:M20"/>
    <mergeCell ref="N20:P20"/>
    <mergeCell ref="Q20:S20"/>
    <mergeCell ref="H22:J22"/>
    <mergeCell ref="H19:J19"/>
    <mergeCell ref="V36:V38"/>
    <mergeCell ref="E51:G51"/>
    <mergeCell ref="H51:J51"/>
    <mergeCell ref="P36:P38"/>
    <mergeCell ref="S36:S38"/>
    <mergeCell ref="G39:G41"/>
    <mergeCell ref="E48:G48"/>
    <mergeCell ref="H48:J48"/>
    <mergeCell ref="K48:M48"/>
    <mergeCell ref="N48:P48"/>
    <mergeCell ref="Q48:S48"/>
    <mergeCell ref="N46:P46"/>
    <mergeCell ref="Q46:S46"/>
    <mergeCell ref="N49:P49"/>
    <mergeCell ref="Q49:S49"/>
    <mergeCell ref="E45:G45"/>
    <mergeCell ref="H45:J45"/>
    <mergeCell ref="K45:M45"/>
    <mergeCell ref="N45:P45"/>
    <mergeCell ref="Q45:S45"/>
    <mergeCell ref="E46:G46"/>
    <mergeCell ref="H46:J46"/>
    <mergeCell ref="K46:M46"/>
    <mergeCell ref="E49:G49"/>
    <mergeCell ref="H49:J49"/>
    <mergeCell ref="V7:V9"/>
    <mergeCell ref="V10:V12"/>
    <mergeCell ref="V13:V15"/>
    <mergeCell ref="V33:V35"/>
    <mergeCell ref="G36:G38"/>
    <mergeCell ref="P7:P9"/>
    <mergeCell ref="S7:S9"/>
    <mergeCell ref="Q25:S25"/>
    <mergeCell ref="G7:G9"/>
    <mergeCell ref="E25:G25"/>
    <mergeCell ref="E23:G23"/>
    <mergeCell ref="K19:M19"/>
    <mergeCell ref="N19:P19"/>
    <mergeCell ref="N23:P23"/>
    <mergeCell ref="N24:P24"/>
    <mergeCell ref="N25:P25"/>
    <mergeCell ref="H24:J24"/>
    <mergeCell ref="H25:J25"/>
    <mergeCell ref="K22:M22"/>
    <mergeCell ref="S10:S12"/>
    <mergeCell ref="J33:J35"/>
    <mergeCell ref="M33:M35"/>
    <mergeCell ref="P33:P35"/>
    <mergeCell ref="S33:S35"/>
    <mergeCell ref="Q77:S77"/>
    <mergeCell ref="E102:G102"/>
    <mergeCell ref="H102:J102"/>
    <mergeCell ref="K102:M102"/>
    <mergeCell ref="N102:P102"/>
    <mergeCell ref="Q102:S102"/>
    <mergeCell ref="E97:G97"/>
    <mergeCell ref="H97:J97"/>
    <mergeCell ref="K97:M97"/>
    <mergeCell ref="N97:P97"/>
    <mergeCell ref="Q97:S97"/>
    <mergeCell ref="S88:S90"/>
    <mergeCell ref="E101:G101"/>
    <mergeCell ref="H101:J101"/>
    <mergeCell ref="G131:R131"/>
    <mergeCell ref="B133:G133"/>
    <mergeCell ref="G140:G142"/>
    <mergeCell ref="M10:M12"/>
    <mergeCell ref="P10:P12"/>
    <mergeCell ref="G33:G35"/>
    <mergeCell ref="Q23:S23"/>
    <mergeCell ref="Q24:S24"/>
    <mergeCell ref="H103:J103"/>
    <mergeCell ref="K103:M103"/>
    <mergeCell ref="N103:P103"/>
    <mergeCell ref="Q103:S103"/>
    <mergeCell ref="G10:G12"/>
    <mergeCell ref="G13:G15"/>
    <mergeCell ref="E83:G83"/>
    <mergeCell ref="H83:J83"/>
    <mergeCell ref="K83:M83"/>
    <mergeCell ref="N83:P83"/>
    <mergeCell ref="Q83:S83"/>
    <mergeCell ref="E50:G50"/>
    <mergeCell ref="H50:J50"/>
    <mergeCell ref="E57:G57"/>
    <mergeCell ref="H57:J57"/>
    <mergeCell ref="H71:J71"/>
    <mergeCell ref="H135:J135"/>
    <mergeCell ref="K135:M135"/>
    <mergeCell ref="T135:V135"/>
    <mergeCell ref="V137:V139"/>
    <mergeCell ref="M143:M145"/>
    <mergeCell ref="P143:P145"/>
    <mergeCell ref="S143:S145"/>
    <mergeCell ref="V143:V145"/>
    <mergeCell ref="P140:P142"/>
    <mergeCell ref="S140:S142"/>
    <mergeCell ref="V140:V142"/>
    <mergeCell ref="Q129:S129"/>
    <mergeCell ref="E135:G135"/>
    <mergeCell ref="E123:G123"/>
    <mergeCell ref="H123:J123"/>
    <mergeCell ref="K154:M154"/>
    <mergeCell ref="N154:P154"/>
    <mergeCell ref="Q154:S154"/>
    <mergeCell ref="E149:G149"/>
    <mergeCell ref="H149:J149"/>
    <mergeCell ref="K149:M149"/>
    <mergeCell ref="N149:P149"/>
    <mergeCell ref="Q152:S152"/>
    <mergeCell ref="E150:G150"/>
    <mergeCell ref="H150:J150"/>
    <mergeCell ref="K150:M150"/>
    <mergeCell ref="N150:P150"/>
    <mergeCell ref="Q150:S150"/>
    <mergeCell ref="Q149:S149"/>
    <mergeCell ref="J140:J142"/>
    <mergeCell ref="M140:M142"/>
    <mergeCell ref="N152:P152"/>
    <mergeCell ref="S131:V131"/>
    <mergeCell ref="N135:P135"/>
    <mergeCell ref="Q135:S135"/>
    <mergeCell ref="S13:S15"/>
    <mergeCell ref="M7:M9"/>
    <mergeCell ref="Q5:S5"/>
    <mergeCell ref="T5:V5"/>
    <mergeCell ref="E155:G155"/>
    <mergeCell ref="H155:J155"/>
    <mergeCell ref="K155:M155"/>
    <mergeCell ref="N155:P155"/>
    <mergeCell ref="Q155:S155"/>
    <mergeCell ref="J13:J15"/>
    <mergeCell ref="M13:M15"/>
    <mergeCell ref="P13:P15"/>
    <mergeCell ref="E153:G153"/>
    <mergeCell ref="H153:J153"/>
    <mergeCell ref="K153:M153"/>
    <mergeCell ref="N153:P153"/>
    <mergeCell ref="Q153:S153"/>
    <mergeCell ref="E152:G152"/>
    <mergeCell ref="H152:J152"/>
    <mergeCell ref="K152:M152"/>
    <mergeCell ref="G106:O106"/>
    <mergeCell ref="B107:G107"/>
    <mergeCell ref="E154:G154"/>
    <mergeCell ref="H154:J154"/>
    <mergeCell ref="T83:V83"/>
    <mergeCell ref="Q31:S31"/>
    <mergeCell ref="T31:V31"/>
    <mergeCell ref="N75:P75"/>
    <mergeCell ref="Q75:S75"/>
    <mergeCell ref="Q50:S50"/>
    <mergeCell ref="K101:M101"/>
    <mergeCell ref="N101:P101"/>
    <mergeCell ref="Q101:S101"/>
    <mergeCell ref="K50:M50"/>
    <mergeCell ref="N50:P50"/>
    <mergeCell ref="K57:M57"/>
    <mergeCell ref="N57:P57"/>
    <mergeCell ref="Q71:S71"/>
    <mergeCell ref="Q57:S57"/>
    <mergeCell ref="S53:V53"/>
    <mergeCell ref="K71:M71"/>
    <mergeCell ref="N71:P71"/>
    <mergeCell ref="K49:M49"/>
    <mergeCell ref="T57:V57"/>
    <mergeCell ref="K51:M51"/>
    <mergeCell ref="N51:P51"/>
    <mergeCell ref="Q51:S51"/>
    <mergeCell ref="N77:P77"/>
    <mergeCell ref="K109:M109"/>
    <mergeCell ref="N127:P127"/>
    <mergeCell ref="Q127:S127"/>
    <mergeCell ref="E126:G126"/>
    <mergeCell ref="E129:G129"/>
    <mergeCell ref="H129:J129"/>
    <mergeCell ref="K129:M129"/>
    <mergeCell ref="N129:P129"/>
    <mergeCell ref="G132:O132"/>
    <mergeCell ref="J114:J116"/>
    <mergeCell ref="E128:G128"/>
    <mergeCell ref="H128:J128"/>
    <mergeCell ref="K128:M128"/>
    <mergeCell ref="N128:P128"/>
    <mergeCell ref="Q128:S128"/>
    <mergeCell ref="N123:P123"/>
    <mergeCell ref="Q123:S123"/>
    <mergeCell ref="N109:P109"/>
    <mergeCell ref="Q109:S109"/>
    <mergeCell ref="E109:G109"/>
    <mergeCell ref="H109:J109"/>
    <mergeCell ref="Q124:S124"/>
    <mergeCell ref="E127:G127"/>
    <mergeCell ref="H127:J127"/>
    <mergeCell ref="B153:D153"/>
    <mergeCell ref="B154:D154"/>
    <mergeCell ref="B127:D127"/>
    <mergeCell ref="B128:D128"/>
    <mergeCell ref="B129:D129"/>
    <mergeCell ref="B152:D152"/>
    <mergeCell ref="B155:D155"/>
    <mergeCell ref="G27:R27"/>
    <mergeCell ref="G28:O28"/>
    <mergeCell ref="B29:G29"/>
    <mergeCell ref="G53:R53"/>
    <mergeCell ref="G54:O54"/>
    <mergeCell ref="B55:G55"/>
    <mergeCell ref="G79:R79"/>
    <mergeCell ref="B103:D103"/>
    <mergeCell ref="B126:D126"/>
    <mergeCell ref="B75:D75"/>
    <mergeCell ref="B76:D76"/>
    <mergeCell ref="B77:D77"/>
    <mergeCell ref="B100:D100"/>
    <mergeCell ref="B101:D101"/>
    <mergeCell ref="B102:D102"/>
    <mergeCell ref="G143:G145"/>
    <mergeCell ref="J143:J145"/>
    <mergeCell ref="Q2:R2"/>
    <mergeCell ref="Q28:R28"/>
    <mergeCell ref="Q54:R54"/>
    <mergeCell ref="Q80:R80"/>
    <mergeCell ref="Q106:R106"/>
    <mergeCell ref="Q132:R132"/>
    <mergeCell ref="G80:O80"/>
    <mergeCell ref="B81:G81"/>
    <mergeCell ref="G2:O2"/>
    <mergeCell ref="B3:G3"/>
    <mergeCell ref="B22:D22"/>
    <mergeCell ref="B23:D23"/>
    <mergeCell ref="B24:D24"/>
    <mergeCell ref="B25:D25"/>
    <mergeCell ref="E5:G5"/>
    <mergeCell ref="H5:J5"/>
    <mergeCell ref="K5:M5"/>
    <mergeCell ref="N5:P5"/>
    <mergeCell ref="E75:G75"/>
    <mergeCell ref="H75:J75"/>
    <mergeCell ref="K75:M75"/>
    <mergeCell ref="G105:R105"/>
    <mergeCell ref="J7:J9"/>
    <mergeCell ref="J10:J12"/>
  </mergeCells>
  <conditionalFormatting sqref="D7:D15">
    <cfRule type="cellIs" dxfId="454" priority="118" stopIfTrue="1" operator="equal">
      <formula>0</formula>
    </cfRule>
  </conditionalFormatting>
  <conditionalFormatting sqref="D33:D41">
    <cfRule type="cellIs" dxfId="453" priority="64" stopIfTrue="1" operator="equal">
      <formula>0</formula>
    </cfRule>
  </conditionalFormatting>
  <conditionalFormatting sqref="D59:D67">
    <cfRule type="cellIs" dxfId="452" priority="55" stopIfTrue="1" operator="equal">
      <formula>0</formula>
    </cfRule>
  </conditionalFormatting>
  <conditionalFormatting sqref="D85:D93">
    <cfRule type="cellIs" dxfId="451" priority="46" stopIfTrue="1" operator="equal">
      <formula>0</formula>
    </cfRule>
  </conditionalFormatting>
  <conditionalFormatting sqref="D111:D119">
    <cfRule type="cellIs" dxfId="450" priority="37" stopIfTrue="1" operator="equal">
      <formula>0</formula>
    </cfRule>
  </conditionalFormatting>
  <conditionalFormatting sqref="D137:D145">
    <cfRule type="cellIs" dxfId="449" priority="28" stopIfTrue="1" operator="equal">
      <formula>0</formula>
    </cfRule>
  </conditionalFormatting>
  <conditionalFormatting sqref="D163:D171">
    <cfRule type="cellIs" dxfId="448" priority="18" stopIfTrue="1" operator="equal">
      <formula>0</formula>
    </cfRule>
  </conditionalFormatting>
  <conditionalFormatting sqref="D189:D197">
    <cfRule type="cellIs" dxfId="447" priority="9" stopIfTrue="1" operator="equal">
      <formula>0</formula>
    </cfRule>
  </conditionalFormatting>
  <conditionalFormatting sqref="F7:F15">
    <cfRule type="cellIs" dxfId="446" priority="117" stopIfTrue="1" operator="equal">
      <formula>0</formula>
    </cfRule>
  </conditionalFormatting>
  <conditionalFormatting sqref="F33:F41">
    <cfRule type="cellIs" dxfId="445" priority="63" stopIfTrue="1" operator="equal">
      <formula>0</formula>
    </cfRule>
  </conditionalFormatting>
  <conditionalFormatting sqref="F59:F67">
    <cfRule type="cellIs" dxfId="444" priority="54" stopIfTrue="1" operator="equal">
      <formula>0</formula>
    </cfRule>
  </conditionalFormatting>
  <conditionalFormatting sqref="F85:F93">
    <cfRule type="cellIs" dxfId="443" priority="45" stopIfTrue="1" operator="equal">
      <formula>0</formula>
    </cfRule>
  </conditionalFormatting>
  <conditionalFormatting sqref="F111:F119">
    <cfRule type="cellIs" dxfId="442" priority="36" stopIfTrue="1" operator="equal">
      <formula>0</formula>
    </cfRule>
  </conditionalFormatting>
  <conditionalFormatting sqref="F137:F145">
    <cfRule type="cellIs" dxfId="441" priority="27" stopIfTrue="1" operator="equal">
      <formula>0</formula>
    </cfRule>
  </conditionalFormatting>
  <conditionalFormatting sqref="F163:F171">
    <cfRule type="cellIs" dxfId="440" priority="17" stopIfTrue="1" operator="equal">
      <formula>0</formula>
    </cfRule>
  </conditionalFormatting>
  <conditionalFormatting sqref="F189:F197">
    <cfRule type="cellIs" dxfId="439" priority="8" stopIfTrue="1" operator="equal">
      <formula>0</formula>
    </cfRule>
  </conditionalFormatting>
  <conditionalFormatting sqref="I7:I15">
    <cfRule type="cellIs" dxfId="438" priority="116" stopIfTrue="1" operator="equal">
      <formula>0</formula>
    </cfRule>
  </conditionalFormatting>
  <conditionalFormatting sqref="I33:I41">
    <cfRule type="cellIs" dxfId="437" priority="62" stopIfTrue="1" operator="equal">
      <formula>0</formula>
    </cfRule>
  </conditionalFormatting>
  <conditionalFormatting sqref="I59:I67">
    <cfRule type="cellIs" dxfId="436" priority="53" stopIfTrue="1" operator="equal">
      <formula>0</formula>
    </cfRule>
  </conditionalFormatting>
  <conditionalFormatting sqref="I85:I93">
    <cfRule type="cellIs" dxfId="435" priority="44" stopIfTrue="1" operator="equal">
      <formula>0</formula>
    </cfRule>
  </conditionalFormatting>
  <conditionalFormatting sqref="I111:I119">
    <cfRule type="cellIs" dxfId="434" priority="35" stopIfTrue="1" operator="equal">
      <formula>0</formula>
    </cfRule>
  </conditionalFormatting>
  <conditionalFormatting sqref="I137:I145">
    <cfRule type="cellIs" dxfId="433" priority="26" stopIfTrue="1" operator="equal">
      <formula>0</formula>
    </cfRule>
  </conditionalFormatting>
  <conditionalFormatting sqref="I163:I171">
    <cfRule type="cellIs" dxfId="432" priority="16" stopIfTrue="1" operator="equal">
      <formula>0</formula>
    </cfRule>
  </conditionalFormatting>
  <conditionalFormatting sqref="I189:I197">
    <cfRule type="cellIs" dxfId="431" priority="7" stopIfTrue="1" operator="equal">
      <formula>0</formula>
    </cfRule>
  </conditionalFormatting>
  <conditionalFormatting sqref="L7:L15">
    <cfRule type="cellIs" dxfId="430" priority="115" stopIfTrue="1" operator="equal">
      <formula>0</formula>
    </cfRule>
  </conditionalFormatting>
  <conditionalFormatting sqref="L33:L41">
    <cfRule type="cellIs" dxfId="429" priority="61" stopIfTrue="1" operator="equal">
      <formula>0</formula>
    </cfRule>
  </conditionalFormatting>
  <conditionalFormatting sqref="L59:L67">
    <cfRule type="cellIs" dxfId="428" priority="52" stopIfTrue="1" operator="equal">
      <formula>0</formula>
    </cfRule>
  </conditionalFormatting>
  <conditionalFormatting sqref="L85:L93">
    <cfRule type="cellIs" dxfId="427" priority="43" stopIfTrue="1" operator="equal">
      <formula>0</formula>
    </cfRule>
  </conditionalFormatting>
  <conditionalFormatting sqref="L111:L119">
    <cfRule type="cellIs" dxfId="426" priority="34" stopIfTrue="1" operator="equal">
      <formula>0</formula>
    </cfRule>
  </conditionalFormatting>
  <conditionalFormatting sqref="L137:L145">
    <cfRule type="cellIs" dxfId="425" priority="25" stopIfTrue="1" operator="equal">
      <formula>0</formula>
    </cfRule>
  </conditionalFormatting>
  <conditionalFormatting sqref="L163:L171">
    <cfRule type="cellIs" dxfId="424" priority="15" stopIfTrue="1" operator="equal">
      <formula>0</formula>
    </cfRule>
  </conditionalFormatting>
  <conditionalFormatting sqref="L189:L197">
    <cfRule type="cellIs" dxfId="423" priority="6" stopIfTrue="1" operator="equal">
      <formula>0</formula>
    </cfRule>
  </conditionalFormatting>
  <conditionalFormatting sqref="O7:O15">
    <cfRule type="cellIs" dxfId="422" priority="114" stopIfTrue="1" operator="equal">
      <formula>0</formula>
    </cfRule>
  </conditionalFormatting>
  <conditionalFormatting sqref="O33:O41">
    <cfRule type="cellIs" dxfId="421" priority="60" stopIfTrue="1" operator="equal">
      <formula>0</formula>
    </cfRule>
  </conditionalFormatting>
  <conditionalFormatting sqref="O59:O67">
    <cfRule type="cellIs" dxfId="420" priority="51" stopIfTrue="1" operator="equal">
      <formula>0</formula>
    </cfRule>
  </conditionalFormatting>
  <conditionalFormatting sqref="O85:O93">
    <cfRule type="cellIs" dxfId="419" priority="42" stopIfTrue="1" operator="equal">
      <formula>0</formula>
    </cfRule>
  </conditionalFormatting>
  <conditionalFormatting sqref="O111:O119">
    <cfRule type="cellIs" dxfId="418" priority="33" stopIfTrue="1" operator="equal">
      <formula>0</formula>
    </cfRule>
  </conditionalFormatting>
  <conditionalFormatting sqref="O137:O145">
    <cfRule type="cellIs" dxfId="417" priority="24" stopIfTrue="1" operator="equal">
      <formula>0</formula>
    </cfRule>
  </conditionalFormatting>
  <conditionalFormatting sqref="O163:O171">
    <cfRule type="cellIs" dxfId="416" priority="14" stopIfTrue="1" operator="equal">
      <formula>0</formula>
    </cfRule>
  </conditionalFormatting>
  <conditionalFormatting sqref="O189:O197">
    <cfRule type="cellIs" dxfId="415" priority="5" stopIfTrue="1" operator="equal">
      <formula>0</formula>
    </cfRule>
  </conditionalFormatting>
  <conditionalFormatting sqref="R7:R15">
    <cfRule type="cellIs" dxfId="414" priority="113" stopIfTrue="1" operator="equal">
      <formula>0</formula>
    </cfRule>
  </conditionalFormatting>
  <conditionalFormatting sqref="R33:R41">
    <cfRule type="cellIs" dxfId="413" priority="59" stopIfTrue="1" operator="equal">
      <formula>0</formula>
    </cfRule>
  </conditionalFormatting>
  <conditionalFormatting sqref="R59:R67">
    <cfRule type="cellIs" dxfId="412" priority="50" stopIfTrue="1" operator="equal">
      <formula>0</formula>
    </cfRule>
  </conditionalFormatting>
  <conditionalFormatting sqref="R85:R93">
    <cfRule type="cellIs" dxfId="411" priority="41" stopIfTrue="1" operator="equal">
      <formula>0</formula>
    </cfRule>
  </conditionalFormatting>
  <conditionalFormatting sqref="R111:R119">
    <cfRule type="cellIs" dxfId="410" priority="32" stopIfTrue="1" operator="equal">
      <formula>0</formula>
    </cfRule>
  </conditionalFormatting>
  <conditionalFormatting sqref="R137:R145">
    <cfRule type="cellIs" dxfId="409" priority="23" stopIfTrue="1" operator="equal">
      <formula>0</formula>
    </cfRule>
  </conditionalFormatting>
  <conditionalFormatting sqref="R163:R171">
    <cfRule type="cellIs" dxfId="408" priority="13" stopIfTrue="1" operator="equal">
      <formula>0</formula>
    </cfRule>
  </conditionalFormatting>
  <conditionalFormatting sqref="R189:R197">
    <cfRule type="cellIs" dxfId="407" priority="4" stopIfTrue="1" operator="equal">
      <formula>0</formula>
    </cfRule>
  </conditionalFormatting>
  <conditionalFormatting sqref="T7:U15">
    <cfRule type="cellIs" dxfId="406" priority="19" stopIfTrue="1" operator="equal">
      <formula>0</formula>
    </cfRule>
  </conditionalFormatting>
  <conditionalFormatting sqref="U33:U41">
    <cfRule type="cellIs" dxfId="405" priority="56" stopIfTrue="1" operator="equal">
      <formula>0</formula>
    </cfRule>
  </conditionalFormatting>
  <conditionalFormatting sqref="U59:U67">
    <cfRule type="cellIs" dxfId="404" priority="47" stopIfTrue="1" operator="equal">
      <formula>0</formula>
    </cfRule>
  </conditionalFormatting>
  <conditionalFormatting sqref="U85:U93">
    <cfRule type="cellIs" dxfId="403" priority="38" stopIfTrue="1" operator="equal">
      <formula>0</formula>
    </cfRule>
  </conditionalFormatting>
  <conditionalFormatting sqref="U111:U119">
    <cfRule type="cellIs" dxfId="402" priority="29" stopIfTrue="1" operator="equal">
      <formula>0</formula>
    </cfRule>
  </conditionalFormatting>
  <conditionalFormatting sqref="U137:U145">
    <cfRule type="cellIs" dxfId="401" priority="20" stopIfTrue="1" operator="equal">
      <formula>0</formula>
    </cfRule>
  </conditionalFormatting>
  <conditionalFormatting sqref="U163:U171">
    <cfRule type="cellIs" dxfId="400" priority="10" stopIfTrue="1" operator="equal">
      <formula>0</formula>
    </cfRule>
  </conditionalFormatting>
  <conditionalFormatting sqref="U189:U197">
    <cfRule type="cellIs" dxfId="399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P117 P91 P13 P39 P65 E7:F15 G13 G7 G10 H7:I15 Q137:R145 P143 P137 K7:L15 J13 J7 J10 N7:O15 M13 M7 M10 Q7:R15 P7 P10 P33 E33:F41 S13 S7 S10 H33:I41 G39 G33 G36 K33:L41 J39 J33 J36 N33:O41 M39 M33 M36 Q33:R41 P36 P59 E59:F67 S39 S33 S36 H59:I67 G65 G59 G62 K59:L67 J65 J59 J62 N59:O67 M65 M59 M62 Q59:R67 P62 P85 E85:F93 S65 S59 S62 H85:I93 G91 G85 G88 K85:L93 J91 J85 J88 N85:O93 M91 M85 M88 Q85:R93 P88 P111 E111:F119 S91 S85 S88 H111:I119 G117 G111 G114 K111:L119 J117 J111 J114 N111:O119 M117 M111 M114 Q111:R119 P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06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6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1" max="21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E24"/>
  <sheetViews>
    <sheetView workbookViewId="0">
      <selection activeCell="O10" sqref="O10"/>
    </sheetView>
  </sheetViews>
  <sheetFormatPr baseColWidth="10" defaultRowHeight="13.2"/>
  <cols>
    <col min="1" max="1" width="4.2187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44140625" customWidth="1"/>
    <col min="14" max="14" width="7.6640625" customWidth="1"/>
    <col min="16" max="25" width="11.44140625" customWidth="1"/>
    <col min="26" max="26" width="14.33203125" customWidth="1"/>
    <col min="27" max="27" width="14.6640625" style="169" hidden="1" customWidth="1"/>
    <col min="28" max="28" width="6.44140625" style="169" hidden="1" customWidth="1"/>
    <col min="29" max="29" width="5" style="169" hidden="1" customWidth="1"/>
    <col min="30" max="30" width="5.21875" style="169" hidden="1" customWidth="1"/>
    <col min="31" max="31" width="6" style="169" hidden="1" customWidth="1"/>
    <col min="32" max="50" width="11.44140625" customWidth="1"/>
  </cols>
  <sheetData>
    <row r="1" spans="1:31" ht="28.5" customHeight="1">
      <c r="A1" s="449" t="str">
        <f>Schlüssel!$C$1</f>
        <v>Landesliga Jugend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55"/>
      <c r="Q1" s="55"/>
      <c r="R1" s="55"/>
      <c r="S1" s="55"/>
      <c r="T1" s="55"/>
      <c r="U1" s="55"/>
      <c r="V1" s="55"/>
      <c r="W1" s="55"/>
      <c r="X1" s="55"/>
      <c r="Y1" s="55"/>
      <c r="AA1" s="169" t="s">
        <v>2091</v>
      </c>
    </row>
    <row r="2" spans="1:31" ht="28.5" customHeight="1">
      <c r="A2" s="450" t="str">
        <f>"Saison "&amp;Spielorte!C18&amp;"     -     Spieltag "&amp;Erfassung1!S2&amp;"     -     "&amp;TEXT(Erfassung1!S1,"T. MMMM JJJJ")</f>
        <v>Saison 2024/2025     -     Spieltag 1     -     12. Oktober 2023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55"/>
      <c r="Q2" s="55"/>
      <c r="R2" s="55"/>
      <c r="S2" s="55"/>
      <c r="T2" s="55"/>
      <c r="U2" s="55"/>
      <c r="V2" s="55"/>
      <c r="W2" s="55"/>
      <c r="X2" s="55"/>
      <c r="Y2" s="55"/>
    </row>
    <row r="3" spans="1:31" ht="28.5" customHeight="1">
      <c r="A3" s="450" t="str">
        <f>Schlüssel!$C$2</f>
        <v>Brunnthal Max Munich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1:31" ht="13.8" thickBot="1"/>
    <row r="5" spans="1:31">
      <c r="A5" s="451" t="s">
        <v>1804</v>
      </c>
      <c r="B5" s="447" t="s">
        <v>1805</v>
      </c>
      <c r="C5" s="443" t="s">
        <v>1793</v>
      </c>
      <c r="D5" s="444"/>
      <c r="E5" s="443" t="s">
        <v>1794</v>
      </c>
      <c r="F5" s="444"/>
      <c r="G5" s="443" t="s">
        <v>1795</v>
      </c>
      <c r="H5" s="444"/>
      <c r="I5" s="443" t="s">
        <v>1796</v>
      </c>
      <c r="J5" s="444"/>
      <c r="K5" s="443" t="s">
        <v>1797</v>
      </c>
      <c r="L5" s="444"/>
      <c r="M5" s="443" t="s">
        <v>1792</v>
      </c>
      <c r="N5" s="444"/>
      <c r="O5" s="445" t="s">
        <v>1806</v>
      </c>
      <c r="P5" s="55"/>
      <c r="Q5" s="55"/>
      <c r="R5" s="55"/>
      <c r="S5" s="55"/>
      <c r="T5" s="55"/>
      <c r="U5" s="55"/>
      <c r="V5" s="55"/>
      <c r="W5" s="55"/>
      <c r="X5" s="55"/>
      <c r="Y5" s="55"/>
    </row>
    <row r="6" spans="1:31" ht="13.8" thickBot="1">
      <c r="A6" s="452"/>
      <c r="B6" s="448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6"/>
      <c r="P6" s="55"/>
      <c r="Q6" s="55"/>
      <c r="R6" s="55"/>
      <c r="S6" s="55"/>
      <c r="T6" s="55"/>
      <c r="U6" s="55"/>
      <c r="V6" s="55"/>
      <c r="W6" s="55"/>
      <c r="X6" s="55"/>
      <c r="Y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>
      <c r="A7" s="163">
        <v>1</v>
      </c>
      <c r="B7" s="104" t="str">
        <f>INDEX(Erfassung1!$B:$B,MATCH($A7,Erfassung1!$BE:$BE,0)-14)</f>
        <v>BK München 1</v>
      </c>
      <c r="C7" s="82">
        <f>INDEX(Erfassung1!F:F,MATCH($A7,Erfassung1!$BE:$BE,0)-1)</f>
        <v>498</v>
      </c>
      <c r="D7" s="83">
        <f>INDEX(Erfassung1!G:G,MATCH($A7,Erfassung1!$BE:$BE,0))</f>
        <v>5</v>
      </c>
      <c r="E7" s="82">
        <f>INDEX(Erfassung1!I:I,MATCH($A7,Erfassung1!$BE:$BE,0)-1)</f>
        <v>601</v>
      </c>
      <c r="F7" s="83">
        <f>INDEX(Erfassung1!J:J,MATCH($A7,Erfassung1!$BE:$BE,0))</f>
        <v>5</v>
      </c>
      <c r="G7" s="82">
        <f>INDEX(Erfassung1!L:L,MATCH($A7,Erfassung1!$BE:$BE,0)-1)</f>
        <v>653</v>
      </c>
      <c r="H7" s="83">
        <f>INDEX(Erfassung1!M:M,MATCH($A7,Erfassung1!$BE:$BE,0))</f>
        <v>5</v>
      </c>
      <c r="I7" s="82">
        <f>INDEX(Erfassung1!O:O,MATCH($A7,Erfassung1!$BE:$BE,0)-1)</f>
        <v>582</v>
      </c>
      <c r="J7" s="83">
        <f>INDEX(Erfassung1!P:P,MATCH($A7,Erfassung1!$BE:$BE,0))</f>
        <v>4</v>
      </c>
      <c r="K7" s="82">
        <f>INDEX(Erfassung1!R:R,MATCH($A7,Erfassung1!$BE:$BE,0)-1)</f>
        <v>635</v>
      </c>
      <c r="L7" s="83">
        <f>INDEX(Erfassung1!S:S,MATCH($A7,Erfassung1!$BE:$BE,0))</f>
        <v>4</v>
      </c>
      <c r="M7" s="84">
        <f t="shared" ref="M7:N12" si="0">SUM(C7+E7+G7+I7+K7)</f>
        <v>2969</v>
      </c>
      <c r="N7" s="85">
        <f t="shared" si="0"/>
        <v>23</v>
      </c>
      <c r="O7" s="65">
        <f>IFERROR(M7/                             INDEX(Erfassung1!AW:AW,                                               MATCH(A7,             Erfassung1!BE:BE,       0)                  ),0)</f>
        <v>197.93333333333334</v>
      </c>
      <c r="P7" s="55"/>
      <c r="Q7" s="55"/>
      <c r="R7" s="55"/>
      <c r="S7" s="55"/>
      <c r="T7" s="55"/>
      <c r="U7" s="55"/>
      <c r="V7" s="55"/>
      <c r="W7" s="55"/>
      <c r="X7" s="55"/>
      <c r="Y7" s="55"/>
      <c r="AE7" s="169">
        <f>SUMIF(Erfassung1!BH:BH,B7,Erfassung1!AW:AW)</f>
        <v>15</v>
      </c>
    </row>
    <row r="8" spans="1:31" ht="42" customHeight="1" thickBot="1">
      <c r="A8" s="163">
        <v>2</v>
      </c>
      <c r="B8" s="104" t="str">
        <f>INDEX(Erfassung1!$B:$B,MATCH($A8,Erfassung1!$BE:$BE,0)-14)</f>
        <v>Berchtesgaden 1</v>
      </c>
      <c r="C8" s="82">
        <f>INDEX(Erfassung1!F:F,MATCH($A8,Erfassung1!$BE:$BE,0)-1)</f>
        <v>475</v>
      </c>
      <c r="D8" s="83">
        <f>INDEX(Erfassung1!G:G,MATCH($A8,Erfassung1!$BE:$BE,0))</f>
        <v>5</v>
      </c>
      <c r="E8" s="82">
        <f>INDEX(Erfassung1!I:I,MATCH($A8,Erfassung1!$BE:$BE,0)-1)</f>
        <v>437</v>
      </c>
      <c r="F8" s="83">
        <f>INDEX(Erfassung1!J:J,MATCH($A8,Erfassung1!$BE:$BE,0))</f>
        <v>0</v>
      </c>
      <c r="G8" s="82">
        <f>INDEX(Erfassung1!L:L,MATCH($A8,Erfassung1!$BE:$BE,0)-1)</f>
        <v>486</v>
      </c>
      <c r="H8" s="83">
        <f>INDEX(Erfassung1!M:M,MATCH($A8,Erfassung1!$BE:$BE,0))</f>
        <v>5</v>
      </c>
      <c r="I8" s="82">
        <f>INDEX(Erfassung1!O:O,MATCH($A8,Erfassung1!$BE:$BE,0)-1)</f>
        <v>472</v>
      </c>
      <c r="J8" s="83">
        <f>INDEX(Erfassung1!P:P,MATCH($A8,Erfassung1!$BE:$BE,0))</f>
        <v>4</v>
      </c>
      <c r="K8" s="82">
        <f>INDEX(Erfassung1!R:R,MATCH($A8,Erfassung1!$BE:$BE,0)-1)</f>
        <v>485</v>
      </c>
      <c r="L8" s="83">
        <f>INDEX(Erfassung1!S:S,MATCH($A8,Erfassung1!$BE:$BE,0))</f>
        <v>4</v>
      </c>
      <c r="M8" s="84">
        <f t="shared" si="0"/>
        <v>2355</v>
      </c>
      <c r="N8" s="85">
        <f t="shared" si="0"/>
        <v>18</v>
      </c>
      <c r="O8" s="65">
        <f>IFERROR(M8/                             INDEX(Erfassung1!AW:AW,                                               MATCH(A8,             Erfassung1!BE:BE,       0)                  ),0)</f>
        <v>157</v>
      </c>
      <c r="P8" s="55"/>
      <c r="Q8" s="55"/>
      <c r="R8" s="55"/>
      <c r="S8" s="55"/>
      <c r="T8" s="55"/>
      <c r="U8" s="55"/>
      <c r="V8" s="55"/>
      <c r="W8" s="55"/>
      <c r="X8" s="55"/>
      <c r="Y8" s="55"/>
      <c r="AE8" s="169">
        <f>SUMIF(Erfassung1!BH:BH,B8,Erfassung1!AW:AW)</f>
        <v>15</v>
      </c>
    </row>
    <row r="9" spans="1:31" ht="42" customHeight="1" thickBot="1">
      <c r="A9" s="163">
        <v>3</v>
      </c>
      <c r="B9" s="104" t="str">
        <f>INDEX(Erfassung1!$B:$B,MATCH($A9,Erfassung1!$BE:$BE,0)-14)</f>
        <v>Bowling Jugend Bayern 1</v>
      </c>
      <c r="C9" s="82">
        <f>INDEX(Erfassung1!F:F,MATCH($A9,Erfassung1!$BE:$BE,0)-1)</f>
        <v>415</v>
      </c>
      <c r="D9" s="83">
        <f>INDEX(Erfassung1!G:G,MATCH($A9,Erfassung1!$BE:$BE,0))</f>
        <v>0</v>
      </c>
      <c r="E9" s="82">
        <f>INDEX(Erfassung1!I:I,MATCH($A9,Erfassung1!$BE:$BE,0)-1)</f>
        <v>469</v>
      </c>
      <c r="F9" s="83">
        <f>INDEX(Erfassung1!J:J,MATCH($A9,Erfassung1!$BE:$BE,0))</f>
        <v>3</v>
      </c>
      <c r="G9" s="82">
        <f>INDEX(Erfassung1!L:L,MATCH($A9,Erfassung1!$BE:$BE,0)-1)</f>
        <v>495</v>
      </c>
      <c r="H9" s="83">
        <f>INDEX(Erfassung1!M:M,MATCH($A9,Erfassung1!$BE:$BE,0))</f>
        <v>4</v>
      </c>
      <c r="I9" s="82">
        <f>INDEX(Erfassung1!O:O,MATCH($A9,Erfassung1!$BE:$BE,0)-1)</f>
        <v>423</v>
      </c>
      <c r="J9" s="83">
        <f>INDEX(Erfassung1!P:P,MATCH($A9,Erfassung1!$BE:$BE,0))</f>
        <v>3</v>
      </c>
      <c r="K9" s="82">
        <f>INDEX(Erfassung1!R:R,MATCH($A9,Erfassung1!$BE:$BE,0)-1)</f>
        <v>494</v>
      </c>
      <c r="L9" s="83">
        <f>INDEX(Erfassung1!S:S,MATCH($A9,Erfassung1!$BE:$BE,0))</f>
        <v>4</v>
      </c>
      <c r="M9" s="84">
        <f t="shared" si="0"/>
        <v>2296</v>
      </c>
      <c r="N9" s="85">
        <f t="shared" si="0"/>
        <v>14</v>
      </c>
      <c r="O9" s="65">
        <f>IFERROR(M9/                             INDEX(Erfassung1!AW:AW,                                               MATCH(A9,             Erfassung1!BE:BE,       0)                  ),0)</f>
        <v>153.06666666666666</v>
      </c>
      <c r="P9" s="55"/>
      <c r="Q9" s="55"/>
      <c r="R9" s="55"/>
      <c r="S9" s="55"/>
      <c r="T9" s="55"/>
      <c r="U9" s="55"/>
      <c r="V9" s="55"/>
      <c r="W9" s="55"/>
      <c r="X9" s="55"/>
      <c r="Y9" s="55"/>
      <c r="AE9" s="169">
        <f>SUMIF(Erfassung1!BH:BH,B9,Erfassung1!AW:AW)</f>
        <v>15</v>
      </c>
    </row>
    <row r="10" spans="1:31" ht="42" customHeight="1" thickBot="1">
      <c r="A10" s="163">
        <v>4</v>
      </c>
      <c r="B10" s="104" t="str">
        <f>INDEX(Erfassung1!$B:$B,MATCH($A10,Erfassung1!$BE:$BE,0)-14)</f>
        <v>EMAX 1</v>
      </c>
      <c r="C10" s="82">
        <f>INDEX(Erfassung1!F:F,MATCH($A10,Erfassung1!$BE:$BE,0)-1)</f>
        <v>394</v>
      </c>
      <c r="D10" s="83">
        <f>INDEX(Erfassung1!G:G,MATCH($A10,Erfassung1!$BE:$BE,0))</f>
        <v>0</v>
      </c>
      <c r="E10" s="82">
        <f>INDEX(Erfassung1!I:I,MATCH($A10,Erfassung1!$BE:$BE,0)-1)</f>
        <v>454</v>
      </c>
      <c r="F10" s="83">
        <f>INDEX(Erfassung1!J:J,MATCH($A10,Erfassung1!$BE:$BE,0))</f>
        <v>2</v>
      </c>
      <c r="G10" s="82">
        <f>INDEX(Erfassung1!L:L,MATCH($A10,Erfassung1!$BE:$BE,0)-1)</f>
        <v>416</v>
      </c>
      <c r="H10" s="83">
        <f>INDEX(Erfassung1!M:M,MATCH($A10,Erfassung1!$BE:$BE,0))</f>
        <v>3</v>
      </c>
      <c r="I10" s="82">
        <f>INDEX(Erfassung1!O:O,MATCH($A10,Erfassung1!$BE:$BE,0)-1)</f>
        <v>491</v>
      </c>
      <c r="J10" s="83">
        <f>INDEX(Erfassung1!P:P,MATCH($A10,Erfassung1!$BE:$BE,0))</f>
        <v>4</v>
      </c>
      <c r="K10" s="82">
        <f>INDEX(Erfassung1!R:R,MATCH($A10,Erfassung1!$BE:$BE,0)-1)</f>
        <v>526</v>
      </c>
      <c r="L10" s="83">
        <f>INDEX(Erfassung1!S:S,MATCH($A10,Erfassung1!$BE:$BE,0))</f>
        <v>5</v>
      </c>
      <c r="M10" s="84">
        <f t="shared" si="0"/>
        <v>2281</v>
      </c>
      <c r="N10" s="85">
        <f t="shared" si="0"/>
        <v>14</v>
      </c>
      <c r="O10" s="65">
        <f>IFERROR(M10/                             INDEX(Erfassung1!AW:AW,                                               MATCH(A10,             Erfassung1!BE:BE,       0)                  ),0)</f>
        <v>152.06666666666666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E10" s="169">
        <f>SUMIF(Erfassung1!BH:BH,B10,Erfassung1!AW:AW)</f>
        <v>15</v>
      </c>
    </row>
    <row r="11" spans="1:31" ht="42" customHeight="1" thickBot="1">
      <c r="A11" s="163">
        <v>5</v>
      </c>
      <c r="B11" s="104" t="str">
        <f>INDEX(Erfassung1!$B:$B,MATCH($A11,Erfassung1!$BE:$BE,0)-14)</f>
        <v>Highroller Rosenheim 1</v>
      </c>
      <c r="C11" s="82">
        <f>INDEX(Erfassung1!F:F,MATCH($A11,Erfassung1!$BE:$BE,0)-1)</f>
        <v>412</v>
      </c>
      <c r="D11" s="83">
        <f>INDEX(Erfassung1!G:G,MATCH($A11,Erfassung1!$BE:$BE,0))</f>
        <v>3</v>
      </c>
      <c r="E11" s="82">
        <f>INDEX(Erfassung1!I:I,MATCH($A11,Erfassung1!$BE:$BE,0)-1)</f>
        <v>548</v>
      </c>
      <c r="F11" s="83">
        <f>INDEX(Erfassung1!J:J,MATCH($A11,Erfassung1!$BE:$BE,0))</f>
        <v>4</v>
      </c>
      <c r="G11" s="82">
        <f>INDEX(Erfassung1!L:L,MATCH($A11,Erfassung1!$BE:$BE,0)-1)</f>
        <v>410</v>
      </c>
      <c r="H11" s="83">
        <f>INDEX(Erfassung1!M:M,MATCH($A11,Erfassung1!$BE:$BE,0))</f>
        <v>1</v>
      </c>
      <c r="I11" s="82">
        <f>INDEX(Erfassung1!O:O,MATCH($A11,Erfassung1!$BE:$BE,0)-1)</f>
        <v>424</v>
      </c>
      <c r="J11" s="83">
        <f>INDEX(Erfassung1!P:P,MATCH($A11,Erfassung1!$BE:$BE,0))</f>
        <v>1</v>
      </c>
      <c r="K11" s="82">
        <f>INDEX(Erfassung1!R:R,MATCH($A11,Erfassung1!$BE:$BE,0)-1)</f>
        <v>447</v>
      </c>
      <c r="L11" s="83">
        <f>INDEX(Erfassung1!S:S,MATCH($A11,Erfassung1!$BE:$BE,0))</f>
        <v>1</v>
      </c>
      <c r="M11" s="84">
        <f t="shared" si="0"/>
        <v>2241</v>
      </c>
      <c r="N11" s="85">
        <f t="shared" si="0"/>
        <v>10</v>
      </c>
      <c r="O11" s="65">
        <f>IFERROR(M11/                             INDEX(Erfassung1!AW:AW,                                               MATCH(A11,             Erfassung1!BE:BE,       0)                  ),0)</f>
        <v>149.4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E11" s="169">
        <f>SUMIF(Erfassung1!BH:BH,B11,Erfassung1!AW:AW)</f>
        <v>15</v>
      </c>
    </row>
    <row r="12" spans="1:31" ht="42" customHeight="1" thickBot="1">
      <c r="A12" s="163">
        <v>6</v>
      </c>
      <c r="B12" s="104" t="str">
        <f>INDEX(Erfassung1!$B:$B,MATCH($A12,Erfassung1!$BE:$BE,0)-14)</f>
        <v>Highroller Rosenheim 2</v>
      </c>
      <c r="C12" s="82">
        <f>INDEX(Erfassung1!F:F,MATCH($A12,Erfassung1!$BE:$BE,0)-1)</f>
        <v>462</v>
      </c>
      <c r="D12" s="83">
        <f>INDEX(Erfassung1!G:G,MATCH($A12,Erfassung1!$BE:$BE,0))</f>
        <v>3.5</v>
      </c>
      <c r="E12" s="82">
        <f>INDEX(Erfassung1!I:I,MATCH($A12,Erfassung1!$BE:$BE,0)-1)</f>
        <v>447</v>
      </c>
      <c r="F12" s="83">
        <f>INDEX(Erfassung1!J:J,MATCH($A12,Erfassung1!$BE:$BE,0))</f>
        <v>3</v>
      </c>
      <c r="G12" s="82">
        <f>INDEX(Erfassung1!L:L,MATCH($A12,Erfassung1!$BE:$BE,0)-1)</f>
        <v>397</v>
      </c>
      <c r="H12" s="83">
        <f>INDEX(Erfassung1!M:M,MATCH($A12,Erfassung1!$BE:$BE,0))</f>
        <v>0</v>
      </c>
      <c r="I12" s="82">
        <f>INDEX(Erfassung1!O:O,MATCH($A12,Erfassung1!$BE:$BE,0)-1)</f>
        <v>423</v>
      </c>
      <c r="J12" s="83">
        <f>INDEX(Erfassung1!P:P,MATCH($A12,Erfassung1!$BE:$BE,0))</f>
        <v>2</v>
      </c>
      <c r="K12" s="82">
        <f>INDEX(Erfassung1!R:R,MATCH($A12,Erfassung1!$BE:$BE,0)-1)</f>
        <v>448</v>
      </c>
      <c r="L12" s="83">
        <f>INDEX(Erfassung1!S:S,MATCH($A12,Erfassung1!$BE:$BE,0))</f>
        <v>0</v>
      </c>
      <c r="M12" s="84">
        <f t="shared" si="0"/>
        <v>2177</v>
      </c>
      <c r="N12" s="85">
        <f t="shared" si="0"/>
        <v>8.5</v>
      </c>
      <c r="O12" s="65">
        <f>IFERROR(M12/                             INDEX(Erfassung1!AW:AW,                                               MATCH(A12,             Erfassung1!BE:BE,       0)                  ),0)</f>
        <v>145.13333333333333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E12" s="169">
        <f>SUMIF(Erfassung1!BH:BH,B12,Erfassung1!AW:AW)</f>
        <v>15</v>
      </c>
    </row>
    <row r="13" spans="1:31" ht="42" customHeight="1" thickBot="1">
      <c r="A13" s="163">
        <v>7</v>
      </c>
      <c r="B13" s="104" t="str">
        <f>INDEX(Erfassung1!$B:$B,MATCH($A13,Erfassung1!$BE:$BE,0)-14)</f>
        <v>Bad Tölz 1</v>
      </c>
      <c r="C13" s="82">
        <f>INDEX(Erfassung1!F:F,MATCH($A13,Erfassung1!$BE:$BE,0)-1)</f>
        <v>338</v>
      </c>
      <c r="D13" s="83">
        <f>INDEX(Erfassung1!G:G,MATCH($A13,Erfassung1!$BE:$BE,0))</f>
        <v>2</v>
      </c>
      <c r="E13" s="82">
        <f>INDEX(Erfassung1!I:I,MATCH($A13,Erfassung1!$BE:$BE,0)-1)</f>
        <v>384</v>
      </c>
      <c r="F13" s="83">
        <f>INDEX(Erfassung1!J:J,MATCH($A13,Erfassung1!$BE:$BE,0))</f>
        <v>2</v>
      </c>
      <c r="G13" s="82">
        <f>INDEX(Erfassung1!L:L,MATCH($A13,Erfassung1!$BE:$BE,0)-1)</f>
        <v>345</v>
      </c>
      <c r="H13" s="83">
        <f>INDEX(Erfassung1!M:M,MATCH($A13,Erfassung1!$BE:$BE,0))</f>
        <v>2</v>
      </c>
      <c r="I13" s="82">
        <f>INDEX(Erfassung1!O:O,MATCH($A13,Erfassung1!$BE:$BE,0)-1)</f>
        <v>347</v>
      </c>
      <c r="J13" s="83">
        <f>INDEX(Erfassung1!P:P,MATCH($A13,Erfassung1!$BE:$BE,0))</f>
        <v>1</v>
      </c>
      <c r="K13" s="82">
        <f>INDEX(Erfassung1!R:R,MATCH($A13,Erfassung1!$BE:$BE,0)-1)</f>
        <v>427</v>
      </c>
      <c r="L13" s="83">
        <f>INDEX(Erfassung1!S:S,MATCH($A13,Erfassung1!$BE:$BE,0))</f>
        <v>1</v>
      </c>
      <c r="M13" s="84">
        <f t="shared" ref="M13:M14" si="1">SUM(C13+E13+G13+I13+K13)</f>
        <v>1841</v>
      </c>
      <c r="N13" s="85">
        <f t="shared" ref="N13:N14" si="2">SUM(D13+F13+H13+J13+L13)</f>
        <v>8</v>
      </c>
      <c r="O13" s="65">
        <f>IFERROR(M13/                             INDEX(Erfassung1!AW:AW,                                               MATCH(A13,             Erfassung1!BE:BE,       0)                  ),0)</f>
        <v>184.1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E13" s="169">
        <f>SUMIF(Erfassung1!BH:BH,B13,Erfassung1!AW:AW)</f>
        <v>10</v>
      </c>
    </row>
    <row r="14" spans="1:31" ht="42" customHeight="1" thickBot="1">
      <c r="A14" s="163">
        <v>8</v>
      </c>
      <c r="B14" s="104" t="str">
        <f>INDEX(Erfassung1!$B:$B,MATCH($A14,Erfassung1!$BE:$BE,0)-14)</f>
        <v>Highroller Rosenheim 3</v>
      </c>
      <c r="C14" s="82">
        <f>INDEX(Erfassung1!F:F,MATCH($A14,Erfassung1!$BE:$BE,0)-1)</f>
        <v>446</v>
      </c>
      <c r="D14" s="83">
        <f>INDEX(Erfassung1!G:G,MATCH($A14,Erfassung1!$BE:$BE,0))</f>
        <v>1.5</v>
      </c>
      <c r="E14" s="82">
        <f>INDEX(Erfassung1!I:I,MATCH($A14,Erfassung1!$BE:$BE,0)-1)</f>
        <v>470</v>
      </c>
      <c r="F14" s="83">
        <f>INDEX(Erfassung1!J:J,MATCH($A14,Erfassung1!$BE:$BE,0))</f>
        <v>1</v>
      </c>
      <c r="G14" s="82">
        <f>INDEX(Erfassung1!L:L,MATCH($A14,Erfassung1!$BE:$BE,0)-1)</f>
        <v>406</v>
      </c>
      <c r="H14" s="83">
        <f>INDEX(Erfassung1!M:M,MATCH($A14,Erfassung1!$BE:$BE,0))</f>
        <v>0</v>
      </c>
      <c r="I14" s="82">
        <f>INDEX(Erfassung1!O:O,MATCH($A14,Erfassung1!$BE:$BE,0)-1)</f>
        <v>440</v>
      </c>
      <c r="J14" s="83">
        <f>INDEX(Erfassung1!P:P,MATCH($A14,Erfassung1!$BE:$BE,0))</f>
        <v>1</v>
      </c>
      <c r="K14" s="82">
        <f>INDEX(Erfassung1!R:R,MATCH($A14,Erfassung1!$BE:$BE,0)-1)</f>
        <v>435</v>
      </c>
      <c r="L14" s="83">
        <f>INDEX(Erfassung1!S:S,MATCH($A14,Erfassung1!$BE:$BE,0))</f>
        <v>1</v>
      </c>
      <c r="M14" s="84">
        <f t="shared" si="1"/>
        <v>2197</v>
      </c>
      <c r="N14" s="85">
        <f t="shared" si="2"/>
        <v>4.5</v>
      </c>
      <c r="O14" s="65">
        <f>IFERROR(M14/                             INDEX(Erfassung1!AW:AW,                                               MATCH(A14,             Erfassung1!BE:BE,       0)                  ),0)</f>
        <v>146.46666666666667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E14" s="169">
        <f>SUMIF(Erfassung1!BH:BH,B14,Erfassung1!AW:AW)</f>
        <v>15</v>
      </c>
    </row>
    <row r="17" spans="2:26" ht="15.6">
      <c r="B17" s="442" t="s">
        <v>2379</v>
      </c>
      <c r="C17" s="442"/>
      <c r="D17" s="442"/>
      <c r="E17" s="442"/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2:26">
      <c r="C18" s="453"/>
      <c r="D18" s="453"/>
      <c r="E18" s="453"/>
      <c r="F18" s="453"/>
      <c r="G18" s="453"/>
      <c r="H18" s="453"/>
    </row>
    <row r="19" spans="2:26">
      <c r="B19" s="89" t="s">
        <v>1817</v>
      </c>
      <c r="C19" t="str">
        <f>IFERROR(INDEX(Erfassung1!B:B,MATCH(1,Erfassung1!BI:BI,0)),"")</f>
        <v>Wheeldon, Vincent</v>
      </c>
      <c r="H19" t="str">
        <f>INDEX(Erfassung1!BH:BH,MATCH(C19,Erfassung1!B:B,0))</f>
        <v>BK München 1</v>
      </c>
      <c r="N19" s="87">
        <f>IFERROR(ROUND(INDEX(Erfassung1!BG:BG,MATCH(1,Erfassung1!BI:BI,0)),0),"")</f>
        <v>257</v>
      </c>
    </row>
    <row r="20" spans="2:26">
      <c r="B20" s="89"/>
      <c r="C20" t="str">
        <f>IF(N20="","",IFERROR(INDEX(Erfassung1!B:B,MATCH(2,Erfassung1!BI:BI,0)),""))</f>
        <v/>
      </c>
      <c r="H20" t="str">
        <f>IF(C20="","",INDEX(Erfassung1!BH:BH,MATCH(C20,Erfassung1!B:B,0)))</f>
        <v/>
      </c>
      <c r="N20" s="88" t="str">
        <f>IF(IFERROR(ROUND(INDEX(Erfassung1!BG:BG,MATCH(2,Erfassung1!BI:BI,0)),0),0)=0,"",IFERROR(ROUND(INDEX(Erfassung1!BG:BG,MATCH(2,Erfassung1!BI:BI,0)),0),0))</f>
        <v/>
      </c>
    </row>
    <row r="21" spans="2:26">
      <c r="B21" s="89"/>
      <c r="C21" t="str">
        <f>IF(N21="","",IFERROR(INDEX(Erfassung1!B:B,MATCH(3,Erfassung1!BI:BI,0)),""))</f>
        <v/>
      </c>
      <c r="H21" t="str">
        <f>IF(C21="","",INDEX(Erfassung1!BH:BH,MATCH(C21,Erfassung1!B:B,0)))</f>
        <v/>
      </c>
      <c r="N21" s="88" t="str">
        <f>IF(IFERROR(ROUND(INDEX(Erfassung1!BG:BG,MATCH(3,Erfassung1!BI:BI,0)),0),0)=0,"",IFERROR(ROUND(INDEX(Erfassung1!BG:BG,MATCH(3,Erfassung1!BI:BI,0)),0),""))</f>
        <v/>
      </c>
    </row>
    <row r="22" spans="2:26">
      <c r="B22" s="89" t="s">
        <v>1818</v>
      </c>
      <c r="C22" t="str">
        <f>IFERROR(INDEX(Erfassung1!B:B,MATCH(1,Erfassung1!BM:BM,0)),"")</f>
        <v>Wheeldon, Vincent</v>
      </c>
      <c r="H22" t="str">
        <f>INDEX(Erfassung1!BH:BH,MATCH(C22,Erfassung1!B:B,0))</f>
        <v>BK München 1</v>
      </c>
      <c r="N22" s="441" t="str">
        <f>IFERROR(ROUND(INDEX(Erfassung1!BJ:BJ,MATCH(1,Erfassung1!BM:BM,0)),0),"")&amp;"  /  "&amp;ROUND(IFERROR(ROUND(INDEX(Erfassung1!BJ:BJ,MATCH(1,Erfassung1!BM:BM,0)),0),"")/5,2)</f>
        <v>1091  /  218,2</v>
      </c>
      <c r="O22" s="441"/>
    </row>
    <row r="23" spans="2:26">
      <c r="C23" t="str">
        <f>IF(N23="","",IFERROR(INDEX(Erfassung1!B:B,MATCH(2,Erfassung1!BM:BM,0)),""))</f>
        <v/>
      </c>
      <c r="E23" s="6"/>
      <c r="H23" t="str">
        <f>IF(C23="","",INDEX(Erfassung1!BH:BH,MATCH(C23,Erfassung1!B:B,0)))</f>
        <v/>
      </c>
      <c r="N23" s="88" t="str">
        <f>IF(IFERROR(ROUND(INDEX(Erfassung1!BJ:BJ,MATCH(2,Erfassung1!BM:BM,0)),0),0)=0,"",IFERROR(ROUND(INDEX(Erfassung1!BJ:BJ,MATCH(2,Erfassung1!BM:BM,0)),0),0))</f>
        <v/>
      </c>
    </row>
    <row r="24" spans="2:26">
      <c r="C24" t="str">
        <f>IF(N24="","",IFERROR(INDEX(Erfassung1!B:B,MATCH(3,Erfassung1!BM:BM,0)),""))</f>
        <v/>
      </c>
      <c r="E24" s="6"/>
      <c r="H24" t="str">
        <f>IF(C24="","",INDEX(Erfassung1!BH:BH,MATCH(C24,Erfassung1!B:B,0)))</f>
        <v/>
      </c>
      <c r="N24" s="88" t="str">
        <f>IF(IFERROR(ROUND(INDEX(Erfassung1!BJ:BJ,MATCH(3,Erfassung1!BM:BM,0)),0),0)=0,"",IFERROR(ROUND(INDEX(Erfassung1!BJ:BJ,MATCH(3,Erfassung1!BM:BM,0)),0),0))</f>
        <v/>
      </c>
    </row>
  </sheetData>
  <sheetProtection algorithmName="SHA-512" hashValue="v3dcGkV3lMHR5O4XRdrYu0nfjgR88VuCkF2L493DJZyqdnxKQl/p+uacJ9kMAIjkoPHmNuoV7awzMxu/Tk4YjA==" saltValue="109Y00mCvMUvNtiWE++nng==" spinCount="100000" sheet="1" objects="1" scenarios="1" formatCells="0" formatColumns="0" formatRows="0"/>
  <mergeCells count="15">
    <mergeCell ref="A1:O1"/>
    <mergeCell ref="A2:O2"/>
    <mergeCell ref="A3:O3"/>
    <mergeCell ref="A5:A6"/>
    <mergeCell ref="C18:H18"/>
    <mergeCell ref="N22:O22"/>
    <mergeCell ref="B17:O17"/>
    <mergeCell ref="K5:L5"/>
    <mergeCell ref="M5:N5"/>
    <mergeCell ref="O5:O6"/>
    <mergeCell ref="B5:B6"/>
    <mergeCell ref="C5:D5"/>
    <mergeCell ref="E5:F5"/>
    <mergeCell ref="G5:H5"/>
    <mergeCell ref="I5:J5"/>
  </mergeCells>
  <conditionalFormatting sqref="C7:L14">
    <cfRule type="top10" dxfId="398" priority="6" stopIfTrue="1" rank="1"/>
  </conditionalFormatting>
  <conditionalFormatting sqref="M7:M14">
    <cfRule type="top10" dxfId="397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.31496062992125984"/>
  <pageSetup paperSize="9" scale="96" fitToWidth="0" orientation="landscape" r:id="rId1"/>
  <headerFooter>
    <oddHeader>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  <pageSetUpPr fitToPage="1"/>
  </sheetPr>
  <dimension ref="A1:Q104"/>
  <sheetViews>
    <sheetView view="pageBreakPreview" zoomScaleNormal="100" zoomScaleSheetLayoutView="100" workbookViewId="0">
      <selection activeCell="D34" sqref="D34"/>
    </sheetView>
  </sheetViews>
  <sheetFormatPr baseColWidth="10" defaultColWidth="11.44140625" defaultRowHeight="13.2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44140625" style="91"/>
    <col min="10" max="11" width="11.44140625" style="91" customWidth="1"/>
    <col min="12" max="17" width="11.44140625" style="91" hidden="1" customWidth="1"/>
    <col min="18" max="20" width="11.44140625" style="91" customWidth="1"/>
    <col min="21" max="16384" width="11.44140625" style="91"/>
  </cols>
  <sheetData>
    <row r="1" spans="1:16" ht="28.5" customHeight="1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>
      <c r="A2" s="96" t="s">
        <v>1785</v>
      </c>
      <c r="C2" s="97">
        <v>1</v>
      </c>
      <c r="D2" s="97" t="s">
        <v>1821</v>
      </c>
      <c r="E2" s="98"/>
      <c r="F2" s="99"/>
      <c r="L2" s="91">
        <f>INDEX(Starter!A:A,ROW()-1)</f>
        <v>38890</v>
      </c>
      <c r="M2" s="91">
        <f>SUMIF(Erfassung1!AU:AU,L2,Erfassung1!BJ:BJ)</f>
        <v>316</v>
      </c>
      <c r="N2" s="91">
        <f>SUMIF(Erfassung1!AU:AU,L2,Erfassung1!AX:AX)</f>
        <v>3</v>
      </c>
      <c r="O2" s="91">
        <f t="shared" ref="O2:O65" si="0">IF(N2=0,0,M2/N2-ROW()/1000000000)</f>
        <v>105.33333333133334</v>
      </c>
      <c r="P2" s="91">
        <f t="shared" ref="P2:P65" si="1">RANK(O2,O:O)</f>
        <v>23</v>
      </c>
    </row>
    <row r="3" spans="1:16">
      <c r="L3" s="91">
        <f>INDEX(Starter!A:A,ROW()-1)</f>
        <v>38785</v>
      </c>
      <c r="M3" s="91">
        <f>SUMIF(Erfassung1!AU:AU,L3,Erfassung1!BJ:BJ)</f>
        <v>328</v>
      </c>
      <c r="N3" s="91">
        <f>SUMIF(Erfassung1!AU:AU,L3,Erfassung1!AX:AX)</f>
        <v>3</v>
      </c>
      <c r="O3" s="91">
        <f t="shared" si="0"/>
        <v>109.33333333033333</v>
      </c>
      <c r="P3" s="91">
        <f t="shared" si="1"/>
        <v>20</v>
      </c>
    </row>
    <row r="4" spans="1:16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SUMIF(Erfassung1!AU:AU,L4,Erfassung1!BJ:BJ)</f>
        <v>361</v>
      </c>
      <c r="N4" s="91">
        <f>SUMIF(Erfassung1!AU:AU,L4,Erfassung1!AX:AX)</f>
        <v>3</v>
      </c>
      <c r="O4" s="91">
        <f t="shared" si="0"/>
        <v>120.33333332933333</v>
      </c>
      <c r="P4" s="91">
        <f t="shared" si="1"/>
        <v>14</v>
      </c>
    </row>
    <row r="5" spans="1:16">
      <c r="A5" s="91">
        <v>1</v>
      </c>
      <c r="B5" s="91">
        <f t="shared" ref="B5:B68" si="2">IFERROR(INDEX(L:L,MATCH(A5,P:P,0)),"")</f>
        <v>38655</v>
      </c>
      <c r="C5" s="91" t="str">
        <f>IFERROR(INDEX(Starter!B:B,MATCH(B5,Starter!A:A,0)),"")</f>
        <v>Wheeldon, Vincent</v>
      </c>
      <c r="D5" s="91" t="str">
        <f>IFERROR(INDEX(Starter!C:C,MATCH(B5,Starter!A:A,0)),"")</f>
        <v>BK München</v>
      </c>
      <c r="E5" s="100">
        <f t="shared" ref="E5:E68" si="3">IFERROR(INDEX(M:M,MATCH(A5,P:P,0)),"")</f>
        <v>1091</v>
      </c>
      <c r="F5" s="91">
        <f t="shared" ref="F5:F68" si="4">IFERROR(INDEX(N:N,MATCH(A5,P:P,0)),"")</f>
        <v>5</v>
      </c>
      <c r="G5" s="95">
        <f t="shared" ref="G5:G68" si="5">IFERROR(INDEX(O:O,MATCH(A5,P:P,0)),"")</f>
        <v>218.19999996599998</v>
      </c>
      <c r="L5" s="91">
        <f>INDEX(Starter!A:A,ROW()-1)</f>
        <v>38904</v>
      </c>
      <c r="M5" s="91">
        <f>SUMIF(Erfassung1!AU:AU,L5,Erfassung1!BJ:BJ)</f>
        <v>387</v>
      </c>
      <c r="N5" s="91">
        <f>SUMIF(Erfassung1!AU:AU,L5,Erfassung1!AX:AX)</f>
        <v>3</v>
      </c>
      <c r="O5" s="91">
        <f t="shared" si="0"/>
        <v>128.999999995</v>
      </c>
      <c r="P5" s="91">
        <f t="shared" si="1"/>
        <v>13</v>
      </c>
    </row>
    <row r="6" spans="1:16">
      <c r="A6" s="91">
        <f t="shared" ref="A6:A69" si="6">IFERROR(IF(A5+1&gt;MAX(P:P)-1,"",A5+1),"")</f>
        <v>2</v>
      </c>
      <c r="B6" s="91">
        <f t="shared" si="2"/>
        <v>38708</v>
      </c>
      <c r="C6" s="91" t="str">
        <f>IFERROR(INDEX(Starter!B:B,MATCH(B6,Starter!A:A,0)),"")</f>
        <v>Gründl, Alexander</v>
      </c>
      <c r="D6" s="91" t="str">
        <f>IFERROR(INDEX(Starter!C:C,MATCH(B6,Starter!A:A,0)),"")</f>
        <v>BK München</v>
      </c>
      <c r="E6" s="100">
        <f t="shared" si="3"/>
        <v>1052</v>
      </c>
      <c r="F6" s="91">
        <f t="shared" si="4"/>
        <v>5</v>
      </c>
      <c r="G6" s="95">
        <f t="shared" si="5"/>
        <v>210.39999996500001</v>
      </c>
      <c r="L6" s="91">
        <f>INDEX(Starter!A:A,ROW()-1)</f>
        <v>38910</v>
      </c>
      <c r="M6" s="91">
        <f>SUMIF(Erfassung1!AU:AU,L6,Erfassung1!BJ:BJ)</f>
        <v>388</v>
      </c>
      <c r="N6" s="91">
        <f>SUMIF(Erfassung1!AU:AU,L6,Erfassung1!AX:AX)</f>
        <v>3</v>
      </c>
      <c r="O6" s="91">
        <f t="shared" si="0"/>
        <v>129.33333332733335</v>
      </c>
      <c r="P6" s="91">
        <f t="shared" si="1"/>
        <v>12</v>
      </c>
    </row>
    <row r="7" spans="1:16">
      <c r="A7" s="91">
        <f t="shared" si="6"/>
        <v>3</v>
      </c>
      <c r="B7" s="91">
        <f t="shared" si="2"/>
        <v>38844</v>
      </c>
      <c r="C7" s="91" t="str">
        <f>IFERROR(INDEX(Starter!B:B,MATCH(B7,Starter!A:A,0)),"")</f>
        <v>Mathe, Maximilian</v>
      </c>
      <c r="D7" s="91" t="str">
        <f>IFERROR(INDEX(Starter!C:C,MATCH(B7,Starter!A:A,0)),"")</f>
        <v>Absolut-Sports.com</v>
      </c>
      <c r="E7" s="100">
        <f t="shared" si="3"/>
        <v>972</v>
      </c>
      <c r="F7" s="91">
        <f t="shared" si="4"/>
        <v>5</v>
      </c>
      <c r="G7" s="95">
        <f t="shared" si="5"/>
        <v>194.39999999</v>
      </c>
      <c r="L7" s="91">
        <f>INDEX(Starter!A:A,ROW()-1)</f>
        <v>38861</v>
      </c>
      <c r="M7" s="91">
        <f>SUMIF(Erfassung1!AU:AU,L7,Erfassung1!BJ:BJ)</f>
        <v>0</v>
      </c>
      <c r="N7" s="91">
        <f>SUMIF(Erfassung1!AU:AU,L7,Erfassung1!AX:AX)</f>
        <v>0</v>
      </c>
      <c r="O7" s="91">
        <f t="shared" si="0"/>
        <v>0</v>
      </c>
      <c r="P7" s="91">
        <f t="shared" si="1"/>
        <v>30</v>
      </c>
    </row>
    <row r="8" spans="1:16">
      <c r="A8" s="91">
        <f t="shared" si="6"/>
        <v>4</v>
      </c>
      <c r="B8" s="91">
        <f t="shared" si="2"/>
        <v>38845</v>
      </c>
      <c r="C8" s="91" t="str">
        <f>IFERROR(INDEX(Starter!B:B,MATCH(B8,Starter!A:A,0)),"")</f>
        <v>Kugler, Laurin</v>
      </c>
      <c r="D8" s="91" t="str">
        <f>IFERROR(INDEX(Starter!C:C,MATCH(B8,Starter!A:A,0)),"")</f>
        <v>Absolut-Sports.com</v>
      </c>
      <c r="E8" s="100">
        <f t="shared" si="3"/>
        <v>869</v>
      </c>
      <c r="F8" s="91">
        <f t="shared" si="4"/>
        <v>5</v>
      </c>
      <c r="G8" s="95">
        <f t="shared" si="5"/>
        <v>173.79999999200001</v>
      </c>
      <c r="L8" s="91">
        <f>INDEX(Starter!A:A,ROW()-1)</f>
        <v>38845</v>
      </c>
      <c r="M8" s="91">
        <f>SUMIF(Erfassung1!AU:AU,L8,Erfassung1!BJ:BJ)</f>
        <v>869</v>
      </c>
      <c r="N8" s="91">
        <f>SUMIF(Erfassung1!AU:AU,L8,Erfassung1!AX:AX)</f>
        <v>5</v>
      </c>
      <c r="O8" s="91">
        <f t="shared" si="0"/>
        <v>173.79999999200001</v>
      </c>
      <c r="P8" s="91">
        <f t="shared" si="1"/>
        <v>4</v>
      </c>
    </row>
    <row r="9" spans="1:16">
      <c r="A9" s="91">
        <f t="shared" si="6"/>
        <v>5</v>
      </c>
      <c r="B9" s="91">
        <f t="shared" si="2"/>
        <v>38327</v>
      </c>
      <c r="C9" s="91" t="str">
        <f>IFERROR(INDEX(Starter!B:B,MATCH(B9,Starter!A:A,0)),"")</f>
        <v>Jakobi, Moritz</v>
      </c>
      <c r="D9" s="91" t="str">
        <f>IFERROR(INDEX(Starter!C:C,MATCH(B9,Starter!A:A,0)),"")</f>
        <v>BK München</v>
      </c>
      <c r="E9" s="100">
        <f t="shared" si="3"/>
        <v>826</v>
      </c>
      <c r="F9" s="91">
        <f t="shared" si="4"/>
        <v>5</v>
      </c>
      <c r="G9" s="95">
        <f t="shared" si="5"/>
        <v>165.199999964</v>
      </c>
      <c r="L9" s="91">
        <f>INDEX(Starter!A:A,ROW()-1)</f>
        <v>38843</v>
      </c>
      <c r="M9" s="91">
        <f>SUMIF(Erfassung1!AU:AU,L9,Erfassung1!BJ:BJ)</f>
        <v>0</v>
      </c>
      <c r="N9" s="91">
        <f>SUMIF(Erfassung1!AU:AU,L9,Erfassung1!AX:AX)</f>
        <v>0</v>
      </c>
      <c r="O9" s="91">
        <f t="shared" si="0"/>
        <v>0</v>
      </c>
      <c r="P9" s="91">
        <f t="shared" si="1"/>
        <v>30</v>
      </c>
    </row>
    <row r="10" spans="1:16">
      <c r="A10" s="91">
        <f t="shared" si="6"/>
        <v>6</v>
      </c>
      <c r="B10" s="91">
        <f t="shared" si="2"/>
        <v>38714</v>
      </c>
      <c r="C10" s="91" t="str">
        <f>IFERROR(INDEX(Starter!B:B,MATCH(B10,Starter!A:A,0)),"")</f>
        <v>Wieser, Lukas</v>
      </c>
      <c r="D10" s="91" t="str">
        <f>IFERROR(INDEX(Starter!C:C,MATCH(B10,Starter!A:A,0)),"")</f>
        <v>BC Berchtesgaden</v>
      </c>
      <c r="E10" s="100">
        <f t="shared" si="3"/>
        <v>660</v>
      </c>
      <c r="F10" s="91">
        <f t="shared" si="4"/>
        <v>4</v>
      </c>
      <c r="G10" s="95">
        <f t="shared" si="5"/>
        <v>164.99999997099999</v>
      </c>
      <c r="L10" s="91">
        <f>INDEX(Starter!A:A,ROW()-1)</f>
        <v>38844</v>
      </c>
      <c r="M10" s="91">
        <f>SUMIF(Erfassung1!AU:AU,L10,Erfassung1!BJ:BJ)</f>
        <v>972</v>
      </c>
      <c r="N10" s="91">
        <f>SUMIF(Erfassung1!AU:AU,L10,Erfassung1!AX:AX)</f>
        <v>5</v>
      </c>
      <c r="O10" s="91">
        <f t="shared" si="0"/>
        <v>194.39999999</v>
      </c>
      <c r="P10" s="91">
        <f t="shared" si="1"/>
        <v>3</v>
      </c>
    </row>
    <row r="11" spans="1:16">
      <c r="A11" s="91">
        <f t="shared" si="6"/>
        <v>7</v>
      </c>
      <c r="B11" s="91">
        <f t="shared" si="2"/>
        <v>38795</v>
      </c>
      <c r="C11" s="91" t="str">
        <f>IFERROR(INDEX(Starter!B:B,MATCH(B11,Starter!A:A,0)),"")</f>
        <v>Catalano, Leandro</v>
      </c>
      <c r="D11" s="91" t="str">
        <f>IFERROR(INDEX(Starter!C:C,MATCH(B11,Starter!A:A,0)),"")</f>
        <v>Bowling Jugend Bayern</v>
      </c>
      <c r="E11" s="100">
        <f t="shared" si="3"/>
        <v>778</v>
      </c>
      <c r="F11" s="91">
        <f t="shared" si="4"/>
        <v>5</v>
      </c>
      <c r="G11" s="95">
        <f t="shared" si="5"/>
        <v>155.599999962</v>
      </c>
      <c r="L11" s="91">
        <f>INDEX(Starter!A:A,ROW()-1)</f>
        <v>38772</v>
      </c>
      <c r="M11" s="91">
        <f>SUMIF(Erfassung1!AU:AU,L11,Erfassung1!BJ:BJ)</f>
        <v>0</v>
      </c>
      <c r="N11" s="91">
        <f>SUMIF(Erfassung1!AU:AU,L11,Erfassung1!AX:AX)</f>
        <v>0</v>
      </c>
      <c r="O11" s="91">
        <f t="shared" si="0"/>
        <v>0</v>
      </c>
      <c r="P11" s="91">
        <f t="shared" si="1"/>
        <v>30</v>
      </c>
    </row>
    <row r="12" spans="1:16">
      <c r="A12" s="91">
        <f t="shared" si="6"/>
        <v>8</v>
      </c>
      <c r="B12" s="91">
        <f t="shared" si="2"/>
        <v>38773</v>
      </c>
      <c r="C12" s="91" t="str">
        <f>IFERROR(INDEX(Starter!B:B,MATCH(B12,Starter!A:A,0)),"")</f>
        <v>Weiss, Luisa Samira</v>
      </c>
      <c r="D12" s="91" t="str">
        <f>IFERROR(INDEX(Starter!C:C,MATCH(B12,Starter!A:A,0)),"")</f>
        <v>BSC Highroller Rosenheim</v>
      </c>
      <c r="E12" s="100">
        <f t="shared" si="3"/>
        <v>594</v>
      </c>
      <c r="F12" s="91">
        <f t="shared" si="4"/>
        <v>4</v>
      </c>
      <c r="G12" s="95">
        <f t="shared" si="5"/>
        <v>148.499999984</v>
      </c>
      <c r="L12" s="91">
        <f>INDEX(Starter!A:A,ROW()-1)</f>
        <v>38893</v>
      </c>
      <c r="M12" s="91">
        <f>SUMIF(Erfassung1!AU:AU,L12,Erfassung1!BJ:BJ)</f>
        <v>0</v>
      </c>
      <c r="N12" s="91">
        <f>SUMIF(Erfassung1!AU:AU,L12,Erfassung1!AX:AX)</f>
        <v>0</v>
      </c>
      <c r="O12" s="91">
        <f t="shared" si="0"/>
        <v>0</v>
      </c>
      <c r="P12" s="91">
        <f t="shared" si="1"/>
        <v>30</v>
      </c>
    </row>
    <row r="13" spans="1:16">
      <c r="A13" s="91">
        <f t="shared" si="6"/>
        <v>9</v>
      </c>
      <c r="B13" s="91">
        <f t="shared" si="2"/>
        <v>38760</v>
      </c>
      <c r="C13" s="91" t="str">
        <f>IFERROR(INDEX(Starter!B:B,MATCH(B13,Starter!A:A,0)),"")</f>
        <v>Achhammer, Klara</v>
      </c>
      <c r="D13" s="91" t="str">
        <f>IFERROR(INDEX(Starter!C:C,MATCH(B13,Starter!A:A,0)),"")</f>
        <v>BSC Highroller Rosenheim</v>
      </c>
      <c r="E13" s="100">
        <f t="shared" si="3"/>
        <v>569</v>
      </c>
      <c r="F13" s="91">
        <f t="shared" si="4"/>
        <v>4</v>
      </c>
      <c r="G13" s="95">
        <f t="shared" si="5"/>
        <v>142.249999987</v>
      </c>
      <c r="L13" s="91">
        <f>INDEX(Starter!A:A,ROW()-1)</f>
        <v>38760</v>
      </c>
      <c r="M13" s="91">
        <f>SUMIF(Erfassung1!AU:AU,L13,Erfassung1!BJ:BJ)</f>
        <v>569</v>
      </c>
      <c r="N13" s="91">
        <f>SUMIF(Erfassung1!AU:AU,L13,Erfassung1!AX:AX)</f>
        <v>4</v>
      </c>
      <c r="O13" s="91">
        <f t="shared" si="0"/>
        <v>142.249999987</v>
      </c>
      <c r="P13" s="91">
        <f t="shared" si="1"/>
        <v>9</v>
      </c>
    </row>
    <row r="14" spans="1:16">
      <c r="A14" s="91">
        <f t="shared" si="6"/>
        <v>10</v>
      </c>
      <c r="B14" s="91">
        <f t="shared" si="2"/>
        <v>38759</v>
      </c>
      <c r="C14" s="91" t="str">
        <f>IFERROR(INDEX(Starter!B:B,MATCH(B14,Starter!A:A,0)),"")</f>
        <v>Stölzel, Celia</v>
      </c>
      <c r="D14" s="91" t="str">
        <f>IFERROR(INDEX(Starter!C:C,MATCH(B14,Starter!A:A,0)),"")</f>
        <v>BSC Highroller Rosenheim</v>
      </c>
      <c r="E14" s="100">
        <f t="shared" si="3"/>
        <v>541</v>
      </c>
      <c r="F14" s="91">
        <f t="shared" si="4"/>
        <v>4</v>
      </c>
      <c r="G14" s="95">
        <f t="shared" si="5"/>
        <v>135.24999998600001</v>
      </c>
      <c r="L14" s="91">
        <f>INDEX(Starter!A:A,ROW()-1)</f>
        <v>38759</v>
      </c>
      <c r="M14" s="91">
        <f>SUMIF(Erfassung1!AU:AU,L14,Erfassung1!BJ:BJ)</f>
        <v>541</v>
      </c>
      <c r="N14" s="91">
        <f>SUMIF(Erfassung1!AU:AU,L14,Erfassung1!AX:AX)</f>
        <v>4</v>
      </c>
      <c r="O14" s="91">
        <f t="shared" si="0"/>
        <v>135.24999998600001</v>
      </c>
      <c r="P14" s="91">
        <f t="shared" si="1"/>
        <v>10</v>
      </c>
    </row>
    <row r="15" spans="1:16">
      <c r="A15" s="91">
        <f t="shared" si="6"/>
        <v>11</v>
      </c>
      <c r="B15" s="91">
        <f t="shared" si="2"/>
        <v>38937</v>
      </c>
      <c r="C15" s="91" t="str">
        <f>IFERROR(INDEX(Starter!B:B,MATCH(B15,Starter!A:A,0)),"")</f>
        <v>Ruppert, Raja</v>
      </c>
      <c r="D15" s="91" t="str">
        <f>IFERROR(INDEX(Starter!C:C,MATCH(B15,Starter!A:A,0)),"")</f>
        <v>LA Bowling</v>
      </c>
      <c r="E15" s="100">
        <f t="shared" si="3"/>
        <v>530</v>
      </c>
      <c r="F15" s="91">
        <f t="shared" si="4"/>
        <v>4</v>
      </c>
      <c r="G15" s="95">
        <f t="shared" si="5"/>
        <v>132.49999996700001</v>
      </c>
      <c r="L15" s="91">
        <f>INDEX(Starter!A:A,ROW()-1)</f>
        <v>38831</v>
      </c>
      <c r="M15" s="91">
        <f>SUMIF(Erfassung1!AU:AU,L15,Erfassung1!BJ:BJ)</f>
        <v>238</v>
      </c>
      <c r="N15" s="91">
        <f>SUMIF(Erfassung1!AU:AU,L15,Erfassung1!AX:AX)</f>
        <v>3</v>
      </c>
      <c r="O15" s="91">
        <f t="shared" si="0"/>
        <v>79.333333318333331</v>
      </c>
      <c r="P15" s="91">
        <f t="shared" si="1"/>
        <v>28</v>
      </c>
    </row>
    <row r="16" spans="1:16">
      <c r="A16" s="91">
        <f t="shared" si="6"/>
        <v>12</v>
      </c>
      <c r="B16" s="91">
        <f t="shared" si="2"/>
        <v>38910</v>
      </c>
      <c r="C16" s="91" t="str">
        <f>IFERROR(INDEX(Starter!B:B,MATCH(B16,Starter!A:A,0)),"")</f>
        <v>Heiming, Thalea</v>
      </c>
      <c r="D16" s="91" t="str">
        <f>IFERROR(INDEX(Starter!C:C,MATCH(B16,Starter!A:A,0)),"")</f>
        <v>BC EMAX</v>
      </c>
      <c r="E16" s="100">
        <f t="shared" si="3"/>
        <v>388</v>
      </c>
      <c r="F16" s="91">
        <f t="shared" si="4"/>
        <v>3</v>
      </c>
      <c r="G16" s="95">
        <f t="shared" si="5"/>
        <v>129.33333332733335</v>
      </c>
      <c r="L16" s="91">
        <f>INDEX(Starter!A:A,ROW()-1)</f>
        <v>38773</v>
      </c>
      <c r="M16" s="91">
        <f>SUMIF(Erfassung1!AU:AU,L16,Erfassung1!BJ:BJ)</f>
        <v>594</v>
      </c>
      <c r="N16" s="91">
        <f>SUMIF(Erfassung1!AU:AU,L16,Erfassung1!AX:AX)</f>
        <v>4</v>
      </c>
      <c r="O16" s="91">
        <f t="shared" si="0"/>
        <v>148.499999984</v>
      </c>
      <c r="P16" s="91">
        <f t="shared" si="1"/>
        <v>8</v>
      </c>
    </row>
    <row r="17" spans="1:16">
      <c r="A17" s="91">
        <f t="shared" si="6"/>
        <v>13</v>
      </c>
      <c r="B17" s="91">
        <f t="shared" si="2"/>
        <v>38904</v>
      </c>
      <c r="C17" s="91" t="str">
        <f>IFERROR(INDEX(Starter!B:B,MATCH(B17,Starter!A:A,0)),"")</f>
        <v>Vogt, Leonard</v>
      </c>
      <c r="D17" s="91" t="str">
        <f>IFERROR(INDEX(Starter!C:C,MATCH(B17,Starter!A:A,0)),"")</f>
        <v>BC EMAX</v>
      </c>
      <c r="E17" s="100">
        <f t="shared" si="3"/>
        <v>387</v>
      </c>
      <c r="F17" s="91">
        <f t="shared" si="4"/>
        <v>3</v>
      </c>
      <c r="G17" s="95">
        <f t="shared" si="5"/>
        <v>128.999999995</v>
      </c>
      <c r="L17" s="91">
        <f>INDEX(Starter!A:A,ROW()-1)</f>
        <v>38809</v>
      </c>
      <c r="M17" s="91">
        <f>SUMIF(Erfassung1!AU:AU,L17,Erfassung1!BJ:BJ)</f>
        <v>0</v>
      </c>
      <c r="N17" s="91">
        <f>SUMIF(Erfassung1!AU:AU,L17,Erfassung1!AX:AX)</f>
        <v>0</v>
      </c>
      <c r="O17" s="91">
        <f t="shared" si="0"/>
        <v>0</v>
      </c>
      <c r="P17" s="91">
        <f t="shared" si="1"/>
        <v>30</v>
      </c>
    </row>
    <row r="18" spans="1:16">
      <c r="A18" s="91">
        <f t="shared" si="6"/>
        <v>14</v>
      </c>
      <c r="B18" s="91">
        <f t="shared" si="2"/>
        <v>38706</v>
      </c>
      <c r="C18" s="91" t="str">
        <f>IFERROR(INDEX(Starter!B:B,MATCH(B18,Starter!A:A,0)),"")</f>
        <v>Böhm, Eric-Pascal</v>
      </c>
      <c r="D18" s="91" t="str">
        <f>IFERROR(INDEX(Starter!C:C,MATCH(B18,Starter!A:A,0)),"")</f>
        <v>BC EMAX</v>
      </c>
      <c r="E18" s="100">
        <f t="shared" si="3"/>
        <v>361</v>
      </c>
      <c r="F18" s="91">
        <f t="shared" si="4"/>
        <v>3</v>
      </c>
      <c r="G18" s="95">
        <f t="shared" si="5"/>
        <v>120.33333332933333</v>
      </c>
      <c r="L18" s="91">
        <f>INDEX(Starter!A:A,ROW()-1)</f>
        <v>38923</v>
      </c>
      <c r="M18" s="91">
        <f>SUMIF(Erfassung1!AU:AU,L18,Erfassung1!BJ:BJ)</f>
        <v>401</v>
      </c>
      <c r="N18" s="91">
        <f>SUMIF(Erfassung1!AU:AU,L18,Erfassung1!AX:AX)</f>
        <v>4</v>
      </c>
      <c r="O18" s="91">
        <f t="shared" si="0"/>
        <v>100.24999998200001</v>
      </c>
      <c r="P18" s="91">
        <f t="shared" si="1"/>
        <v>26</v>
      </c>
    </row>
    <row r="19" spans="1:16">
      <c r="A19" s="91">
        <f t="shared" si="6"/>
        <v>15</v>
      </c>
      <c r="B19" s="91">
        <f t="shared" si="2"/>
        <v>38865</v>
      </c>
      <c r="C19" s="91" t="str">
        <f>IFERROR(INDEX(Starter!B:B,MATCH(B19,Starter!A:A,0)),"")</f>
        <v>Labs, Leon</v>
      </c>
      <c r="D19" s="91" t="str">
        <f>IFERROR(INDEX(Starter!C:C,MATCH(B19,Starter!A:A,0)),"")</f>
        <v>BC Berchtesgaden</v>
      </c>
      <c r="E19" s="100">
        <f t="shared" si="3"/>
        <v>473</v>
      </c>
      <c r="F19" s="91">
        <f t="shared" si="4"/>
        <v>4</v>
      </c>
      <c r="G19" s="95">
        <f t="shared" si="5"/>
        <v>118.249999972</v>
      </c>
      <c r="L19" s="91">
        <f>INDEX(Starter!A:A,ROW()-1)</f>
        <v>38920</v>
      </c>
      <c r="M19" s="91">
        <f>SUMIF(Erfassung1!AU:AU,L19,Erfassung1!BJ:BJ)</f>
        <v>325</v>
      </c>
      <c r="N19" s="91">
        <f>SUMIF(Erfassung1!AU:AU,L19,Erfassung1!AX:AX)</f>
        <v>4</v>
      </c>
      <c r="O19" s="91">
        <f t="shared" si="0"/>
        <v>81.249999981000002</v>
      </c>
      <c r="P19" s="91">
        <f t="shared" si="1"/>
        <v>27</v>
      </c>
    </row>
    <row r="20" spans="1:16">
      <c r="A20" s="91">
        <f t="shared" si="6"/>
        <v>16</v>
      </c>
      <c r="B20" s="91">
        <f t="shared" si="2"/>
        <v>38808</v>
      </c>
      <c r="C20" s="91" t="str">
        <f>IFERROR(INDEX(Starter!B:B,MATCH(B20,Starter!A:A,0)),"")</f>
        <v>Reinhold, Moritz</v>
      </c>
      <c r="D20" s="91" t="str">
        <f>IFERROR(INDEX(Starter!C:C,MATCH(B20,Starter!A:A,0)),"")</f>
        <v>BSC Highroller Rosenheim</v>
      </c>
      <c r="E20" s="100">
        <f t="shared" si="3"/>
        <v>471</v>
      </c>
      <c r="F20" s="91">
        <f t="shared" si="4"/>
        <v>4</v>
      </c>
      <c r="G20" s="95">
        <f t="shared" si="5"/>
        <v>117.74999997800001</v>
      </c>
      <c r="L20" s="91">
        <f>INDEX(Starter!A:A,ROW()-1)</f>
        <v>38921</v>
      </c>
      <c r="M20" s="91">
        <f>SUMIF(Erfassung1!AU:AU,L20,Erfassung1!BJ:BJ)</f>
        <v>268</v>
      </c>
      <c r="N20" s="91">
        <f>SUMIF(Erfassung1!AU:AU,L20,Erfassung1!AX:AX)</f>
        <v>4</v>
      </c>
      <c r="O20" s="91">
        <f t="shared" si="0"/>
        <v>66.999999979999998</v>
      </c>
      <c r="P20" s="91">
        <f t="shared" si="1"/>
        <v>29</v>
      </c>
    </row>
    <row r="21" spans="1:16">
      <c r="A21" s="91">
        <f t="shared" si="6"/>
        <v>17</v>
      </c>
      <c r="B21" s="91">
        <f t="shared" si="2"/>
        <v>38819</v>
      </c>
      <c r="C21" s="91" t="str">
        <f>IFERROR(INDEX(Starter!B:B,MATCH(B21,Starter!A:A,0)),"")</f>
        <v>Pittner, Gregor</v>
      </c>
      <c r="D21" s="91" t="str">
        <f>IFERROR(INDEX(Starter!C:C,MATCH(B21,Starter!A:A,0)),"")</f>
        <v>BC Berchtesgaden</v>
      </c>
      <c r="E21" s="100">
        <f t="shared" si="3"/>
        <v>344</v>
      </c>
      <c r="F21" s="91">
        <f t="shared" si="4"/>
        <v>3</v>
      </c>
      <c r="G21" s="95">
        <f t="shared" si="5"/>
        <v>114.66666663666668</v>
      </c>
      <c r="L21" s="91">
        <f>INDEX(Starter!A:A,ROW()-1)</f>
        <v>38922</v>
      </c>
      <c r="M21" s="91">
        <f>SUMIF(Erfassung1!AU:AU,L21,Erfassung1!BJ:BJ)</f>
        <v>302</v>
      </c>
      <c r="N21" s="91">
        <f>SUMIF(Erfassung1!AU:AU,L21,Erfassung1!AX:AX)</f>
        <v>3</v>
      </c>
      <c r="O21" s="91">
        <f t="shared" si="0"/>
        <v>100.66666664566667</v>
      </c>
      <c r="P21" s="91">
        <f t="shared" si="1"/>
        <v>25</v>
      </c>
    </row>
    <row r="22" spans="1:16">
      <c r="A22" s="91">
        <f t="shared" si="6"/>
        <v>18</v>
      </c>
      <c r="B22" s="91">
        <f t="shared" si="2"/>
        <v>38810</v>
      </c>
      <c r="C22" s="91" t="str">
        <f>IFERROR(INDEX(Starter!B:B,MATCH(B22,Starter!A:A,0)),"")</f>
        <v>Vokshi, Finn</v>
      </c>
      <c r="D22" s="91" t="str">
        <f>IFERROR(INDEX(Starter!C:C,MATCH(B22,Starter!A:A,0)),"")</f>
        <v>BSC Highroller Rosenheim</v>
      </c>
      <c r="E22" s="100">
        <f t="shared" si="3"/>
        <v>457</v>
      </c>
      <c r="F22" s="91">
        <f t="shared" si="4"/>
        <v>4</v>
      </c>
      <c r="G22" s="95">
        <f t="shared" si="5"/>
        <v>114.249999977</v>
      </c>
      <c r="L22" s="91">
        <f>INDEX(Starter!A:A,ROW()-1)</f>
        <v>38808</v>
      </c>
      <c r="M22" s="91">
        <f>SUMIF(Erfassung1!AU:AU,L22,Erfassung1!BJ:BJ)</f>
        <v>471</v>
      </c>
      <c r="N22" s="91">
        <f>SUMIF(Erfassung1!AU:AU,L22,Erfassung1!AX:AX)</f>
        <v>4</v>
      </c>
      <c r="O22" s="91">
        <f t="shared" si="0"/>
        <v>117.74999997800001</v>
      </c>
      <c r="P22" s="91">
        <f t="shared" si="1"/>
        <v>16</v>
      </c>
    </row>
    <row r="23" spans="1:16">
      <c r="A23" s="91">
        <f t="shared" si="6"/>
        <v>19</v>
      </c>
      <c r="B23" s="91">
        <f t="shared" si="2"/>
        <v>38915</v>
      </c>
      <c r="C23" s="91" t="str">
        <f>IFERROR(INDEX(Starter!B:B,MATCH(B23,Starter!A:A,0)),"")</f>
        <v>Raj, Milan</v>
      </c>
      <c r="D23" s="91" t="str">
        <f>IFERROR(INDEX(Starter!C:C,MATCH(B23,Starter!A:A,0)),"")</f>
        <v>Bowling Jugend Bayern</v>
      </c>
      <c r="E23" s="100">
        <f t="shared" si="3"/>
        <v>561</v>
      </c>
      <c r="F23" s="91">
        <f t="shared" si="4"/>
        <v>5</v>
      </c>
      <c r="G23" s="95">
        <f t="shared" si="5"/>
        <v>112.199999959</v>
      </c>
      <c r="L23" s="91">
        <f>INDEX(Starter!A:A,ROW()-1)</f>
        <v>38810</v>
      </c>
      <c r="M23" s="91">
        <f>SUMIF(Erfassung1!AU:AU,L23,Erfassung1!BJ:BJ)</f>
        <v>457</v>
      </c>
      <c r="N23" s="91">
        <f>SUMIF(Erfassung1!AU:AU,L23,Erfassung1!AX:AX)</f>
        <v>4</v>
      </c>
      <c r="O23" s="91">
        <f t="shared" si="0"/>
        <v>114.249999977</v>
      </c>
      <c r="P23" s="91">
        <f t="shared" si="1"/>
        <v>18</v>
      </c>
    </row>
    <row r="24" spans="1:16">
      <c r="A24" s="91">
        <f t="shared" si="6"/>
        <v>20</v>
      </c>
      <c r="B24" s="91">
        <f t="shared" si="2"/>
        <v>38785</v>
      </c>
      <c r="C24" s="91" t="str">
        <f>IFERROR(INDEX(Starter!B:B,MATCH(B24,Starter!A:A,0)),"")</f>
        <v>Mrosek, Laura Maria</v>
      </c>
      <c r="D24" s="91" t="str">
        <f>IFERROR(INDEX(Starter!C:C,MATCH(B24,Starter!A:A,0)),"")</f>
        <v>BC EMAX</v>
      </c>
      <c r="E24" s="100">
        <f t="shared" si="3"/>
        <v>328</v>
      </c>
      <c r="F24" s="91">
        <f t="shared" si="4"/>
        <v>3</v>
      </c>
      <c r="G24" s="95">
        <f t="shared" si="5"/>
        <v>109.33333333033333</v>
      </c>
      <c r="L24" s="91">
        <f>INDEX(Starter!A:A,ROW()-1)</f>
        <v>38848</v>
      </c>
      <c r="M24" s="91">
        <f>SUMIF(Erfassung1!AU:AU,L24,Erfassung1!BJ:BJ)</f>
        <v>324</v>
      </c>
      <c r="N24" s="91">
        <f>SUMIF(Erfassung1!AU:AU,L24,Erfassung1!AX:AX)</f>
        <v>3</v>
      </c>
      <c r="O24" s="91">
        <f t="shared" si="0"/>
        <v>107.999999976</v>
      </c>
      <c r="P24" s="91">
        <f t="shared" si="1"/>
        <v>21</v>
      </c>
    </row>
    <row r="25" spans="1:16">
      <c r="A25" s="91">
        <f t="shared" si="6"/>
        <v>21</v>
      </c>
      <c r="B25" s="91">
        <f t="shared" si="2"/>
        <v>38848</v>
      </c>
      <c r="C25" s="91" t="str">
        <f>IFERROR(INDEX(Starter!B:B,MATCH(B25,Starter!A:A,0)),"")</f>
        <v>Marker, Anna</v>
      </c>
      <c r="D25" s="91" t="str">
        <f>IFERROR(INDEX(Starter!C:C,MATCH(B25,Starter!A:A,0)),"")</f>
        <v>BSC Highroller Rosenheim</v>
      </c>
      <c r="E25" s="100">
        <f t="shared" si="3"/>
        <v>324</v>
      </c>
      <c r="F25" s="91">
        <f t="shared" si="4"/>
        <v>3</v>
      </c>
      <c r="G25" s="95">
        <f t="shared" si="5"/>
        <v>107.999999976</v>
      </c>
      <c r="L25" s="91">
        <f>INDEX(Starter!A:A,ROW()-1)</f>
        <v>38849</v>
      </c>
      <c r="M25" s="91">
        <f>SUMIF(Erfassung1!AU:AU,L25,Erfassung1!BJ:BJ)</f>
        <v>415</v>
      </c>
      <c r="N25" s="91">
        <f>SUMIF(Erfassung1!AU:AU,L25,Erfassung1!AX:AX)</f>
        <v>4</v>
      </c>
      <c r="O25" s="91">
        <f t="shared" si="0"/>
        <v>103.74999997499999</v>
      </c>
      <c r="P25" s="91">
        <f t="shared" si="1"/>
        <v>24</v>
      </c>
    </row>
    <row r="26" spans="1:16">
      <c r="A26" s="91">
        <f t="shared" si="6"/>
        <v>22</v>
      </c>
      <c r="B26" s="91">
        <f t="shared" si="2"/>
        <v>38927</v>
      </c>
      <c r="C26" s="91" t="str">
        <f>IFERROR(INDEX(Starter!B:B,MATCH(B26,Starter!A:A,0)),"")</f>
        <v>Bonnaire, Ben</v>
      </c>
      <c r="D26" s="91" t="str">
        <f>IFERROR(INDEX(Starter!C:C,MATCH(B26,Starter!A:A,0)),"")</f>
        <v>Bowling Jugend Bayern</v>
      </c>
      <c r="E26" s="100">
        <f t="shared" si="3"/>
        <v>527</v>
      </c>
      <c r="F26" s="91">
        <f t="shared" si="4"/>
        <v>5</v>
      </c>
      <c r="G26" s="95">
        <f t="shared" si="5"/>
        <v>105.399999963</v>
      </c>
      <c r="L26" s="91">
        <f>INDEX(Starter!A:A,ROW()-1)</f>
        <v>38925</v>
      </c>
      <c r="M26" s="91">
        <f>SUMIF(Erfassung1!AU:AU,L26,Erfassung1!BJ:BJ)</f>
        <v>0</v>
      </c>
      <c r="N26" s="91">
        <f>SUMIF(Erfassung1!AU:AU,L26,Erfassung1!AX:AX)</f>
        <v>0</v>
      </c>
      <c r="O26" s="91">
        <f t="shared" si="0"/>
        <v>0</v>
      </c>
      <c r="P26" s="91">
        <f t="shared" si="1"/>
        <v>30</v>
      </c>
    </row>
    <row r="27" spans="1:16">
      <c r="A27" s="91">
        <f t="shared" si="6"/>
        <v>23</v>
      </c>
      <c r="B27" s="91">
        <f t="shared" si="2"/>
        <v>38890</v>
      </c>
      <c r="C27" s="91" t="str">
        <f>IFERROR(INDEX(Starter!B:B,MATCH(B27,Starter!A:A,0)),"")</f>
        <v>Hofer, Anja</v>
      </c>
      <c r="D27" s="91" t="str">
        <f>IFERROR(INDEX(Starter!C:C,MATCH(B27,Starter!A:A,0)),"")</f>
        <v>BC EMAX</v>
      </c>
      <c r="E27" s="100">
        <f t="shared" si="3"/>
        <v>316</v>
      </c>
      <c r="F27" s="91">
        <f t="shared" si="4"/>
        <v>3</v>
      </c>
      <c r="G27" s="95">
        <f t="shared" si="5"/>
        <v>105.33333333133334</v>
      </c>
      <c r="L27" s="91">
        <f>INDEX(Starter!A:A,ROW()-1)</f>
        <v>38924</v>
      </c>
      <c r="M27" s="91">
        <f>SUMIF(Erfassung1!AU:AU,L27,Erfassung1!BJ:BJ)</f>
        <v>0</v>
      </c>
      <c r="N27" s="91">
        <f>SUMIF(Erfassung1!AU:AU,L27,Erfassung1!AX:AX)</f>
        <v>0</v>
      </c>
      <c r="O27" s="91">
        <f t="shared" si="0"/>
        <v>0</v>
      </c>
      <c r="P27" s="91">
        <f t="shared" si="1"/>
        <v>30</v>
      </c>
    </row>
    <row r="28" spans="1:16">
      <c r="A28" s="91">
        <f t="shared" si="6"/>
        <v>24</v>
      </c>
      <c r="B28" s="91">
        <f t="shared" si="2"/>
        <v>38849</v>
      </c>
      <c r="C28" s="91" t="str">
        <f>IFERROR(INDEX(Starter!B:B,MATCH(B28,Starter!A:A,0)),"")</f>
        <v>Marker, Lena</v>
      </c>
      <c r="D28" s="91" t="str">
        <f>IFERROR(INDEX(Starter!C:C,MATCH(B28,Starter!A:A,0)),"")</f>
        <v>BSC Highroller Rosenheim</v>
      </c>
      <c r="E28" s="100">
        <f t="shared" si="3"/>
        <v>415</v>
      </c>
      <c r="F28" s="91">
        <f t="shared" si="4"/>
        <v>4</v>
      </c>
      <c r="G28" s="95">
        <f t="shared" si="5"/>
        <v>103.74999997499999</v>
      </c>
      <c r="L28" s="91">
        <f>INDEX(Starter!A:A,ROW()-1)</f>
        <v>38865</v>
      </c>
      <c r="M28" s="91">
        <f>SUMIF(Erfassung1!AU:AU,L28,Erfassung1!BJ:BJ)</f>
        <v>473</v>
      </c>
      <c r="N28" s="91">
        <f>SUMIF(Erfassung1!AU:AU,L28,Erfassung1!AX:AX)</f>
        <v>4</v>
      </c>
      <c r="O28" s="91">
        <f t="shared" si="0"/>
        <v>118.249999972</v>
      </c>
      <c r="P28" s="91">
        <f t="shared" si="1"/>
        <v>15</v>
      </c>
    </row>
    <row r="29" spans="1:16">
      <c r="A29" s="91">
        <f t="shared" si="6"/>
        <v>25</v>
      </c>
      <c r="B29" s="91">
        <f t="shared" si="2"/>
        <v>38922</v>
      </c>
      <c r="C29" s="91" t="str">
        <f>IFERROR(INDEX(Starter!B:B,MATCH(B29,Starter!A:A,0)),"")</f>
        <v>Schimanski, Theodor</v>
      </c>
      <c r="D29" s="91" t="str">
        <f>IFERROR(INDEX(Starter!C:C,MATCH(B29,Starter!A:A,0)),"")</f>
        <v>BSC Highroller Rosenheim</v>
      </c>
      <c r="E29" s="100">
        <f t="shared" si="3"/>
        <v>302</v>
      </c>
      <c r="F29" s="91">
        <f t="shared" si="4"/>
        <v>3</v>
      </c>
      <c r="G29" s="95">
        <f t="shared" si="5"/>
        <v>100.66666664566667</v>
      </c>
      <c r="L29" s="91">
        <f>INDEX(Starter!A:A,ROW()-1)</f>
        <v>38714</v>
      </c>
      <c r="M29" s="91">
        <f>SUMIF(Erfassung1!AU:AU,L29,Erfassung1!BJ:BJ)</f>
        <v>660</v>
      </c>
      <c r="N29" s="91">
        <f>SUMIF(Erfassung1!AU:AU,L29,Erfassung1!AX:AX)</f>
        <v>4</v>
      </c>
      <c r="O29" s="91">
        <f t="shared" si="0"/>
        <v>164.99999997099999</v>
      </c>
      <c r="P29" s="91">
        <f t="shared" si="1"/>
        <v>6</v>
      </c>
    </row>
    <row r="30" spans="1:16">
      <c r="A30" s="91">
        <f t="shared" si="6"/>
        <v>26</v>
      </c>
      <c r="B30" s="91">
        <f t="shared" si="2"/>
        <v>38923</v>
      </c>
      <c r="C30" s="91" t="str">
        <f>IFERROR(INDEX(Starter!B:B,MATCH(B30,Starter!A:A,0)),"")</f>
        <v>Weinrich, Lena</v>
      </c>
      <c r="D30" s="91" t="str">
        <f>IFERROR(INDEX(Starter!C:C,MATCH(B30,Starter!A:A,0)),"")</f>
        <v>BSC Highroller Rosenheim</v>
      </c>
      <c r="E30" s="100">
        <f t="shared" si="3"/>
        <v>401</v>
      </c>
      <c r="F30" s="91">
        <f t="shared" si="4"/>
        <v>4</v>
      </c>
      <c r="G30" s="95">
        <f t="shared" si="5"/>
        <v>100.24999998200001</v>
      </c>
      <c r="L30" s="91">
        <f>INDEX(Starter!A:A,ROW()-1)</f>
        <v>38819</v>
      </c>
      <c r="M30" s="91">
        <f>SUMIF(Erfassung1!AU:AU,L30,Erfassung1!BJ:BJ)</f>
        <v>344</v>
      </c>
      <c r="N30" s="91">
        <f>SUMIF(Erfassung1!AU:AU,L30,Erfassung1!AX:AX)</f>
        <v>3</v>
      </c>
      <c r="O30" s="91">
        <f t="shared" si="0"/>
        <v>114.66666663666668</v>
      </c>
      <c r="P30" s="91">
        <f t="shared" si="1"/>
        <v>17</v>
      </c>
    </row>
    <row r="31" spans="1:16">
      <c r="A31" s="91">
        <f t="shared" si="6"/>
        <v>27</v>
      </c>
      <c r="B31" s="91">
        <f t="shared" si="2"/>
        <v>38920</v>
      </c>
      <c r="C31" s="91" t="str">
        <f>IFERROR(INDEX(Starter!B:B,MATCH(B31,Starter!A:A,0)),"")</f>
        <v>Schwarzfischer, Leon</v>
      </c>
      <c r="D31" s="91" t="str">
        <f>IFERROR(INDEX(Starter!C:C,MATCH(B31,Starter!A:A,0)),"")</f>
        <v>BSC Highroller Rosenheim</v>
      </c>
      <c r="E31" s="100">
        <f t="shared" si="3"/>
        <v>325</v>
      </c>
      <c r="F31" s="91">
        <f t="shared" si="4"/>
        <v>4</v>
      </c>
      <c r="G31" s="95">
        <f t="shared" si="5"/>
        <v>81.249999981000002</v>
      </c>
      <c r="L31" s="91">
        <f>INDEX(Starter!A:A,ROW()-1)</f>
        <v>38817</v>
      </c>
      <c r="M31" s="91">
        <f>SUMIF(Erfassung1!AU:AU,L31,Erfassung1!BJ:BJ)</f>
        <v>0</v>
      </c>
      <c r="N31" s="91">
        <f>SUMIF(Erfassung1!AU:AU,L31,Erfassung1!AX:AX)</f>
        <v>0</v>
      </c>
      <c r="O31" s="91">
        <f t="shared" si="0"/>
        <v>0</v>
      </c>
      <c r="P31" s="91">
        <f t="shared" si="1"/>
        <v>30</v>
      </c>
    </row>
    <row r="32" spans="1:16">
      <c r="A32" s="91">
        <f t="shared" si="6"/>
        <v>28</v>
      </c>
      <c r="B32" s="91">
        <f t="shared" si="2"/>
        <v>38831</v>
      </c>
      <c r="C32" s="91" t="str">
        <f>IFERROR(INDEX(Starter!B:B,MATCH(B32,Starter!A:A,0)),"")</f>
        <v>Thiele, Isabelle</v>
      </c>
      <c r="D32" s="91" t="str">
        <f>IFERROR(INDEX(Starter!C:C,MATCH(B32,Starter!A:A,0)),"")</f>
        <v>BSC Highroller Rosenheim</v>
      </c>
      <c r="E32" s="100">
        <f t="shared" si="3"/>
        <v>238</v>
      </c>
      <c r="F32" s="91">
        <f t="shared" si="4"/>
        <v>3</v>
      </c>
      <c r="G32" s="95">
        <f t="shared" si="5"/>
        <v>79.333333318333331</v>
      </c>
      <c r="L32" s="91">
        <f>INDEX(Starter!A:A,ROW()-1)</f>
        <v>38905</v>
      </c>
      <c r="M32" s="91">
        <f>SUMIF(Erfassung1!AU:AU,L32,Erfassung1!BJ:BJ)</f>
        <v>0</v>
      </c>
      <c r="N32" s="91">
        <f>SUMIF(Erfassung1!AU:AU,L32,Erfassung1!AX:AX)</f>
        <v>0</v>
      </c>
      <c r="O32" s="91">
        <f t="shared" si="0"/>
        <v>0</v>
      </c>
      <c r="P32" s="91">
        <f t="shared" si="1"/>
        <v>30</v>
      </c>
    </row>
    <row r="33" spans="1:16">
      <c r="A33" s="91">
        <f t="shared" si="6"/>
        <v>29</v>
      </c>
      <c r="B33" s="91">
        <f t="shared" si="2"/>
        <v>38921</v>
      </c>
      <c r="C33" s="91" t="str">
        <f>IFERROR(INDEX(Starter!B:B,MATCH(B33,Starter!A:A,0)),"")</f>
        <v>Schimanski, Johanna</v>
      </c>
      <c r="D33" s="91" t="str">
        <f>IFERROR(INDEX(Starter!C:C,MATCH(B33,Starter!A:A,0)),"")</f>
        <v>BSC Highroller Rosenheim</v>
      </c>
      <c r="E33" s="100">
        <f t="shared" si="3"/>
        <v>268</v>
      </c>
      <c r="F33" s="91">
        <f t="shared" si="4"/>
        <v>4</v>
      </c>
      <c r="G33" s="95">
        <f t="shared" si="5"/>
        <v>66.999999979999998</v>
      </c>
      <c r="L33" s="91">
        <f>INDEX(Starter!A:A,ROW()-1)</f>
        <v>38937</v>
      </c>
      <c r="M33" s="91">
        <f>SUMIF(Erfassung1!AU:AU,L33,Erfassung1!BJ:BJ)</f>
        <v>530</v>
      </c>
      <c r="N33" s="91">
        <f>SUMIF(Erfassung1!AU:AU,L33,Erfassung1!AX:AX)</f>
        <v>4</v>
      </c>
      <c r="O33" s="91">
        <f t="shared" si="0"/>
        <v>132.49999996700001</v>
      </c>
      <c r="P33" s="91">
        <f t="shared" si="1"/>
        <v>11</v>
      </c>
    </row>
    <row r="34" spans="1:16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SUMIF(Erfassung1!AU:AU,L34,Erfassung1!BJ:BJ)</f>
        <v>1091</v>
      </c>
      <c r="N34" s="91">
        <f>SUMIF(Erfassung1!AU:AU,L34,Erfassung1!AX:AX)</f>
        <v>5</v>
      </c>
      <c r="O34" s="91">
        <f t="shared" si="0"/>
        <v>218.19999996599998</v>
      </c>
      <c r="P34" s="91">
        <f t="shared" si="1"/>
        <v>1</v>
      </c>
    </row>
    <row r="35" spans="1:16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SUMIF(Erfassung1!AU:AU,L35,Erfassung1!BJ:BJ)</f>
        <v>1052</v>
      </c>
      <c r="N35" s="91">
        <f>SUMIF(Erfassung1!AU:AU,L35,Erfassung1!AX:AX)</f>
        <v>5</v>
      </c>
      <c r="O35" s="91">
        <f t="shared" si="0"/>
        <v>210.39999996500001</v>
      </c>
      <c r="P35" s="91">
        <f t="shared" si="1"/>
        <v>2</v>
      </c>
    </row>
    <row r="36" spans="1:16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SUMIF(Erfassung1!AU:AU,L36,Erfassung1!BJ:BJ)</f>
        <v>826</v>
      </c>
      <c r="N36" s="91">
        <f>SUMIF(Erfassung1!AU:AU,L36,Erfassung1!AX:AX)</f>
        <v>5</v>
      </c>
      <c r="O36" s="91">
        <f t="shared" si="0"/>
        <v>165.199999964</v>
      </c>
      <c r="P36" s="91">
        <f t="shared" si="1"/>
        <v>5</v>
      </c>
    </row>
    <row r="37" spans="1:16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SUMIF(Erfassung1!AU:AU,L37,Erfassung1!BJ:BJ)</f>
        <v>527</v>
      </c>
      <c r="N37" s="91">
        <f>SUMIF(Erfassung1!AU:AU,L37,Erfassung1!AX:AX)</f>
        <v>5</v>
      </c>
      <c r="O37" s="91">
        <f t="shared" si="0"/>
        <v>105.399999963</v>
      </c>
      <c r="P37" s="91">
        <f t="shared" si="1"/>
        <v>22</v>
      </c>
    </row>
    <row r="38" spans="1:16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SUMIF(Erfassung1!AU:AU,L38,Erfassung1!BJ:BJ)</f>
        <v>778</v>
      </c>
      <c r="N38" s="91">
        <f>SUMIF(Erfassung1!AU:AU,L38,Erfassung1!AX:AX)</f>
        <v>5</v>
      </c>
      <c r="O38" s="91">
        <f t="shared" si="0"/>
        <v>155.599999962</v>
      </c>
      <c r="P38" s="91">
        <f t="shared" si="1"/>
        <v>7</v>
      </c>
    </row>
    <row r="39" spans="1:16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SUMIF(Erfassung1!AU:AU,L39,Erfassung1!BJ:BJ)</f>
        <v>0</v>
      </c>
      <c r="N39" s="91">
        <f>SUMIF(Erfassung1!AU:AU,L39,Erfassung1!AX:AX)</f>
        <v>0</v>
      </c>
      <c r="O39" s="91">
        <f t="shared" si="0"/>
        <v>0</v>
      </c>
      <c r="P39" s="91">
        <f t="shared" si="1"/>
        <v>30</v>
      </c>
    </row>
    <row r="40" spans="1:16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SUMIF(Erfassung1!AU:AU,L40,Erfassung1!BJ:BJ)</f>
        <v>0</v>
      </c>
      <c r="N40" s="91">
        <f>SUMIF(Erfassung1!AU:AU,L40,Erfassung1!AX:AX)</f>
        <v>0</v>
      </c>
      <c r="O40" s="91">
        <f t="shared" si="0"/>
        <v>0</v>
      </c>
      <c r="P40" s="91">
        <f t="shared" si="1"/>
        <v>30</v>
      </c>
    </row>
    <row r="41" spans="1:16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SUMIF(Erfassung1!AU:AU,L41,Erfassung1!BJ:BJ)</f>
        <v>561</v>
      </c>
      <c r="N41" s="91">
        <f>SUMIF(Erfassung1!AU:AU,L41,Erfassung1!AX:AX)</f>
        <v>5</v>
      </c>
      <c r="O41" s="91">
        <f t="shared" si="0"/>
        <v>112.199999959</v>
      </c>
      <c r="P41" s="91">
        <f t="shared" si="1"/>
        <v>19</v>
      </c>
    </row>
    <row r="42" spans="1:16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SUMIF(Erfassung1!AU:AU,L42,Erfassung1!BJ:BJ)</f>
        <v>0</v>
      </c>
      <c r="N42" s="91">
        <f>SUMIF(Erfassung1!AU:AU,L42,Erfassung1!AX:AX)</f>
        <v>0</v>
      </c>
      <c r="O42" s="91">
        <f t="shared" si="0"/>
        <v>0</v>
      </c>
      <c r="P42" s="91">
        <f t="shared" si="1"/>
        <v>30</v>
      </c>
    </row>
    <row r="43" spans="1:16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SUMIF(Erfassung1!AU:AU,L43,Erfassung1!BJ:BJ)</f>
        <v>0</v>
      </c>
      <c r="N43" s="91">
        <f>SUMIF(Erfassung1!AU:AU,L43,Erfassung1!AX:AX)</f>
        <v>0</v>
      </c>
      <c r="O43" s="91">
        <f t="shared" si="0"/>
        <v>0</v>
      </c>
      <c r="P43" s="91">
        <f t="shared" si="1"/>
        <v>30</v>
      </c>
    </row>
    <row r="44" spans="1:16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SUMIF(Erfassung1!AU:AU,L44,Erfassung1!BJ:BJ)</f>
        <v>0</v>
      </c>
      <c r="N44" s="91">
        <f>SUMIF(Erfassung1!AU:AU,L44,Erfassung1!AX:AX)</f>
        <v>0</v>
      </c>
      <c r="O44" s="91">
        <f t="shared" si="0"/>
        <v>0</v>
      </c>
      <c r="P44" s="91">
        <f t="shared" si="1"/>
        <v>30</v>
      </c>
    </row>
    <row r="45" spans="1:16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SUMIF(Erfassung1!AU:AU,L45,Erfassung1!BJ:BJ)</f>
        <v>0</v>
      </c>
      <c r="N45" s="91">
        <f>SUMIF(Erfassung1!AU:AU,L45,Erfassung1!AX:AX)</f>
        <v>0</v>
      </c>
      <c r="O45" s="91">
        <f t="shared" si="0"/>
        <v>0</v>
      </c>
      <c r="P45" s="91">
        <f t="shared" si="1"/>
        <v>30</v>
      </c>
    </row>
    <row r="46" spans="1:16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SUMIF(Erfassung1!AU:AU,L46,Erfassung1!BJ:BJ)</f>
        <v>0</v>
      </c>
      <c r="N46" s="91">
        <f>SUMIF(Erfassung1!AU:AU,L46,Erfassung1!AX:AX)</f>
        <v>0</v>
      </c>
      <c r="O46" s="91">
        <f t="shared" si="0"/>
        <v>0</v>
      </c>
      <c r="P46" s="91">
        <f t="shared" si="1"/>
        <v>30</v>
      </c>
    </row>
    <row r="47" spans="1:16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SUMIF(Erfassung1!AU:AU,L47,Erfassung1!BJ:BJ)</f>
        <v>0</v>
      </c>
      <c r="N47" s="91">
        <f>SUMIF(Erfassung1!AU:AU,L47,Erfassung1!AX:AX)</f>
        <v>0</v>
      </c>
      <c r="O47" s="91">
        <f t="shared" si="0"/>
        <v>0</v>
      </c>
      <c r="P47" s="91">
        <f t="shared" si="1"/>
        <v>30</v>
      </c>
    </row>
    <row r="48" spans="1:16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SUMIF(Erfassung1!AU:AU,L48,Erfassung1!BJ:BJ)</f>
        <v>0</v>
      </c>
      <c r="N48" s="91">
        <f>SUMIF(Erfassung1!AU:AU,L48,Erfassung1!AX:AX)</f>
        <v>0</v>
      </c>
      <c r="O48" s="91">
        <f t="shared" si="0"/>
        <v>0</v>
      </c>
      <c r="P48" s="91">
        <f t="shared" si="1"/>
        <v>30</v>
      </c>
    </row>
    <row r="49" spans="1:16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SUMIF(Erfassung1!AU:AU,L49,Erfassung1!BJ:BJ)</f>
        <v>0</v>
      </c>
      <c r="N49" s="91">
        <f>SUMIF(Erfassung1!AU:AU,L49,Erfassung1!AX:AX)</f>
        <v>0</v>
      </c>
      <c r="O49" s="91">
        <f t="shared" si="0"/>
        <v>0</v>
      </c>
      <c r="P49" s="91">
        <f t="shared" si="1"/>
        <v>30</v>
      </c>
    </row>
    <row r="50" spans="1:16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SUMIF(Erfassung1!AU:AU,L50,Erfassung1!BJ:BJ)</f>
        <v>0</v>
      </c>
      <c r="N50" s="91">
        <f>SUMIF(Erfassung1!AU:AU,L50,Erfassung1!AX:AX)</f>
        <v>0</v>
      </c>
      <c r="O50" s="91">
        <f t="shared" si="0"/>
        <v>0</v>
      </c>
      <c r="P50" s="91">
        <f t="shared" si="1"/>
        <v>30</v>
      </c>
    </row>
    <row r="51" spans="1:16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SUMIF(Erfassung1!AU:AU,L51,Erfassung1!BJ:BJ)</f>
        <v>0</v>
      </c>
      <c r="N51" s="91">
        <f>SUMIF(Erfassung1!AU:AU,L51,Erfassung1!AX:AX)</f>
        <v>0</v>
      </c>
      <c r="O51" s="91">
        <f t="shared" si="0"/>
        <v>0</v>
      </c>
      <c r="P51" s="91">
        <f t="shared" si="1"/>
        <v>30</v>
      </c>
    </row>
    <row r="52" spans="1:16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SUMIF(Erfassung1!AU:AU,L52,Erfassung1!BJ:BJ)</f>
        <v>0</v>
      </c>
      <c r="N52" s="91">
        <f>SUMIF(Erfassung1!AU:AU,L52,Erfassung1!AX:AX)</f>
        <v>0</v>
      </c>
      <c r="O52" s="91">
        <f t="shared" si="0"/>
        <v>0</v>
      </c>
      <c r="P52" s="91">
        <f t="shared" si="1"/>
        <v>30</v>
      </c>
    </row>
    <row r="53" spans="1:16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SUMIF(Erfassung1!AU:AU,L53,Erfassung1!BJ:BJ)</f>
        <v>0</v>
      </c>
      <c r="N53" s="91">
        <f>SUMIF(Erfassung1!AU:AU,L53,Erfassung1!AX:AX)</f>
        <v>0</v>
      </c>
      <c r="O53" s="91">
        <f t="shared" si="0"/>
        <v>0</v>
      </c>
      <c r="P53" s="91">
        <f t="shared" si="1"/>
        <v>30</v>
      </c>
    </row>
    <row r="54" spans="1:16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SUMIF(Erfassung1!AU:AU,L54,Erfassung1!BJ:BJ)</f>
        <v>0</v>
      </c>
      <c r="N54" s="91">
        <f>SUMIF(Erfassung1!AU:AU,L54,Erfassung1!AX:AX)</f>
        <v>0</v>
      </c>
      <c r="O54" s="91">
        <f t="shared" si="0"/>
        <v>0</v>
      </c>
      <c r="P54" s="91">
        <f t="shared" si="1"/>
        <v>30</v>
      </c>
    </row>
    <row r="55" spans="1:16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SUMIF(Erfassung1!AU:AU,L55,Erfassung1!BJ:BJ)</f>
        <v>0</v>
      </c>
      <c r="N55" s="91">
        <f>SUMIF(Erfassung1!AU:AU,L55,Erfassung1!AX:AX)</f>
        <v>0</v>
      </c>
      <c r="O55" s="91">
        <f t="shared" si="0"/>
        <v>0</v>
      </c>
      <c r="P55" s="91">
        <f t="shared" si="1"/>
        <v>30</v>
      </c>
    </row>
    <row r="56" spans="1:16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SUMIF(Erfassung1!AU:AU,L56,Erfassung1!BJ:BJ)</f>
        <v>0</v>
      </c>
      <c r="N56" s="91">
        <f>SUMIF(Erfassung1!AU:AU,L56,Erfassung1!AX:AX)</f>
        <v>0</v>
      </c>
      <c r="O56" s="91">
        <f t="shared" si="0"/>
        <v>0</v>
      </c>
      <c r="P56" s="91">
        <f t="shared" si="1"/>
        <v>30</v>
      </c>
    </row>
    <row r="57" spans="1:16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SUMIF(Erfassung1!AU:AU,L57,Erfassung1!BJ:BJ)</f>
        <v>0</v>
      </c>
      <c r="N57" s="91">
        <f>SUMIF(Erfassung1!AU:AU,L57,Erfassung1!AX:AX)</f>
        <v>0</v>
      </c>
      <c r="O57" s="91">
        <f t="shared" si="0"/>
        <v>0</v>
      </c>
      <c r="P57" s="91">
        <f t="shared" si="1"/>
        <v>30</v>
      </c>
    </row>
    <row r="58" spans="1:16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SUMIF(Erfassung1!AU:AU,L58,Erfassung1!BJ:BJ)</f>
        <v>0</v>
      </c>
      <c r="N58" s="91">
        <f>SUMIF(Erfassung1!AU:AU,L58,Erfassung1!AX:AX)</f>
        <v>0</v>
      </c>
      <c r="O58" s="91">
        <f t="shared" si="0"/>
        <v>0</v>
      </c>
      <c r="P58" s="91">
        <f t="shared" si="1"/>
        <v>30</v>
      </c>
    </row>
    <row r="59" spans="1:16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SUMIF(Erfassung1!AU:AU,L59,Erfassung1!BJ:BJ)</f>
        <v>0</v>
      </c>
      <c r="N59" s="91">
        <f>SUMIF(Erfassung1!AU:AU,L59,Erfassung1!AX:AX)</f>
        <v>0</v>
      </c>
      <c r="O59" s="91">
        <f t="shared" si="0"/>
        <v>0</v>
      </c>
      <c r="P59" s="91">
        <f t="shared" si="1"/>
        <v>30</v>
      </c>
    </row>
    <row r="60" spans="1:16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SUMIF(Erfassung1!AU:AU,L60,Erfassung1!BJ:BJ)</f>
        <v>0</v>
      </c>
      <c r="N60" s="91">
        <f>SUMIF(Erfassung1!AU:AU,L60,Erfassung1!AX:AX)</f>
        <v>0</v>
      </c>
      <c r="O60" s="91">
        <f t="shared" si="0"/>
        <v>0</v>
      </c>
      <c r="P60" s="91">
        <f t="shared" si="1"/>
        <v>30</v>
      </c>
    </row>
    <row r="61" spans="1:16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SUMIF(Erfassung1!AU:AU,L61,Erfassung1!BJ:BJ)</f>
        <v>0</v>
      </c>
      <c r="N61" s="91">
        <f>SUMIF(Erfassung1!AU:AU,L61,Erfassung1!AX:AX)</f>
        <v>0</v>
      </c>
      <c r="O61" s="91">
        <f t="shared" si="0"/>
        <v>0</v>
      </c>
      <c r="P61" s="91">
        <f t="shared" si="1"/>
        <v>30</v>
      </c>
    </row>
    <row r="62" spans="1:16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SUMIF(Erfassung1!AU:AU,L62,Erfassung1!BJ:BJ)</f>
        <v>0</v>
      </c>
      <c r="N62" s="91">
        <f>SUMIF(Erfassung1!AU:AU,L62,Erfassung1!AX:AX)</f>
        <v>0</v>
      </c>
      <c r="O62" s="91">
        <f t="shared" si="0"/>
        <v>0</v>
      </c>
      <c r="P62" s="91">
        <f t="shared" si="1"/>
        <v>30</v>
      </c>
    </row>
    <row r="63" spans="1:16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SUMIF(Erfassung1!AU:AU,L63,Erfassung1!BJ:BJ)</f>
        <v>0</v>
      </c>
      <c r="N63" s="91">
        <f>SUMIF(Erfassung1!AU:AU,L63,Erfassung1!AX:AX)</f>
        <v>0</v>
      </c>
      <c r="O63" s="91">
        <f t="shared" si="0"/>
        <v>0</v>
      </c>
      <c r="P63" s="91">
        <f t="shared" si="1"/>
        <v>30</v>
      </c>
    </row>
    <row r="64" spans="1:16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SUMIF(Erfassung1!AU:AU,L64,Erfassung1!BJ:BJ)</f>
        <v>0</v>
      </c>
      <c r="N64" s="91">
        <f>SUMIF(Erfassung1!AU:AU,L64,Erfassung1!AX:AX)</f>
        <v>0</v>
      </c>
      <c r="O64" s="91">
        <f t="shared" si="0"/>
        <v>0</v>
      </c>
      <c r="P64" s="91">
        <f t="shared" si="1"/>
        <v>30</v>
      </c>
    </row>
    <row r="65" spans="1:16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SUMIF(Erfassung1!AU:AU,L65,Erfassung1!BJ:BJ)</f>
        <v>0</v>
      </c>
      <c r="N65" s="91">
        <f>SUMIF(Erfassung1!AU:AU,L65,Erfassung1!AX:AX)</f>
        <v>0</v>
      </c>
      <c r="O65" s="91">
        <f t="shared" si="0"/>
        <v>0</v>
      </c>
      <c r="P65" s="91">
        <f t="shared" si="1"/>
        <v>30</v>
      </c>
    </row>
    <row r="66" spans="1:16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SUMIF(Erfassung1!AU:AU,L66,Erfassung1!BJ:BJ)</f>
        <v>0</v>
      </c>
      <c r="N66" s="91">
        <f>SUMIF(Erfassung1!AU:AU,L66,Erfassung1!AX:AX)</f>
        <v>0</v>
      </c>
      <c r="O66" s="91">
        <f t="shared" ref="O66:O104" si="7">IF(N66=0,0,M66/N66-ROW()/1000000000)</f>
        <v>0</v>
      </c>
      <c r="P66" s="91">
        <f t="shared" ref="P66:P104" si="8">RANK(O66,O:O)</f>
        <v>30</v>
      </c>
    </row>
    <row r="67" spans="1:16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SUMIF(Erfassung1!AU:AU,L67,Erfassung1!BJ:BJ)</f>
        <v>0</v>
      </c>
      <c r="N67" s="91">
        <f>SUMIF(Erfassung1!AU:AU,L67,Erfassung1!AX:AX)</f>
        <v>0</v>
      </c>
      <c r="O67" s="91">
        <f t="shared" si="7"/>
        <v>0</v>
      </c>
      <c r="P67" s="91">
        <f t="shared" si="8"/>
        <v>30</v>
      </c>
    </row>
    <row r="68" spans="1:16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SUMIF(Erfassung1!AU:AU,L68,Erfassung1!BJ:BJ)</f>
        <v>0</v>
      </c>
      <c r="N68" s="91">
        <f>SUMIF(Erfassung1!AU:AU,L68,Erfassung1!AX:AX)</f>
        <v>0</v>
      </c>
      <c r="O68" s="91">
        <f t="shared" si="7"/>
        <v>0</v>
      </c>
      <c r="P68" s="91">
        <f t="shared" si="8"/>
        <v>30</v>
      </c>
    </row>
    <row r="69" spans="1:16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SUMIF(Erfassung1!AU:AU,L69,Erfassung1!BJ:BJ)</f>
        <v>0</v>
      </c>
      <c r="N69" s="91">
        <f>SUMIF(Erfassung1!AU:AU,L69,Erfassung1!AX:AX)</f>
        <v>0</v>
      </c>
      <c r="O69" s="91">
        <f t="shared" si="7"/>
        <v>0</v>
      </c>
      <c r="P69" s="91">
        <f t="shared" si="8"/>
        <v>30</v>
      </c>
    </row>
    <row r="70" spans="1:16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SUMIF(Erfassung1!AU:AU,L70,Erfassung1!BJ:BJ)</f>
        <v>0</v>
      </c>
      <c r="N70" s="91">
        <f>SUMIF(Erfassung1!AU:AU,L70,Erfassung1!AX:AX)</f>
        <v>0</v>
      </c>
      <c r="O70" s="91">
        <f t="shared" si="7"/>
        <v>0</v>
      </c>
      <c r="P70" s="91">
        <f t="shared" si="8"/>
        <v>30</v>
      </c>
    </row>
    <row r="71" spans="1:16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SUMIF(Erfassung1!AU:AU,L71,Erfassung1!BJ:BJ)</f>
        <v>0</v>
      </c>
      <c r="N71" s="91">
        <f>SUMIF(Erfassung1!AU:AU,L71,Erfassung1!AX:AX)</f>
        <v>0</v>
      </c>
      <c r="O71" s="91">
        <f t="shared" si="7"/>
        <v>0</v>
      </c>
      <c r="P71" s="91">
        <f t="shared" si="8"/>
        <v>30</v>
      </c>
    </row>
    <row r="72" spans="1:16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SUMIF(Erfassung1!AU:AU,L72,Erfassung1!BJ:BJ)</f>
        <v>0</v>
      </c>
      <c r="N72" s="91">
        <f>SUMIF(Erfassung1!AU:AU,L72,Erfassung1!AX:AX)</f>
        <v>0</v>
      </c>
      <c r="O72" s="91">
        <f t="shared" si="7"/>
        <v>0</v>
      </c>
      <c r="P72" s="91">
        <f t="shared" si="8"/>
        <v>30</v>
      </c>
    </row>
    <row r="73" spans="1:16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SUMIF(Erfassung1!AU:AU,L73,Erfassung1!BJ:BJ)</f>
        <v>0</v>
      </c>
      <c r="N73" s="91">
        <f>SUMIF(Erfassung1!AU:AU,L73,Erfassung1!AX:AX)</f>
        <v>0</v>
      </c>
      <c r="O73" s="91">
        <f t="shared" si="7"/>
        <v>0</v>
      </c>
      <c r="P73" s="91">
        <f t="shared" si="8"/>
        <v>30</v>
      </c>
    </row>
    <row r="74" spans="1:16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SUMIF(Erfassung1!AU:AU,L74,Erfassung1!BJ:BJ)</f>
        <v>0</v>
      </c>
      <c r="N74" s="91">
        <f>SUMIF(Erfassung1!AU:AU,L74,Erfassung1!AX:AX)</f>
        <v>0</v>
      </c>
      <c r="O74" s="91">
        <f t="shared" si="7"/>
        <v>0</v>
      </c>
      <c r="P74" s="91">
        <f t="shared" si="8"/>
        <v>30</v>
      </c>
    </row>
    <row r="75" spans="1:16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SUMIF(Erfassung1!AU:AU,L75,Erfassung1!BJ:BJ)</f>
        <v>0</v>
      </c>
      <c r="N75" s="91">
        <f>SUMIF(Erfassung1!AU:AU,L75,Erfassung1!AX:AX)</f>
        <v>0</v>
      </c>
      <c r="O75" s="91">
        <f t="shared" si="7"/>
        <v>0</v>
      </c>
      <c r="P75" s="91">
        <f t="shared" si="8"/>
        <v>30</v>
      </c>
    </row>
    <row r="76" spans="1:16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SUMIF(Erfassung1!AU:AU,L76,Erfassung1!BJ:BJ)</f>
        <v>0</v>
      </c>
      <c r="N76" s="91">
        <f>SUMIF(Erfassung1!AU:AU,L76,Erfassung1!AX:AX)</f>
        <v>0</v>
      </c>
      <c r="O76" s="91">
        <f t="shared" si="7"/>
        <v>0</v>
      </c>
      <c r="P76" s="91">
        <f t="shared" si="8"/>
        <v>30</v>
      </c>
    </row>
    <row r="77" spans="1:16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SUMIF(Erfassung1!AU:AU,L77,Erfassung1!BJ:BJ)</f>
        <v>0</v>
      </c>
      <c r="N77" s="91">
        <f>SUMIF(Erfassung1!AU:AU,L77,Erfassung1!AX:AX)</f>
        <v>0</v>
      </c>
      <c r="O77" s="91">
        <f t="shared" si="7"/>
        <v>0</v>
      </c>
      <c r="P77" s="91">
        <f t="shared" si="8"/>
        <v>30</v>
      </c>
    </row>
    <row r="78" spans="1:16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SUMIF(Erfassung1!AU:AU,L78,Erfassung1!BJ:BJ)</f>
        <v>0</v>
      </c>
      <c r="N78" s="91">
        <f>SUMIF(Erfassung1!AU:AU,L78,Erfassung1!AX:AX)</f>
        <v>0</v>
      </c>
      <c r="O78" s="91">
        <f t="shared" si="7"/>
        <v>0</v>
      </c>
      <c r="P78" s="91">
        <f t="shared" si="8"/>
        <v>30</v>
      </c>
    </row>
    <row r="79" spans="1:16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SUMIF(Erfassung1!AU:AU,L79,Erfassung1!BJ:BJ)</f>
        <v>0</v>
      </c>
      <c r="N79" s="91">
        <f>SUMIF(Erfassung1!AU:AU,L79,Erfassung1!AX:AX)</f>
        <v>0</v>
      </c>
      <c r="O79" s="91">
        <f t="shared" si="7"/>
        <v>0</v>
      </c>
      <c r="P79" s="91">
        <f t="shared" si="8"/>
        <v>30</v>
      </c>
    </row>
    <row r="80" spans="1:16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SUMIF(Erfassung1!AU:AU,L80,Erfassung1!BJ:BJ)</f>
        <v>0</v>
      </c>
      <c r="N80" s="91">
        <f>SUMIF(Erfassung1!AU:AU,L80,Erfassung1!AX:AX)</f>
        <v>0</v>
      </c>
      <c r="O80" s="91">
        <f t="shared" si="7"/>
        <v>0</v>
      </c>
      <c r="P80" s="91">
        <f t="shared" si="8"/>
        <v>30</v>
      </c>
    </row>
    <row r="81" spans="1:16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SUMIF(Erfassung1!AU:AU,L81,Erfassung1!BJ:BJ)</f>
        <v>0</v>
      </c>
      <c r="N81" s="91">
        <f>SUMIF(Erfassung1!AU:AU,L81,Erfassung1!AX:AX)</f>
        <v>0</v>
      </c>
      <c r="O81" s="91">
        <f t="shared" si="7"/>
        <v>0</v>
      </c>
      <c r="P81" s="91">
        <f t="shared" si="8"/>
        <v>30</v>
      </c>
    </row>
    <row r="82" spans="1:16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SUMIF(Erfassung1!AU:AU,L82,Erfassung1!BJ:BJ)</f>
        <v>0</v>
      </c>
      <c r="N82" s="91">
        <f>SUMIF(Erfassung1!AU:AU,L82,Erfassung1!AX:AX)</f>
        <v>0</v>
      </c>
      <c r="O82" s="91">
        <f t="shared" si="7"/>
        <v>0</v>
      </c>
      <c r="P82" s="91">
        <f t="shared" si="8"/>
        <v>30</v>
      </c>
    </row>
    <row r="83" spans="1:16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SUMIF(Erfassung1!AU:AU,L83,Erfassung1!BJ:BJ)</f>
        <v>0</v>
      </c>
      <c r="N83" s="91">
        <f>SUMIF(Erfassung1!AU:AU,L83,Erfassung1!AX:AX)</f>
        <v>0</v>
      </c>
      <c r="O83" s="91">
        <f t="shared" si="7"/>
        <v>0</v>
      </c>
      <c r="P83" s="91">
        <f t="shared" si="8"/>
        <v>30</v>
      </c>
    </row>
    <row r="84" spans="1:16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SUMIF(Erfassung1!AU:AU,L84,Erfassung1!BJ:BJ)</f>
        <v>0</v>
      </c>
      <c r="N84" s="91">
        <f>SUMIF(Erfassung1!AU:AU,L84,Erfassung1!AX:AX)</f>
        <v>0</v>
      </c>
      <c r="O84" s="91">
        <f t="shared" si="7"/>
        <v>0</v>
      </c>
      <c r="P84" s="91">
        <f t="shared" si="8"/>
        <v>30</v>
      </c>
    </row>
    <row r="85" spans="1:16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SUMIF(Erfassung1!AU:AU,L85,Erfassung1!BJ:BJ)</f>
        <v>0</v>
      </c>
      <c r="N85" s="91">
        <f>SUMIF(Erfassung1!AU:AU,L85,Erfassung1!AX:AX)</f>
        <v>0</v>
      </c>
      <c r="O85" s="91">
        <f t="shared" si="7"/>
        <v>0</v>
      </c>
      <c r="P85" s="91">
        <f t="shared" si="8"/>
        <v>30</v>
      </c>
    </row>
    <row r="86" spans="1:16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SUMIF(Erfassung1!AU:AU,L86,Erfassung1!BJ:BJ)</f>
        <v>0</v>
      </c>
      <c r="N86" s="91">
        <f>SUMIF(Erfassung1!AU:AU,L86,Erfassung1!AX:AX)</f>
        <v>0</v>
      </c>
      <c r="O86" s="91">
        <f t="shared" si="7"/>
        <v>0</v>
      </c>
      <c r="P86" s="91">
        <f t="shared" si="8"/>
        <v>30</v>
      </c>
    </row>
    <row r="87" spans="1:16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SUMIF(Erfassung1!AU:AU,L87,Erfassung1!BJ:BJ)</f>
        <v>0</v>
      </c>
      <c r="N87" s="91">
        <f>SUMIF(Erfassung1!AU:AU,L87,Erfassung1!AX:AX)</f>
        <v>0</v>
      </c>
      <c r="O87" s="91">
        <f t="shared" si="7"/>
        <v>0</v>
      </c>
      <c r="P87" s="91">
        <f t="shared" si="8"/>
        <v>30</v>
      </c>
    </row>
    <row r="88" spans="1:16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SUMIF(Erfassung1!AU:AU,L88,Erfassung1!BJ:BJ)</f>
        <v>0</v>
      </c>
      <c r="N88" s="91">
        <f>SUMIF(Erfassung1!AU:AU,L88,Erfassung1!AX:AX)</f>
        <v>0</v>
      </c>
      <c r="O88" s="91">
        <f t="shared" si="7"/>
        <v>0</v>
      </c>
      <c r="P88" s="91">
        <f t="shared" si="8"/>
        <v>30</v>
      </c>
    </row>
    <row r="89" spans="1:16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SUMIF(Erfassung1!AU:AU,L89,Erfassung1!BJ:BJ)</f>
        <v>0</v>
      </c>
      <c r="N89" s="91">
        <f>SUMIF(Erfassung1!AU:AU,L89,Erfassung1!AX:AX)</f>
        <v>0</v>
      </c>
      <c r="O89" s="91">
        <f t="shared" si="7"/>
        <v>0</v>
      </c>
      <c r="P89" s="91">
        <f t="shared" si="8"/>
        <v>30</v>
      </c>
    </row>
    <row r="90" spans="1:16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SUMIF(Erfassung1!AU:AU,L90,Erfassung1!BJ:BJ)</f>
        <v>0</v>
      </c>
      <c r="N90" s="91">
        <f>SUMIF(Erfassung1!AU:AU,L90,Erfassung1!AX:AX)</f>
        <v>0</v>
      </c>
      <c r="O90" s="91">
        <f t="shared" si="7"/>
        <v>0</v>
      </c>
      <c r="P90" s="91">
        <f t="shared" si="8"/>
        <v>30</v>
      </c>
    </row>
    <row r="91" spans="1:16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SUMIF(Erfassung1!AU:AU,L91,Erfassung1!BJ:BJ)</f>
        <v>0</v>
      </c>
      <c r="N91" s="91">
        <f>SUMIF(Erfassung1!AU:AU,L91,Erfassung1!AX:AX)</f>
        <v>0</v>
      </c>
      <c r="O91" s="91">
        <f t="shared" si="7"/>
        <v>0</v>
      </c>
      <c r="P91" s="91">
        <f t="shared" si="8"/>
        <v>30</v>
      </c>
    </row>
    <row r="92" spans="1:16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SUMIF(Erfassung1!AU:AU,L92,Erfassung1!BJ:BJ)</f>
        <v>0</v>
      </c>
      <c r="N92" s="91">
        <f>SUMIF(Erfassung1!AU:AU,L92,Erfassung1!AX:AX)</f>
        <v>0</v>
      </c>
      <c r="O92" s="91">
        <f t="shared" si="7"/>
        <v>0</v>
      </c>
      <c r="P92" s="91">
        <f t="shared" si="8"/>
        <v>30</v>
      </c>
    </row>
    <row r="93" spans="1:16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SUMIF(Erfassung1!AU:AU,L93,Erfassung1!BJ:BJ)</f>
        <v>0</v>
      </c>
      <c r="N93" s="91">
        <f>SUMIF(Erfassung1!AU:AU,L93,Erfassung1!AX:AX)</f>
        <v>0</v>
      </c>
      <c r="O93" s="91">
        <f t="shared" si="7"/>
        <v>0</v>
      </c>
      <c r="P93" s="91">
        <f t="shared" si="8"/>
        <v>30</v>
      </c>
    </row>
    <row r="94" spans="1:16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SUMIF(Erfassung1!AU:AU,L94,Erfassung1!BJ:BJ)</f>
        <v>0</v>
      </c>
      <c r="N94" s="91">
        <f>SUMIF(Erfassung1!AU:AU,L94,Erfassung1!AX:AX)</f>
        <v>0</v>
      </c>
      <c r="O94" s="91">
        <f t="shared" si="7"/>
        <v>0</v>
      </c>
      <c r="P94" s="91">
        <f t="shared" si="8"/>
        <v>30</v>
      </c>
    </row>
    <row r="95" spans="1:16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SUMIF(Erfassung1!AU:AU,L95,Erfassung1!BJ:BJ)</f>
        <v>0</v>
      </c>
      <c r="N95" s="91">
        <f>SUMIF(Erfassung1!AU:AU,L95,Erfassung1!AX:AX)</f>
        <v>0</v>
      </c>
      <c r="O95" s="91">
        <f t="shared" si="7"/>
        <v>0</v>
      </c>
      <c r="P95" s="91">
        <f t="shared" si="8"/>
        <v>30</v>
      </c>
    </row>
    <row r="96" spans="1:16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SUMIF(Erfassung1!AU:AU,L96,Erfassung1!BJ:BJ)</f>
        <v>0</v>
      </c>
      <c r="N96" s="91">
        <f>SUMIF(Erfassung1!AU:AU,L96,Erfassung1!AX:AX)</f>
        <v>0</v>
      </c>
      <c r="O96" s="91">
        <f t="shared" si="7"/>
        <v>0</v>
      </c>
      <c r="P96" s="91">
        <f t="shared" si="8"/>
        <v>30</v>
      </c>
    </row>
    <row r="97" spans="1:16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SUMIF(Erfassung1!AU:AU,L97,Erfassung1!BJ:BJ)</f>
        <v>0</v>
      </c>
      <c r="N97" s="91">
        <f>SUMIF(Erfassung1!AU:AU,L97,Erfassung1!AX:AX)</f>
        <v>0</v>
      </c>
      <c r="O97" s="91">
        <f t="shared" si="7"/>
        <v>0</v>
      </c>
      <c r="P97" s="91">
        <f t="shared" si="8"/>
        <v>30</v>
      </c>
    </row>
    <row r="98" spans="1:16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SUMIF(Erfassung1!AU:AU,L98,Erfassung1!BJ:BJ)</f>
        <v>0</v>
      </c>
      <c r="N98" s="91">
        <f>SUMIF(Erfassung1!AU:AU,L98,Erfassung1!AX:AX)</f>
        <v>0</v>
      </c>
      <c r="O98" s="91">
        <f t="shared" si="7"/>
        <v>0</v>
      </c>
      <c r="P98" s="91">
        <f t="shared" si="8"/>
        <v>30</v>
      </c>
    </row>
    <row r="99" spans="1:16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SUMIF(Erfassung1!AU:AU,L99,Erfassung1!BJ:BJ)</f>
        <v>0</v>
      </c>
      <c r="N99" s="91">
        <f>SUMIF(Erfassung1!AU:AU,L99,Erfassung1!AX:AX)</f>
        <v>0</v>
      </c>
      <c r="O99" s="91">
        <f t="shared" si="7"/>
        <v>0</v>
      </c>
      <c r="P99" s="91">
        <f t="shared" si="8"/>
        <v>30</v>
      </c>
    </row>
    <row r="100" spans="1:16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SUMIF(Erfassung1!AU:AU,L100,Erfassung1!BJ:BJ)</f>
        <v>0</v>
      </c>
      <c r="N100" s="91">
        <f>SUMIF(Erfassung1!AU:AU,L100,Erfassung1!AX:AX)</f>
        <v>0</v>
      </c>
      <c r="O100" s="91">
        <f t="shared" si="7"/>
        <v>0</v>
      </c>
      <c r="P100" s="91">
        <f t="shared" si="8"/>
        <v>30</v>
      </c>
    </row>
    <row r="101" spans="1:16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SUMIF(Erfassung1!AU:AU,L101,Erfassung1!BJ:BJ)</f>
        <v>0</v>
      </c>
      <c r="N101" s="91">
        <f>SUMIF(Erfassung1!AU:AU,L101,Erfassung1!AX:AX)</f>
        <v>0</v>
      </c>
      <c r="O101" s="91">
        <f t="shared" si="7"/>
        <v>0</v>
      </c>
      <c r="P101" s="91">
        <f t="shared" si="8"/>
        <v>30</v>
      </c>
    </row>
    <row r="102" spans="1:16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SUMIF(Erfassung1!AU:AU,L102,Erfassung1!BJ:BJ)</f>
        <v>0</v>
      </c>
      <c r="N102" s="91">
        <f>SUMIF(Erfassung1!AU:AU,L102,Erfassung1!AX:AX)</f>
        <v>0</v>
      </c>
      <c r="O102" s="91">
        <f t="shared" si="7"/>
        <v>0</v>
      </c>
      <c r="P102" s="91">
        <f t="shared" si="8"/>
        <v>30</v>
      </c>
    </row>
    <row r="103" spans="1:16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SUMIF(Erfassung1!AU:AU,L103,Erfassung1!BJ:BJ)</f>
        <v>0</v>
      </c>
      <c r="N103" s="91">
        <f>SUMIF(Erfassung1!AU:AU,L103,Erfassung1!AX:AX)</f>
        <v>0</v>
      </c>
      <c r="O103" s="91">
        <f t="shared" si="7"/>
        <v>0</v>
      </c>
      <c r="P103" s="91">
        <f t="shared" si="8"/>
        <v>30</v>
      </c>
    </row>
    <row r="104" spans="1:16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SUMIF(Erfassung1!AU:AU,L104,Erfassung1!BJ:BJ)</f>
        <v>0</v>
      </c>
      <c r="N104" s="91">
        <f>SUMIF(Erfassung1!AU:AU,L104,Erfassung1!AX:AX)</f>
        <v>0</v>
      </c>
      <c r="O104" s="91">
        <f t="shared" si="7"/>
        <v>0</v>
      </c>
      <c r="P104" s="91">
        <f t="shared" si="8"/>
        <v>30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landscape" r:id="rId1"/>
  <headerFooter>
    <oddHeader>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60</vt:i4>
      </vt:variant>
      <vt:variant>
        <vt:lpstr>Benannte Bereiche</vt:lpstr>
      </vt:variant>
      <vt:variant>
        <vt:i4>37</vt:i4>
      </vt:variant>
    </vt:vector>
  </HeadingPairs>
  <TitlesOfParts>
    <vt:vector size="97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SRBericht7</vt:lpstr>
      <vt:lpstr>Spielzettel7</vt:lpstr>
      <vt:lpstr>Erfassung7</vt:lpstr>
      <vt:lpstr>Tabelle7</vt:lpstr>
      <vt:lpstr>TabGes7</vt:lpstr>
      <vt:lpstr>Schnitt7</vt:lpstr>
      <vt:lpstr>SchnittGes7</vt:lpstr>
      <vt:lpstr>Starter</vt:lpstr>
      <vt:lpstr>member</vt:lpstr>
      <vt:lpstr>RanglisteST1</vt:lpstr>
      <vt:lpstr>RanglisteST2</vt:lpstr>
      <vt:lpstr>RanglisteST3</vt:lpstr>
      <vt:lpstr>RanglisteST4</vt:lpstr>
      <vt:lpstr>RanglisteST5</vt:lpstr>
      <vt:lpstr>RanglisteST6</vt:lpstr>
      <vt:lpstr>RanglisteST7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Erfassung7!Druckbereich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Schnitt7!Druckbereich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SchnittGes7!Druckbereich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Spielzettel7!Druckbereich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Tabelle7!Druckbereich</vt:lpstr>
      <vt:lpstr>TabGes2!Druckbereich</vt:lpstr>
      <vt:lpstr>TabGes3!Druckbereich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Barbara Wheeldon-Weidner</cp:lastModifiedBy>
  <cp:lastPrinted>2025-05-10T14:20:50Z</cp:lastPrinted>
  <dcterms:created xsi:type="dcterms:W3CDTF">2008-06-12T13:54:35Z</dcterms:created>
  <dcterms:modified xsi:type="dcterms:W3CDTF">2025-05-17T11:11:58Z</dcterms:modified>
</cp:coreProperties>
</file>